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54072AC-57C5-4E82-ABEE-BAEA02E58884}" xr6:coauthVersionLast="47" xr6:coauthVersionMax="47" xr10:uidLastSave="{00000000-0000-0000-0000-000000000000}"/>
  <bookViews>
    <workbookView xWindow="-98" yWindow="-98" windowWidth="19396" windowHeight="10395" firstSheet="2" activeTab="5" xr2:uid="{00000000-000D-0000-FFFF-FFFF00000000}"/>
  </bookViews>
  <sheets>
    <sheet name="Projects &amp; Payouts by Agent" sheetId="1" r:id="rId1"/>
    <sheet name="Agent Demographics" sheetId="2" r:id="rId2"/>
    <sheet name="Full Processed Dataset" sheetId="4" r:id="rId3"/>
    <sheet name="Top 50 before revised" sheetId="5" r:id="rId4"/>
    <sheet name="Revision" sheetId="3" r:id="rId5"/>
    <sheet name="Top 50 after revised" sheetId="6" r:id="rId6"/>
  </sheets>
  <definedNames>
    <definedName name="_xlnm._FilterDatabase" localSheetId="1" hidden="1">'Agent Demographics'!$A$1:$F$1963</definedName>
    <definedName name="_xlnm._FilterDatabase" localSheetId="0" hidden="1">'Projects &amp; Payouts by Agent'!$A$1:$D$5051</definedName>
    <definedName name="_xlnm._FilterDatabase" localSheetId="5" hidden="1">'Top 50 after revised'!$A$1:$X$1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92" i="2" l="1"/>
  <c r="A491" i="2"/>
  <c r="A1627" i="2"/>
  <c r="A848" i="2"/>
  <c r="A1963" i="2"/>
  <c r="A1714" i="2"/>
  <c r="A1771" i="2"/>
  <c r="A1776" i="2"/>
  <c r="A1962" i="2"/>
  <c r="A1467" i="2"/>
  <c r="A423" i="2"/>
  <c r="A29" i="2"/>
  <c r="A1635" i="2"/>
  <c r="A191" i="2"/>
  <c r="A289" i="2"/>
  <c r="A1441" i="2"/>
  <c r="A602" i="2"/>
  <c r="A639" i="2"/>
  <c r="A1719" i="2"/>
  <c r="A1270" i="2"/>
  <c r="A1961" i="2"/>
  <c r="A1550" i="2"/>
  <c r="A1470" i="2"/>
  <c r="A1367" i="2"/>
  <c r="A1740" i="2"/>
  <c r="A290" i="2"/>
  <c r="A185" i="2"/>
  <c r="A1177" i="2"/>
  <c r="A1592" i="2"/>
  <c r="A1167" i="2"/>
  <c r="A889" i="2"/>
  <c r="A1186" i="2"/>
  <c r="A358" i="2"/>
  <c r="A1652" i="2"/>
  <c r="A1519" i="2"/>
  <c r="A1960" i="2"/>
  <c r="A1480" i="2"/>
  <c r="A1056" i="2"/>
  <c r="A1656" i="2"/>
  <c r="A1822" i="2"/>
  <c r="A1383" i="2"/>
  <c r="A1753" i="2"/>
  <c r="A665" i="2"/>
  <c r="A842" i="2"/>
  <c r="A227" i="2"/>
  <c r="A1685" i="2"/>
  <c r="A213" i="2"/>
  <c r="A1693" i="2"/>
  <c r="A841" i="2"/>
  <c r="A827" i="2"/>
  <c r="A1282" i="2"/>
  <c r="A237" i="2"/>
  <c r="A36" i="2"/>
  <c r="A429" i="2"/>
  <c r="A1817" i="2"/>
  <c r="A801" i="2"/>
  <c r="A1959" i="2"/>
  <c r="A1475" i="2"/>
  <c r="A69" i="2"/>
  <c r="A1958" i="2"/>
  <c r="A1518" i="2"/>
  <c r="A1115" i="2"/>
  <c r="A1749" i="2"/>
  <c r="A1265" i="2"/>
  <c r="A175" i="2"/>
  <c r="A1546" i="2"/>
  <c r="A1122" i="2"/>
  <c r="A1523" i="2"/>
  <c r="A1513" i="2"/>
  <c r="A1294" i="2"/>
  <c r="A1091" i="2"/>
  <c r="A1328" i="2"/>
  <c r="A1780" i="2"/>
  <c r="A1738" i="2"/>
  <c r="A452" i="2"/>
  <c r="A3" i="2"/>
  <c r="A1042" i="2"/>
  <c r="A987" i="2"/>
  <c r="A1099" i="2"/>
  <c r="A1244" i="2"/>
  <c r="A1795" i="2"/>
  <c r="A853" i="2"/>
  <c r="A1512" i="2"/>
  <c r="A372" i="2"/>
  <c r="A66" i="2"/>
  <c r="A1630" i="2"/>
  <c r="A1674" i="2"/>
  <c r="A1509" i="2"/>
  <c r="A852" i="2"/>
  <c r="A1801" i="2"/>
  <c r="A1830" i="2"/>
  <c r="A1053" i="2"/>
  <c r="A636" i="2"/>
  <c r="A998" i="2"/>
  <c r="A847" i="2"/>
  <c r="A1788" i="2"/>
  <c r="A184" i="2"/>
  <c r="A1398" i="2"/>
  <c r="A1380" i="2"/>
  <c r="A621" i="2"/>
  <c r="A1957" i="2"/>
  <c r="A443" i="2"/>
  <c r="A1629" i="2"/>
  <c r="A360" i="2"/>
  <c r="A1825" i="2"/>
  <c r="A857" i="2"/>
  <c r="A1643" i="2"/>
  <c r="A933" i="2"/>
  <c r="A1759" i="2"/>
  <c r="A92" i="2"/>
  <c r="A306" i="2"/>
  <c r="A155" i="2"/>
  <c r="A1150" i="2"/>
  <c r="A1388" i="2"/>
  <c r="A975" i="2"/>
  <c r="A149" i="2"/>
  <c r="A760" i="2"/>
  <c r="A1956" i="2"/>
  <c r="A1703" i="2"/>
  <c r="A1394" i="2"/>
  <c r="A1481" i="2"/>
  <c r="A522" i="2"/>
  <c r="A1044" i="2"/>
  <c r="A90" i="2"/>
  <c r="A833" i="2"/>
  <c r="A343" i="2"/>
  <c r="A1194" i="2"/>
  <c r="A1814" i="2"/>
  <c r="A79" i="2"/>
  <c r="A1226" i="2"/>
  <c r="A988" i="2"/>
  <c r="A161" i="2"/>
  <c r="A152" i="2"/>
  <c r="A1242" i="2"/>
  <c r="A509" i="2"/>
  <c r="A1432" i="2"/>
  <c r="A1267" i="2"/>
  <c r="A1774" i="2"/>
  <c r="A1741" i="2"/>
  <c r="A1832" i="2"/>
  <c r="A340" i="2"/>
  <c r="A42" i="2"/>
  <c r="A1307" i="2"/>
  <c r="A13" i="2"/>
  <c r="A966" i="2"/>
  <c r="A1113" i="2"/>
  <c r="A44" i="2"/>
  <c r="A56" i="2"/>
  <c r="A91" i="2"/>
  <c r="A677" i="2"/>
  <c r="A305" i="2"/>
  <c r="A914" i="2"/>
  <c r="A1955" i="2"/>
  <c r="A245" i="2"/>
  <c r="A1305" i="2"/>
  <c r="A1071" i="2"/>
  <c r="A1752" i="2"/>
  <c r="A800" i="2"/>
  <c r="A116" i="2"/>
  <c r="A320" i="2"/>
  <c r="A1426" i="2"/>
  <c r="A1544" i="2"/>
  <c r="A1954" i="2"/>
  <c r="A1065" i="2"/>
  <c r="A755" i="2"/>
  <c r="A1249" i="2"/>
  <c r="A958" i="2"/>
  <c r="A112" i="2"/>
  <c r="A771" i="2"/>
  <c r="A1724" i="2"/>
  <c r="A1516" i="2"/>
  <c r="A1609" i="2"/>
  <c r="A1683" i="2"/>
  <c r="A1735" i="2"/>
  <c r="A1456" i="2"/>
  <c r="A202" i="2"/>
  <c r="A100" i="2"/>
  <c r="A1479" i="2"/>
  <c r="A1184" i="2"/>
  <c r="A88" i="2"/>
  <c r="A1221" i="2"/>
  <c r="A1953" i="2"/>
  <c r="A1808" i="2"/>
  <c r="A139" i="2"/>
  <c r="A1321" i="2"/>
  <c r="A1537" i="2"/>
  <c r="A657" i="2"/>
  <c r="A1062" i="2"/>
  <c r="A1694" i="2"/>
  <c r="A721" i="2"/>
  <c r="A1352" i="2"/>
  <c r="A81" i="2"/>
  <c r="A1654" i="2"/>
  <c r="A179" i="2"/>
  <c r="A1017" i="2"/>
  <c r="A1762" i="2"/>
  <c r="A316" i="2"/>
  <c r="A1085" i="2"/>
  <c r="A844" i="2"/>
  <c r="A788" i="2"/>
  <c r="A1514" i="2"/>
  <c r="A11" i="2"/>
  <c r="A1598" i="2"/>
  <c r="A1052" i="2"/>
  <c r="A1952" i="2"/>
  <c r="A1344" i="2"/>
  <c r="A504" i="2"/>
  <c r="A1073" i="2"/>
  <c r="A1134" i="2"/>
  <c r="A969" i="2"/>
  <c r="A1096" i="2"/>
  <c r="A1626" i="2"/>
  <c r="A1670" i="2"/>
  <c r="A1782" i="2"/>
  <c r="A392" i="2"/>
  <c r="A643" i="2"/>
  <c r="A1597" i="2"/>
  <c r="A1448" i="2"/>
  <c r="A1816" i="2"/>
  <c r="A1287" i="2"/>
  <c r="A1454" i="2"/>
  <c r="A1395" i="2"/>
  <c r="A968" i="2"/>
  <c r="A380" i="2"/>
  <c r="A239" i="2"/>
  <c r="A1700" i="2"/>
  <c r="A1704" i="2"/>
  <c r="A1009" i="2"/>
  <c r="A567" i="2"/>
  <c r="A1342" i="2"/>
  <c r="A1760" i="2"/>
  <c r="A874" i="2"/>
  <c r="A1230" i="2"/>
  <c r="A1491" i="2"/>
  <c r="A934" i="2"/>
  <c r="A57" i="2"/>
  <c r="A1587" i="2"/>
  <c r="A888" i="2"/>
  <c r="A1329" i="2"/>
  <c r="A472" i="2"/>
  <c r="A1951" i="2"/>
  <c r="A143" i="2"/>
  <c r="A1737" i="2"/>
  <c r="A1667" i="2"/>
  <c r="A1201" i="2"/>
  <c r="A1750" i="2"/>
  <c r="A1555" i="2"/>
  <c r="A34" i="2"/>
  <c r="A1950" i="2"/>
  <c r="A1699" i="2"/>
  <c r="A296" i="2"/>
  <c r="A1632" i="2"/>
  <c r="A623" i="2"/>
  <c r="A1553" i="2"/>
  <c r="A1308" i="2"/>
  <c r="A1079" i="2"/>
  <c r="A469" i="2"/>
  <c r="A1758" i="2"/>
  <c r="A422" i="2"/>
  <c r="A1019" i="2"/>
  <c r="A753" i="2"/>
  <c r="A1775" i="2"/>
  <c r="A1486" i="2"/>
  <c r="A714" i="2"/>
  <c r="A710" i="2"/>
  <c r="A885" i="2"/>
  <c r="A1949" i="2"/>
  <c r="A1548" i="2"/>
  <c r="A1569" i="2"/>
  <c r="A389" i="2"/>
  <c r="A1809" i="2"/>
  <c r="A1004" i="2"/>
  <c r="A1705" i="2"/>
  <c r="A471" i="2"/>
  <c r="A1621" i="2"/>
  <c r="A1786" i="2"/>
  <c r="A804" i="2"/>
  <c r="A1011" i="2"/>
  <c r="A553" i="2"/>
  <c r="A1030" i="2"/>
  <c r="A1155" i="2"/>
  <c r="A820" i="2"/>
  <c r="A1566" i="2"/>
  <c r="A1182" i="2"/>
  <c r="A1059" i="2"/>
  <c r="A1711" i="2"/>
  <c r="A1746" i="2"/>
  <c r="A1231" i="2"/>
  <c r="A1444" i="2"/>
  <c r="A1594" i="2"/>
  <c r="A1948" i="2"/>
  <c r="A403" i="2"/>
  <c r="A72" i="2"/>
  <c r="A70" i="2"/>
  <c r="A864" i="2"/>
  <c r="A1551" i="2"/>
  <c r="A1767" i="2"/>
  <c r="A1811" i="2"/>
  <c r="A1183" i="2"/>
  <c r="A1116" i="2"/>
  <c r="A1408" i="2"/>
  <c r="A158" i="2"/>
  <c r="A1681" i="2"/>
  <c r="A638" i="2"/>
  <c r="A1258" i="2"/>
  <c r="A41" i="2"/>
  <c r="A150" i="2"/>
  <c r="A1181" i="2"/>
  <c r="A1045" i="2"/>
  <c r="A1757" i="2"/>
  <c r="A673" i="2"/>
  <c r="A1947" i="2"/>
  <c r="A1819" i="2"/>
  <c r="A1203" i="2"/>
  <c r="A1339" i="2"/>
  <c r="A1246" i="2"/>
  <c r="A135" i="2"/>
  <c r="A424" i="2"/>
  <c r="A1946" i="2"/>
  <c r="A1945" i="2"/>
  <c r="A631" i="2"/>
  <c r="A1944" i="2"/>
  <c r="A1362" i="2"/>
  <c r="A1457" i="2"/>
  <c r="A1646" i="2"/>
  <c r="A391" i="2"/>
  <c r="A1066" i="2"/>
  <c r="A164" i="2"/>
  <c r="A615" i="2"/>
  <c r="A766" i="2"/>
  <c r="A1636" i="2"/>
  <c r="A1213" i="2"/>
  <c r="A1000" i="2"/>
  <c r="A1063" i="2"/>
  <c r="A250" i="2"/>
  <c r="A63" i="2"/>
  <c r="A1943" i="2"/>
  <c r="A1736" i="2"/>
  <c r="A956" i="2"/>
  <c r="A501" i="2"/>
  <c r="A1729" i="2"/>
  <c r="A757" i="2"/>
  <c r="A1219" i="2"/>
  <c r="A713" i="2"/>
  <c r="A1301" i="2"/>
  <c r="A1484" i="2"/>
  <c r="A1942" i="2"/>
  <c r="A906" i="2"/>
  <c r="A1941" i="2"/>
  <c r="A420" i="2"/>
  <c r="A1021" i="2"/>
  <c r="A1032" i="2"/>
  <c r="A922" i="2"/>
  <c r="A1618" i="2"/>
  <c r="A1126" i="2"/>
  <c r="A447" i="2"/>
  <c r="A1686" i="2"/>
  <c r="A328" i="2"/>
  <c r="A1940" i="2"/>
  <c r="A828" i="2"/>
  <c r="A540" i="2"/>
  <c r="A826" i="2"/>
  <c r="A1793" i="2"/>
  <c r="A4" i="2"/>
  <c r="A352" i="2"/>
  <c r="A1812" i="2"/>
  <c r="A1485" i="2"/>
  <c r="A408" i="2"/>
  <c r="A1239" i="2"/>
  <c r="A1797" i="2"/>
  <c r="A414" i="2"/>
  <c r="A1939" i="2"/>
  <c r="A1665" i="2"/>
  <c r="A466" i="2"/>
  <c r="A1938" i="2"/>
  <c r="A1255" i="2"/>
  <c r="A513" i="2"/>
  <c r="A1081" i="2"/>
  <c r="A1135" i="2"/>
  <c r="A1276" i="2"/>
  <c r="A559" i="2"/>
  <c r="A1783" i="2"/>
  <c r="A326" i="2"/>
  <c r="A1937" i="2"/>
  <c r="A738" i="2"/>
  <c r="A1431" i="2"/>
  <c r="A1702" i="2"/>
  <c r="A1828" i="2"/>
  <c r="A565" i="2"/>
  <c r="A927" i="2"/>
  <c r="A1936" i="2"/>
  <c r="A1541" i="2"/>
  <c r="A557" i="2"/>
  <c r="A1820" i="2"/>
  <c r="A1935" i="2"/>
  <c r="A1262" i="2"/>
  <c r="A1427" i="2"/>
  <c r="A1739" i="2"/>
  <c r="A1415" i="2"/>
  <c r="A1934" i="2"/>
  <c r="A765" i="2"/>
  <c r="A1655" i="2"/>
  <c r="A187" i="2"/>
  <c r="A1440" i="2"/>
  <c r="A177" i="2"/>
  <c r="A1217" i="2"/>
  <c r="A767" i="2"/>
  <c r="A113" i="2"/>
  <c r="A1405" i="2"/>
  <c r="A1639" i="2"/>
  <c r="A1588" i="2"/>
  <c r="A489" i="2"/>
  <c r="A1772" i="2"/>
  <c r="A701" i="2"/>
  <c r="A1477" i="2"/>
  <c r="A1238" i="2"/>
  <c r="A1933" i="2"/>
  <c r="A1932" i="2"/>
  <c r="A1532" i="2"/>
  <c r="A1778" i="2"/>
  <c r="A448" i="2"/>
  <c r="A53" i="2"/>
  <c r="A1661" i="2"/>
  <c r="A851" i="2"/>
  <c r="A515" i="2"/>
  <c r="A731" i="2"/>
  <c r="A1931" i="2"/>
  <c r="A1570" i="2"/>
  <c r="A916" i="2"/>
  <c r="A244" i="2"/>
  <c r="A835" i="2"/>
  <c r="A1437" i="2"/>
  <c r="A955" i="2"/>
  <c r="A1684" i="2"/>
  <c r="A1002" i="2"/>
  <c r="A407" i="2"/>
  <c r="A717" i="2"/>
  <c r="A1036" i="2"/>
  <c r="A1761" i="2"/>
  <c r="A310" i="2"/>
  <c r="A795" i="2"/>
  <c r="A959" i="2"/>
  <c r="A1160" i="2"/>
  <c r="A986" i="2"/>
  <c r="A1695" i="2"/>
  <c r="A1136" i="2"/>
  <c r="A1458" i="2"/>
  <c r="A291" i="2"/>
  <c r="A173" i="2"/>
  <c r="A1798" i="2"/>
  <c r="A1048" i="2"/>
  <c r="A1657" i="2"/>
  <c r="A251" i="2"/>
  <c r="A365" i="2"/>
  <c r="A774" i="2"/>
  <c r="A275" i="2"/>
  <c r="A1353" i="2"/>
  <c r="A691" i="2"/>
  <c r="A386" i="2"/>
  <c r="A1409" i="2"/>
  <c r="A1708" i="2"/>
  <c r="A946" i="2"/>
  <c r="A48" i="2"/>
  <c r="A1164" i="2"/>
  <c r="A849" i="2"/>
  <c r="A1806" i="2"/>
  <c r="A436" i="2"/>
  <c r="A1077" i="2"/>
  <c r="A1199" i="2"/>
  <c r="A794" i="2"/>
  <c r="A1678" i="2"/>
  <c r="A781" i="2"/>
  <c r="A87" i="2"/>
  <c r="A32" i="2"/>
  <c r="A1369" i="2"/>
  <c r="A963" i="2"/>
  <c r="A1095" i="2"/>
  <c r="A1583" i="2"/>
  <c r="A1130" i="2"/>
  <c r="A1634" i="2"/>
  <c r="A936" i="2"/>
  <c r="A151" i="2"/>
  <c r="A411" i="2"/>
  <c r="A230" i="2"/>
  <c r="A1080" i="2"/>
  <c r="A115" i="2"/>
  <c r="A608" i="2"/>
  <c r="A720" i="2"/>
  <c r="A1462" i="2"/>
  <c r="A733" i="2"/>
  <c r="A718" i="2"/>
  <c r="A893" i="2"/>
  <c r="A1743" i="2"/>
  <c r="A1930" i="2"/>
  <c r="A1554" i="2"/>
  <c r="A200" i="2"/>
  <c r="A1436" i="2"/>
  <c r="A1315" i="2"/>
  <c r="A1505" i="2"/>
  <c r="A1821" i="2"/>
  <c r="A1929" i="2"/>
  <c r="A1169" i="2"/>
  <c r="A284" i="2"/>
  <c r="A1123" i="2"/>
  <c r="A1038" i="2"/>
  <c r="A1237" i="2"/>
  <c r="A1043" i="2"/>
  <c r="A206" i="2"/>
  <c r="A433" i="2"/>
  <c r="A1800" i="2"/>
  <c r="A1502" i="2"/>
  <c r="A1928" i="2"/>
  <c r="A695" i="2"/>
  <c r="A1624" i="2"/>
  <c r="A940" i="2"/>
  <c r="A1607" i="2"/>
  <c r="A398" i="2"/>
  <c r="A65" i="2"/>
  <c r="A267" i="2"/>
  <c r="A59" i="2"/>
  <c r="A579" i="2"/>
  <c r="A1162" i="2"/>
  <c r="A1716" i="2"/>
  <c r="A375" i="2"/>
  <c r="A1110" i="2"/>
  <c r="A505" i="2"/>
  <c r="A1031" i="2"/>
  <c r="A1114" i="2"/>
  <c r="A1259" i="2"/>
  <c r="A298" i="2"/>
  <c r="A1403" i="2"/>
  <c r="A432" i="2"/>
  <c r="A82" i="2"/>
  <c r="A252" i="2"/>
  <c r="A321" i="2"/>
  <c r="A830" i="2"/>
  <c r="A1824" i="2"/>
  <c r="A1829" i="2"/>
  <c r="A440" i="2"/>
  <c r="A923" i="2"/>
  <c r="A1438" i="2"/>
  <c r="A162" i="2"/>
  <c r="A1715" i="2"/>
  <c r="A1275" i="2"/>
  <c r="A1517" i="2"/>
  <c r="A1446" i="2"/>
  <c r="A1827" i="2"/>
  <c r="A1306" i="2"/>
  <c r="A1013" i="2"/>
  <c r="A683" i="2"/>
  <c r="A935" i="2"/>
  <c r="A919" i="2"/>
  <c r="A304" i="2"/>
  <c r="A160" i="2"/>
  <c r="A123" i="2"/>
  <c r="A1927" i="2"/>
  <c r="A1098" i="2"/>
  <c r="A1072" i="2"/>
  <c r="A982" i="2"/>
  <c r="A1826" i="2"/>
  <c r="A402" i="2"/>
  <c r="A1804" i="2"/>
  <c r="A905" i="2"/>
  <c r="A929" i="2"/>
  <c r="A235" i="2"/>
  <c r="A482" i="2"/>
  <c r="A193" i="2"/>
  <c r="A1790" i="2"/>
  <c r="A503" i="2"/>
  <c r="A1926" i="2"/>
  <c r="A1280" i="2"/>
  <c r="A1791" i="2"/>
  <c r="A1726" i="2"/>
  <c r="A1152" i="2"/>
  <c r="A1455" i="2"/>
  <c r="A132" i="2"/>
  <c r="A1595" i="2"/>
  <c r="A1029" i="2"/>
  <c r="A957" i="2"/>
  <c r="A329" i="2"/>
  <c r="A98" i="2"/>
  <c r="A663" i="2"/>
  <c r="A1625" i="2"/>
  <c r="A1445" i="2"/>
  <c r="A30" i="2"/>
  <c r="A315" i="2"/>
  <c r="A1084" i="2"/>
  <c r="A1734" i="2"/>
  <c r="A1770" i="2"/>
  <c r="A745" i="2"/>
  <c r="A1733" i="2"/>
  <c r="A1376" i="2"/>
  <c r="A548" i="2"/>
  <c r="A47" i="2"/>
  <c r="A1303" i="2"/>
  <c r="A1732" i="2"/>
  <c r="A1433" i="2"/>
  <c r="A500" i="2"/>
  <c r="A1584" i="2"/>
  <c r="A2" i="2"/>
  <c r="A1345" i="2"/>
  <c r="A205" i="2"/>
  <c r="A1361" i="2"/>
  <c r="A606" i="2"/>
  <c r="A996" i="2"/>
  <c r="A1521" i="2"/>
  <c r="A1277" i="2"/>
  <c r="A1925" i="2"/>
  <c r="A1379" i="2"/>
  <c r="A417" i="2"/>
  <c r="A1055" i="2"/>
  <c r="A1924" i="2"/>
  <c r="A6" i="2"/>
  <c r="A1061" i="2"/>
  <c r="A620" i="2"/>
  <c r="A1397" i="2"/>
  <c r="A1421" i="2"/>
  <c r="A425" i="2"/>
  <c r="A564" i="2"/>
  <c r="A985" i="2"/>
  <c r="A1923" i="2"/>
  <c r="A1563" i="2"/>
  <c r="A24" i="2"/>
  <c r="A1208" i="2"/>
  <c r="A1320" i="2"/>
  <c r="A17" i="2"/>
  <c r="A1648" i="2"/>
  <c r="A1271" i="2"/>
  <c r="A37" i="2"/>
  <c r="A232" i="2"/>
  <c r="A1659" i="2"/>
  <c r="A1410" i="2"/>
  <c r="A1922" i="2"/>
  <c r="A487" i="2"/>
  <c r="A1068" i="2"/>
  <c r="A1613" i="2"/>
  <c r="A1220" i="2"/>
  <c r="A967" i="2"/>
  <c r="A74" i="2"/>
  <c r="A784" i="2"/>
  <c r="A1921" i="2"/>
  <c r="A1109" i="2"/>
  <c r="A1459" i="2"/>
  <c r="A52" i="2"/>
  <c r="A1366" i="2"/>
  <c r="A882" i="2"/>
  <c r="A1028" i="2"/>
  <c r="A361" i="2"/>
  <c r="A926" i="2"/>
  <c r="A1920" i="2"/>
  <c r="A1919" i="2"/>
  <c r="A1525" i="2"/>
  <c r="A1802" i="2"/>
  <c r="A684" i="2"/>
  <c r="A1173" i="2"/>
  <c r="A1322" i="2"/>
  <c r="A1918" i="2"/>
  <c r="A1330" i="2"/>
  <c r="A1559" i="2"/>
  <c r="A911" i="2"/>
  <c r="A1577" i="2"/>
  <c r="A1216" i="2"/>
  <c r="A94" i="2"/>
  <c r="A578" i="2"/>
  <c r="A1211" i="2"/>
  <c r="A756" i="2"/>
  <c r="A989" i="2"/>
  <c r="A1917" i="2"/>
  <c r="A459" i="2"/>
  <c r="A97" i="2"/>
  <c r="A1172" i="2"/>
  <c r="A658" i="2"/>
  <c r="A1916" i="2"/>
  <c r="A840" i="2"/>
  <c r="A1915" i="2"/>
  <c r="A1290" i="2"/>
  <c r="A421" i="2"/>
  <c r="A575" i="2"/>
  <c r="A1818" i="2"/>
  <c r="A1419" i="2"/>
  <c r="A1769" i="2"/>
  <c r="A1422" i="2"/>
  <c r="A1528" i="2"/>
  <c r="A1914" i="2"/>
  <c r="A1187" i="2"/>
  <c r="A1615" i="2"/>
  <c r="A870" i="2"/>
  <c r="A1210" i="2"/>
  <c r="A932" i="2"/>
  <c r="A1697" i="2"/>
  <c r="A336" i="2"/>
  <c r="A762" i="2"/>
  <c r="A1913" i="2"/>
  <c r="A377" i="2"/>
  <c r="A1168" i="2"/>
  <c r="A610" i="2"/>
  <c r="A1037" i="2"/>
  <c r="A446" i="2"/>
  <c r="A904" i="2"/>
  <c r="A1912" i="2"/>
  <c r="A1132" i="2"/>
  <c r="A519" i="2"/>
  <c r="A1763" i="2"/>
  <c r="A1146" i="2"/>
  <c r="A983" i="2"/>
  <c r="A254" i="2"/>
  <c r="A1233" i="2"/>
  <c r="A953" i="2"/>
  <c r="A1911" i="2"/>
  <c r="A1050" i="2"/>
  <c r="A1664" i="2"/>
  <c r="A1016" i="2"/>
  <c r="A293" i="2"/>
  <c r="A1166" i="2"/>
  <c r="A741" i="2"/>
  <c r="A1910" i="2"/>
  <c r="A490" i="2"/>
  <c r="A596" i="2"/>
  <c r="A716" i="2"/>
  <c r="A384" i="2"/>
  <c r="A1722" i="2"/>
  <c r="A898" i="2"/>
  <c r="A1471" i="2"/>
  <c r="A585" i="2"/>
  <c r="A1494" i="2"/>
  <c r="A167" i="2"/>
  <c r="A1545" i="2"/>
  <c r="A454" i="2"/>
  <c r="A1313" i="2"/>
  <c r="A457" i="2"/>
  <c r="A648" i="2"/>
  <c r="A777" i="2"/>
  <c r="A618" i="2"/>
  <c r="A285" i="2"/>
  <c r="A190" i="2"/>
  <c r="A154" i="2"/>
  <c r="A349" i="2"/>
  <c r="A999" i="2"/>
  <c r="A783" i="2"/>
  <c r="A241" i="2"/>
  <c r="A1185" i="2"/>
  <c r="A1283" i="2"/>
  <c r="A649" i="2"/>
  <c r="A1178" i="2"/>
  <c r="A1526" i="2"/>
  <c r="A1707" i="2"/>
  <c r="A1547" i="2"/>
  <c r="A1645" i="2"/>
  <c r="A1815" i="2"/>
  <c r="A1404" i="2"/>
  <c r="A700" i="2"/>
  <c r="A246" i="2"/>
  <c r="A1094" i="2"/>
  <c r="A1297" i="2"/>
  <c r="A892" i="2"/>
  <c r="A1728" i="2"/>
  <c r="A1909" i="2"/>
  <c r="A492" i="2"/>
  <c r="A850" i="2"/>
  <c r="A737" i="2"/>
  <c r="A1538" i="2"/>
  <c r="A1603" i="2"/>
  <c r="A1748" i="2"/>
  <c r="A147" i="2"/>
  <c r="A679" i="2"/>
  <c r="A1393" i="2"/>
  <c r="A283" i="2"/>
  <c r="A873" i="2"/>
  <c r="A1591" i="2"/>
  <c r="A558" i="2"/>
  <c r="A589" i="2"/>
  <c r="A341" i="2"/>
  <c r="A1049" i="2"/>
  <c r="A921" i="2"/>
  <c r="A470" i="2"/>
  <c r="A533" i="2"/>
  <c r="A1375" i="2"/>
  <c r="A248" i="2"/>
  <c r="A1908" i="2"/>
  <c r="A712" i="2"/>
  <c r="A1343" i="2"/>
  <c r="A642" i="2"/>
  <c r="A803" i="2"/>
  <c r="A1754" i="2"/>
  <c r="A1907" i="2"/>
  <c r="A810" i="2"/>
  <c r="A902" i="2"/>
  <c r="A428" i="2"/>
  <c r="A856" i="2"/>
  <c r="A1619" i="2"/>
  <c r="A1823" i="2"/>
  <c r="A1689" i="2"/>
  <c r="A1106" i="2"/>
  <c r="A1396" i="2"/>
  <c r="A1274" i="2"/>
  <c r="A1764" i="2"/>
  <c r="A203" i="2"/>
  <c r="A1593" i="2"/>
  <c r="A431" i="2"/>
  <c r="A1476" i="2"/>
  <c r="A1273" i="2"/>
  <c r="A419" i="2"/>
  <c r="A778" i="2"/>
  <c r="A217" i="2"/>
  <c r="A186" i="2"/>
  <c r="A1558" i="2"/>
  <c r="A744" i="2"/>
  <c r="A1810" i="2"/>
  <c r="A1090" i="2"/>
  <c r="A1101" i="2"/>
  <c r="A1713" i="2"/>
  <c r="A1018" i="2"/>
  <c r="A580" i="2"/>
  <c r="A1568" i="2"/>
  <c r="A451" i="2"/>
  <c r="A554" i="2"/>
  <c r="A165" i="2"/>
  <c r="A1228" i="2"/>
  <c r="A1906" i="2"/>
  <c r="A588" i="2"/>
  <c r="A238" i="2"/>
  <c r="A512" i="2"/>
  <c r="A1601" i="2"/>
  <c r="A1905" i="2"/>
  <c r="A1078" i="2"/>
  <c r="A812" i="2"/>
  <c r="A1571" i="2"/>
  <c r="A948" i="2"/>
  <c r="A769" i="2"/>
  <c r="A1904" i="2"/>
  <c r="A703" i="2"/>
  <c r="A871" i="2"/>
  <c r="A562" i="2"/>
  <c r="A131" i="2"/>
  <c r="A591" i="2"/>
  <c r="A1649" i="2"/>
  <c r="A1660" i="2"/>
  <c r="A1530" i="2"/>
  <c r="A1727" i="2"/>
  <c r="A1534" i="2"/>
  <c r="A1903" i="2"/>
  <c r="A1489" i="2"/>
  <c r="A1299" i="2"/>
  <c r="A86" i="2"/>
  <c r="A1355" i="2"/>
  <c r="A992" i="2"/>
  <c r="A1158" i="2"/>
  <c r="A1414" i="2"/>
  <c r="A311" i="2"/>
  <c r="A1372" i="2"/>
  <c r="A1469" i="2"/>
  <c r="A627" i="2"/>
  <c r="A236" i="2"/>
  <c r="A396" i="2"/>
  <c r="A1140" i="2"/>
  <c r="A1190" i="2"/>
  <c r="A324" i="2"/>
  <c r="A18" i="2"/>
  <c r="A1755" i="2"/>
  <c r="A895" i="2"/>
  <c r="A1291" i="2"/>
  <c r="A1118" i="2"/>
  <c r="A1902" i="2"/>
  <c r="A339" i="2"/>
  <c r="A746" i="2"/>
  <c r="A1261" i="2"/>
  <c r="A979" i="2"/>
  <c r="A1807" i="2"/>
  <c r="A334" i="2"/>
  <c r="A1556" i="2"/>
  <c r="A99" i="2"/>
  <c r="A40" i="2"/>
  <c r="A846" i="2"/>
  <c r="A942" i="2"/>
  <c r="A581" i="2"/>
  <c r="A876" i="2"/>
  <c r="A1901" i="2"/>
  <c r="A1789" i="2"/>
  <c r="A1359" i="2"/>
  <c r="A54" i="2"/>
  <c r="A1576" i="2"/>
  <c r="A1205" i="2"/>
  <c r="A1370" i="2"/>
  <c r="A1658" i="2"/>
  <c r="A815" i="2"/>
  <c r="A1675" i="2"/>
  <c r="A1701" i="2"/>
  <c r="A672" i="2"/>
  <c r="A526" i="2"/>
  <c r="A1057" i="2"/>
  <c r="A1647" i="2"/>
  <c r="A1473" i="2"/>
  <c r="A583" i="2"/>
  <c r="A1001" i="2"/>
  <c r="A15" i="2"/>
  <c r="A45" i="2"/>
  <c r="A696" i="2"/>
  <c r="A1413" i="2"/>
  <c r="A1266" i="2"/>
  <c r="A1193" i="2"/>
  <c r="A802" i="2"/>
  <c r="A1117" i="2"/>
  <c r="A682" i="2"/>
  <c r="A1653" i="2"/>
  <c r="A233" i="2"/>
  <c r="A1241" i="2"/>
  <c r="A534" i="2"/>
  <c r="A382" i="2"/>
  <c r="A549" i="2"/>
  <c r="A824" i="2"/>
  <c r="A704" i="2"/>
  <c r="A811" i="2"/>
  <c r="A1900" i="2"/>
  <c r="A1899" i="2"/>
  <c r="A1337" i="2"/>
  <c r="A280" i="2"/>
  <c r="A1633" i="2"/>
  <c r="A400" i="2"/>
  <c r="A1831" i="2"/>
  <c r="A705" i="2"/>
  <c r="A1610" i="2"/>
  <c r="A1022" i="2"/>
  <c r="A1225" i="2"/>
  <c r="A1248" i="2"/>
  <c r="A1898" i="2"/>
  <c r="A1054" i="2"/>
  <c r="A1834" i="2"/>
  <c r="A1773" i="2"/>
  <c r="A1794" i="2"/>
  <c r="A1539" i="2"/>
  <c r="A1542" i="2"/>
  <c r="A478" i="2"/>
  <c r="A1460" i="2"/>
  <c r="A690" i="2"/>
  <c r="A908" i="2"/>
  <c r="A754" i="2"/>
  <c r="A1264" i="2"/>
  <c r="A1897" i="2"/>
  <c r="A1157" i="2"/>
  <c r="A1602" i="2"/>
  <c r="A10" i="2"/>
  <c r="A1896" i="2"/>
  <c r="A1895" i="2"/>
  <c r="A1894" i="2"/>
  <c r="A133" i="2"/>
  <c r="A1333" i="2"/>
  <c r="A344" i="2"/>
  <c r="A1100" i="2"/>
  <c r="A1725" i="2"/>
  <c r="A1893" i="2"/>
  <c r="A393" i="2"/>
  <c r="A838" i="2"/>
  <c r="A1086" i="2"/>
  <c r="A1892" i="2"/>
  <c r="A651" i="2"/>
  <c r="A573" i="2"/>
  <c r="A1232" i="2"/>
  <c r="A68" i="2"/>
  <c r="A697" i="2"/>
  <c r="A1251" i="2"/>
  <c r="A809" i="2"/>
  <c r="A488" i="2"/>
  <c r="A1257" i="2"/>
  <c r="A101" i="2"/>
  <c r="A1272" i="2"/>
  <c r="A1891" i="2"/>
  <c r="A1200" i="2"/>
  <c r="A1582" i="2"/>
  <c r="A1417" i="2"/>
  <c r="A547" i="2"/>
  <c r="A1435" i="2"/>
  <c r="A698" i="2"/>
  <c r="A194" i="2"/>
  <c r="A43" i="2"/>
  <c r="A909" i="2"/>
  <c r="A1035" i="2"/>
  <c r="A1281" i="2"/>
  <c r="A464" i="2"/>
  <c r="A1890" i="2"/>
  <c r="A1710" i="2"/>
  <c r="A1188" i="2"/>
  <c r="A226" i="2"/>
  <c r="A204" i="2"/>
  <c r="A1730" i="2"/>
  <c r="A1889" i="2"/>
  <c r="A1451" i="2"/>
  <c r="A262" i="2"/>
  <c r="A1325" i="2"/>
  <c r="A243" i="2"/>
  <c r="A1163" i="2"/>
  <c r="A485" i="2"/>
  <c r="A626" i="2"/>
  <c r="A1640" i="2"/>
  <c r="A119" i="2"/>
  <c r="A1888" i="2"/>
  <c r="A1464" i="2"/>
  <c r="A1234" i="2"/>
  <c r="A1254" i="2"/>
  <c r="A915" i="2"/>
  <c r="A214" i="2"/>
  <c r="A1400" i="2"/>
  <c r="A524" i="2"/>
  <c r="A1104" i="2"/>
  <c r="A831" i="2"/>
  <c r="A819" i="2"/>
  <c r="A832" i="2"/>
  <c r="A1887" i="2"/>
  <c r="A1608" i="2"/>
  <c r="A1209" i="2"/>
  <c r="A157" i="2"/>
  <c r="A268" i="2"/>
  <c r="A993" i="2"/>
  <c r="A865" i="2"/>
  <c r="A584" i="2"/>
  <c r="A972" i="2"/>
  <c r="A486" i="2"/>
  <c r="A981" i="2"/>
  <c r="A1676" i="2"/>
  <c r="A1567" i="2"/>
  <c r="A1131" i="2"/>
  <c r="A1159" i="2"/>
  <c r="A444" i="2"/>
  <c r="A1351" i="2"/>
  <c r="A1103" i="2"/>
  <c r="A153" i="2"/>
  <c r="A1565" i="2"/>
  <c r="A125" i="2"/>
  <c r="A1311" i="2"/>
  <c r="A301" i="2"/>
  <c r="A568" i="2"/>
  <c r="A1133" i="2"/>
  <c r="A1076" i="2"/>
  <c r="A353" i="2"/>
  <c r="A1067" i="2"/>
  <c r="A1561" i="2"/>
  <c r="A1069" i="2"/>
  <c r="A1327" i="2"/>
  <c r="A76" i="2"/>
  <c r="A1378" i="2"/>
  <c r="A1215" i="2"/>
  <c r="A786" i="2"/>
  <c r="A1687" i="2"/>
  <c r="A1424" i="2"/>
  <c r="A668" i="2"/>
  <c r="A1682" i="2"/>
  <c r="A1171" i="2"/>
  <c r="A1224" i="2"/>
  <c r="A399" i="2"/>
  <c r="A1097" i="2"/>
  <c r="A719" i="2"/>
  <c r="A662" i="2"/>
  <c r="A12" i="2"/>
  <c r="A1490" i="2"/>
  <c r="A322" i="2"/>
  <c r="A28" i="2"/>
  <c r="A1236" i="2"/>
  <c r="A1015" i="2"/>
  <c r="A861" i="2"/>
  <c r="A14" i="2"/>
  <c r="A1622" i="2"/>
  <c r="A1443" i="2"/>
  <c r="A1229" i="2"/>
  <c r="A345" i="2"/>
  <c r="A1605" i="2"/>
  <c r="A1075" i="2"/>
  <c r="A1886" i="2"/>
  <c r="A1885" i="2"/>
  <c r="A302" i="2"/>
  <c r="A477" i="2"/>
  <c r="A1089" i="2"/>
  <c r="A1341" i="2"/>
  <c r="A1690" i="2"/>
  <c r="A938" i="2"/>
  <c r="A997" i="2"/>
  <c r="A1884" i="2"/>
  <c r="A1124" i="2"/>
  <c r="A723" i="2"/>
  <c r="A1483" i="2"/>
  <c r="A1293" i="2"/>
  <c r="A1296" i="2"/>
  <c r="A1883" i="2"/>
  <c r="A1074" i="2"/>
  <c r="A493" i="2"/>
  <c r="A1882" i="2"/>
  <c r="A1478" i="2"/>
  <c r="A1881" i="2"/>
  <c r="A1198" i="2"/>
  <c r="A1744" i="2"/>
  <c r="A1033" i="2"/>
  <c r="A858" i="2"/>
  <c r="A1121" i="2"/>
  <c r="A971" i="2"/>
  <c r="A1105" i="2"/>
  <c r="A808" i="2"/>
  <c r="A880" i="2"/>
  <c r="A1581" i="2"/>
  <c r="A60" i="2"/>
  <c r="A1796" i="2"/>
  <c r="A839" i="2"/>
  <c r="A1430" i="2"/>
  <c r="A960" i="2"/>
  <c r="A920" i="2"/>
  <c r="A1669" i="2"/>
  <c r="A1332" i="2"/>
  <c r="A913" i="2"/>
  <c r="A954" i="2"/>
  <c r="A793" i="2"/>
  <c r="A1498" i="2"/>
  <c r="A1880" i="2"/>
  <c r="A686" i="2"/>
  <c r="A707" i="2"/>
  <c r="A1879" i="2"/>
  <c r="A1878" i="2"/>
  <c r="A878" i="2"/>
  <c r="A1218" i="2"/>
  <c r="A1222" i="2"/>
  <c r="A1575" i="2"/>
  <c r="A930" i="2"/>
  <c r="A1139" i="2"/>
  <c r="A1742" i="2"/>
  <c r="A1428" i="2"/>
  <c r="A973" i="2"/>
  <c r="A551" i="2"/>
  <c r="A460" i="2"/>
  <c r="A546" i="2"/>
  <c r="A1522" i="2"/>
  <c r="A7" i="2"/>
  <c r="A1877" i="2"/>
  <c r="A5" i="2"/>
  <c r="A1175" i="2"/>
  <c r="A619" i="2"/>
  <c r="A1531" i="2"/>
  <c r="A1087" i="2"/>
  <c r="A1093" i="2"/>
  <c r="A210" i="2"/>
  <c r="A633" i="2"/>
  <c r="A1876" i="2"/>
  <c r="A1007" i="2"/>
  <c r="A356" i="2"/>
  <c r="A711" i="2"/>
  <c r="A1500" i="2"/>
  <c r="A1377" i="2"/>
  <c r="A1688" i="2"/>
  <c r="A727" i="2"/>
  <c r="A1058" i="2"/>
  <c r="A748" i="2"/>
  <c r="A694" i="2"/>
  <c r="A1189" i="2"/>
  <c r="A1309" i="2"/>
  <c r="A1875" i="2"/>
  <c r="A1835" i="2"/>
  <c r="A1799" i="2"/>
  <c r="A1468" i="2"/>
  <c r="A416" i="2"/>
  <c r="A1041" i="2"/>
  <c r="A263" i="2"/>
  <c r="A798" i="2"/>
  <c r="A991" i="2"/>
  <c r="A1412" i="2"/>
  <c r="A772" i="2"/>
  <c r="A629" i="2"/>
  <c r="A545" i="2"/>
  <c r="A1874" i="2"/>
  <c r="A23" i="2"/>
  <c r="A537" i="2"/>
  <c r="A947" i="2"/>
  <c r="A943" i="2"/>
  <c r="A1873" i="2"/>
  <c r="A822" i="2"/>
  <c r="A1691" i="2"/>
  <c r="A1721" i="2"/>
  <c r="A928" i="2"/>
  <c r="A1292" i="2"/>
  <c r="A211" i="2"/>
  <c r="A1269" i="2"/>
  <c r="A952" i="2"/>
  <c r="A1012" i="2"/>
  <c r="A1536" i="2"/>
  <c r="A980" i="2"/>
  <c r="A763" i="2"/>
  <c r="A1442" i="2"/>
  <c r="A118" i="2"/>
  <c r="A1064" i="2"/>
  <c r="A120" i="2"/>
  <c r="A1102" i="2"/>
  <c r="A413" i="2"/>
  <c r="A1872" i="2"/>
  <c r="A479" i="2"/>
  <c r="A1425" i="2"/>
  <c r="A300" i="2"/>
  <c r="A1573" i="2"/>
  <c r="A687" i="2"/>
  <c r="A1871" i="2"/>
  <c r="A1256" i="2"/>
  <c r="A25" i="2"/>
  <c r="A282" i="2"/>
  <c r="A1278" i="2"/>
  <c r="A1792" i="2"/>
  <c r="A1585" i="2"/>
  <c r="A1870" i="2"/>
  <c r="A1869" i="2"/>
  <c r="A1637" i="2"/>
  <c r="A1717" i="2"/>
  <c r="A817" i="2"/>
  <c r="A1868" i="2"/>
  <c r="A1533" i="2"/>
  <c r="A494" i="2"/>
  <c r="A782" i="2"/>
  <c r="A1642" i="2"/>
  <c r="A1723" i="2"/>
  <c r="A514" i="2"/>
  <c r="A1482" i="2"/>
  <c r="A1285" i="2"/>
  <c r="A1371" i="2"/>
  <c r="A313" i="2"/>
  <c r="A1363" i="2"/>
  <c r="A1745" i="2"/>
  <c r="A260" i="2"/>
  <c r="A357" i="2"/>
  <c r="A977" i="2"/>
  <c r="A1867" i="2"/>
  <c r="A1202" i="2"/>
  <c r="A1317" i="2"/>
  <c r="A1599" i="2"/>
  <c r="A266" i="2"/>
  <c r="A1170" i="2"/>
  <c r="A773" i="2"/>
  <c r="A645" i="2"/>
  <c r="A886" i="2"/>
  <c r="A8" i="2"/>
  <c r="A1600" i="2"/>
  <c r="A884" i="2"/>
  <c r="A1401" i="2"/>
  <c r="A590" i="2"/>
  <c r="A605" i="2"/>
  <c r="A1866" i="2"/>
  <c r="A1680" i="2"/>
  <c r="A1747" i="2"/>
  <c r="A634" i="2"/>
  <c r="A1865" i="2"/>
  <c r="A412" i="2"/>
  <c r="A845" i="2"/>
  <c r="A463" i="2"/>
  <c r="A21" i="2"/>
  <c r="A520" i="2"/>
  <c r="A318" i="2"/>
  <c r="A660" i="2"/>
  <c r="A1340" i="2"/>
  <c r="A752" i="2"/>
  <c r="A1864" i="2"/>
  <c r="A258" i="2"/>
  <c r="A346" i="2"/>
  <c r="A903" i="2"/>
  <c r="A1316" i="2"/>
  <c r="A212" i="2"/>
  <c r="A1863" i="2"/>
  <c r="A1777" i="2"/>
  <c r="A370" i="2"/>
  <c r="A995" i="2"/>
  <c r="A394" i="2"/>
  <c r="A1628" i="2"/>
  <c r="A661" i="2"/>
  <c r="A128" i="2"/>
  <c r="A521" i="2"/>
  <c r="A330" i="2"/>
  <c r="A1578" i="2"/>
  <c r="A709" i="2"/>
  <c r="A860" i="2"/>
  <c r="A1862" i="2"/>
  <c r="A409" i="2"/>
  <c r="A371" i="2"/>
  <c r="A1590" i="2"/>
  <c r="A659" i="2"/>
  <c r="A715" i="2"/>
  <c r="A518" i="2"/>
  <c r="A1861" i="2"/>
  <c r="A1336" i="2"/>
  <c r="A453" i="2"/>
  <c r="A1641" i="2"/>
  <c r="A611" i="2"/>
  <c r="A1192" i="2"/>
  <c r="A1860" i="2"/>
  <c r="A1511" i="2"/>
  <c r="A198" i="2"/>
  <c r="A508" i="2"/>
  <c r="A1859" i="2"/>
  <c r="A1858" i="2"/>
  <c r="A1243" i="2"/>
  <c r="A1207" i="2"/>
  <c r="A807" i="2"/>
  <c r="A1407" i="2"/>
  <c r="A1673" i="2"/>
  <c r="A1857" i="2"/>
  <c r="A676" i="2"/>
  <c r="A216" i="2"/>
  <c r="A1319" i="2"/>
  <c r="A1338" i="2"/>
  <c r="A75" i="2"/>
  <c r="A373" i="2"/>
  <c r="A1373" i="2"/>
  <c r="A1357" i="2"/>
  <c r="A105" i="2"/>
  <c r="A1856" i="2"/>
  <c r="A1586" i="2"/>
  <c r="A270" i="2"/>
  <c r="A655" i="2"/>
  <c r="A1496" i="2"/>
  <c r="A1677" i="2"/>
  <c r="A506" i="2"/>
  <c r="A299" i="2"/>
  <c r="A1510" i="2"/>
  <c r="A1143" i="2"/>
  <c r="A51" i="2"/>
  <c r="A730" i="2"/>
  <c r="A1452" i="2"/>
  <c r="A1368" i="2"/>
  <c r="A1540" i="2"/>
  <c r="A601" i="2"/>
  <c r="A1180" i="2"/>
  <c r="A1127" i="2"/>
  <c r="A907" i="2"/>
  <c r="A1390" i="2"/>
  <c r="A1620" i="2"/>
  <c r="A814" i="2"/>
  <c r="A1560" i="2"/>
  <c r="A1623" i="2"/>
  <c r="A303" i="2"/>
  <c r="A1279" i="2"/>
  <c r="A517" i="2"/>
  <c r="A1025" i="2"/>
  <c r="A900" i="2"/>
  <c r="A984" i="2"/>
  <c r="A823" i="2"/>
  <c r="A1023" i="2"/>
  <c r="A1784" i="2"/>
  <c r="A1506" i="2"/>
  <c r="A1488" i="2"/>
  <c r="A734" i="2"/>
  <c r="A156" i="2"/>
  <c r="A1108" i="2"/>
  <c r="A264" i="2"/>
  <c r="A681" i="2"/>
  <c r="A1161" i="2"/>
  <c r="A1709" i="2"/>
  <c r="A1499" i="2"/>
  <c r="A1855" i="2"/>
  <c r="A1574" i="2"/>
  <c r="A288" i="2"/>
  <c r="A1650" i="2"/>
  <c r="A178" i="2"/>
  <c r="A603" i="2"/>
  <c r="A1402" i="2"/>
  <c r="A1854" i="2"/>
  <c r="A530" i="2"/>
  <c r="A1335" i="2"/>
  <c r="A140" i="2"/>
  <c r="A327" i="2"/>
  <c r="A355" i="2"/>
  <c r="A256" i="2"/>
  <c r="A73" i="2"/>
  <c r="A1644" i="2"/>
  <c r="A141" i="2"/>
  <c r="A1596" i="2"/>
  <c r="A1385" i="2"/>
  <c r="A1501" i="2"/>
  <c r="A1493" i="2"/>
  <c r="A708" i="2"/>
  <c r="A442" i="2"/>
  <c r="A1156" i="2"/>
  <c r="A736" i="2"/>
  <c r="A587" i="2"/>
  <c r="A1088" i="2"/>
  <c r="A435" i="2"/>
  <c r="A574" i="2"/>
  <c r="A1314" i="2"/>
  <c r="A747" i="2"/>
  <c r="A1286" i="2"/>
  <c r="A1527" i="2"/>
  <c r="A1671" i="2"/>
  <c r="A1853" i="2"/>
  <c r="A789" i="2"/>
  <c r="A797" i="2"/>
  <c r="A834" i="2"/>
  <c r="A249" i="2"/>
  <c r="A837" i="2"/>
  <c r="A1129" i="2"/>
  <c r="A1434" i="2"/>
  <c r="A1852" i="2"/>
  <c r="A224" i="2"/>
  <c r="A1851" i="2"/>
  <c r="A176" i="2"/>
  <c r="A1014" i="2"/>
  <c r="A1206" i="2"/>
  <c r="A397" i="2"/>
  <c r="A609" i="2"/>
  <c r="A1391" i="2"/>
  <c r="A616" i="2"/>
  <c r="A50" i="2"/>
  <c r="A169" i="2"/>
  <c r="A354" i="2"/>
  <c r="A1529" i="2"/>
  <c r="A1034" i="2"/>
  <c r="A195" i="2"/>
  <c r="A323" i="2"/>
  <c r="A965" i="2"/>
  <c r="A994" i="2"/>
  <c r="A455" i="2"/>
  <c r="A80" i="2"/>
  <c r="A688" i="2"/>
  <c r="A1557" i="2"/>
  <c r="A225" i="2"/>
  <c r="A653" i="2"/>
  <c r="A427" i="2"/>
  <c r="A1214" i="2"/>
  <c r="A1310" i="2"/>
  <c r="A1420" i="2"/>
  <c r="A117" i="2"/>
  <c r="A538" i="2"/>
  <c r="A1406" i="2"/>
  <c r="A901" i="2"/>
  <c r="A332" i="2"/>
  <c r="A780" i="2"/>
  <c r="A675" i="2"/>
  <c r="A1447" i="2"/>
  <c r="A692" i="2"/>
  <c r="A806" i="2"/>
  <c r="A1356" i="2"/>
  <c r="A1418" i="2"/>
  <c r="A272" i="2"/>
  <c r="A1850" i="2"/>
  <c r="A1324" i="2"/>
  <c r="A758" i="2"/>
  <c r="A775" i="2"/>
  <c r="A1666" i="2"/>
  <c r="A617" i="2"/>
  <c r="A1616" i="2"/>
  <c r="A1672" i="2"/>
  <c r="A855" i="2"/>
  <c r="A1787" i="2"/>
  <c r="A572" i="2"/>
  <c r="A1227" i="2"/>
  <c r="A594" i="2"/>
  <c r="A637" i="2"/>
  <c r="A761" i="2"/>
  <c r="A1154" i="2"/>
  <c r="A924" i="2"/>
  <c r="A196" i="2"/>
  <c r="A338" i="2"/>
  <c r="A1520" i="2"/>
  <c r="A1466" i="2"/>
  <c r="A1631" i="2"/>
  <c r="A1384" i="2"/>
  <c r="A641" i="2"/>
  <c r="A1020" i="2"/>
  <c r="A805" i="2"/>
  <c r="A939" i="2"/>
  <c r="A628" i="2"/>
  <c r="A1779" i="2"/>
  <c r="A121" i="2"/>
  <c r="A632" i="2"/>
  <c r="A438" i="2"/>
  <c r="A1766" i="2"/>
  <c r="A614" i="2"/>
  <c r="A1549" i="2"/>
  <c r="A401" i="2"/>
  <c r="A516" i="2"/>
  <c r="A1849" i="2"/>
  <c r="A1848" i="2"/>
  <c r="A867" i="2"/>
  <c r="A295" i="2"/>
  <c r="A1268" i="2"/>
  <c r="A875" i="2"/>
  <c r="A759" i="2"/>
  <c r="A390" i="2"/>
  <c r="A1112" i="2"/>
  <c r="A1847" i="2"/>
  <c r="A563" i="2"/>
  <c r="A507" i="2"/>
  <c r="A279" i="2"/>
  <c r="A441" i="2"/>
  <c r="A129" i="2"/>
  <c r="A333" i="2"/>
  <c r="A735" i="2"/>
  <c r="A669" i="2"/>
  <c r="A1638" i="2"/>
  <c r="A259" i="2"/>
  <c r="A950" i="2"/>
  <c r="A931" i="2"/>
  <c r="A1411" i="2"/>
  <c r="A362" i="2"/>
  <c r="A292" i="2"/>
  <c r="A242" i="2"/>
  <c r="A337" i="2"/>
  <c r="A622" i="2"/>
  <c r="A1604" i="2"/>
  <c r="A207" i="2"/>
  <c r="A671" i="2"/>
  <c r="A366" i="2"/>
  <c r="A1507" i="2"/>
  <c r="A600" i="2"/>
  <c r="A474" i="2"/>
  <c r="A381" i="2"/>
  <c r="A276" i="2"/>
  <c r="A1846" i="2"/>
  <c r="A58" i="2"/>
  <c r="A171" i="2"/>
  <c r="A439" i="2"/>
  <c r="A1051" i="2"/>
  <c r="A586" i="2"/>
  <c r="A1845" i="2"/>
  <c r="A1284" i="2"/>
  <c r="A445" i="2"/>
  <c r="A78" i="2"/>
  <c r="A1334" i="2"/>
  <c r="A528" i="2"/>
  <c r="A335" i="2"/>
  <c r="A790" i="2"/>
  <c r="A863" i="2"/>
  <c r="A1302" i="2"/>
  <c r="A571" i="2"/>
  <c r="A1223" i="2"/>
  <c r="A570" i="2"/>
  <c r="A1429" i="2"/>
  <c r="A1504" i="2"/>
  <c r="A702" i="2"/>
  <c r="A536" i="2"/>
  <c r="A127" i="2"/>
  <c r="A309" i="2"/>
  <c r="A201" i="2"/>
  <c r="A62" i="2"/>
  <c r="A740" i="2"/>
  <c r="A1731" i="2"/>
  <c r="A604" i="2"/>
  <c r="A107" i="2"/>
  <c r="A108" i="2"/>
  <c r="A525" i="2"/>
  <c r="A881" i="2"/>
  <c r="A539" i="2"/>
  <c r="A1027" i="2"/>
  <c r="A363" i="2"/>
  <c r="A1005" i="2"/>
  <c r="A729" i="2"/>
  <c r="A964" i="2"/>
  <c r="A1668" i="2"/>
  <c r="A961" i="2"/>
  <c r="A1450" i="2"/>
  <c r="A181" i="2"/>
  <c r="A1564" i="2"/>
  <c r="A1107" i="2"/>
  <c r="A1179" i="2"/>
  <c r="A593" i="2"/>
  <c r="A825" i="2"/>
  <c r="A724" i="2"/>
  <c r="A1250" i="2"/>
  <c r="A1006" i="2"/>
  <c r="A1805" i="2"/>
  <c r="A1318" i="2"/>
  <c r="A273" i="2"/>
  <c r="A598" i="2"/>
  <c r="A395" i="2"/>
  <c r="A890" i="2"/>
  <c r="A77" i="2"/>
  <c r="A990" i="2"/>
  <c r="A406" i="2"/>
  <c r="A38" i="2"/>
  <c r="A1524" i="2"/>
  <c r="A646" i="2"/>
  <c r="A1698" i="2"/>
  <c r="A1350" i="2"/>
  <c r="A437" i="2"/>
  <c r="A1844" i="2"/>
  <c r="A1712" i="2"/>
  <c r="A693" i="2"/>
  <c r="A1082" i="2"/>
  <c r="A1039" i="2"/>
  <c r="A944" i="2"/>
  <c r="A1245" i="2"/>
  <c r="A785" i="2"/>
  <c r="A640" i="2"/>
  <c r="A1046" i="2"/>
  <c r="A1364" i="2"/>
  <c r="A869" i="2"/>
  <c r="A1768" i="2"/>
  <c r="A223" i="2"/>
  <c r="A976" i="2"/>
  <c r="A529" i="2"/>
  <c r="A269" i="2"/>
  <c r="A1212" i="2"/>
  <c r="A647" i="2"/>
  <c r="A813" i="2"/>
  <c r="A1040" i="2"/>
  <c r="A219" i="2"/>
  <c r="A84" i="2"/>
  <c r="A110" i="2"/>
  <c r="A278" i="2"/>
  <c r="A1562" i="2"/>
  <c r="A1651" i="2"/>
  <c r="A776" i="2"/>
  <c r="A1141" i="2"/>
  <c r="A1508" i="2"/>
  <c r="A1497" i="2"/>
  <c r="A1235" i="2"/>
  <c r="A498" i="2"/>
  <c r="A502" i="2"/>
  <c r="A55" i="2"/>
  <c r="A1360" i="2"/>
  <c r="A1579" i="2"/>
  <c r="A163" i="2"/>
  <c r="A95" i="2"/>
  <c r="A1295" i="2"/>
  <c r="A1449" i="2"/>
  <c r="A1149" i="2"/>
  <c r="A342" i="2"/>
  <c r="A376" i="2"/>
  <c r="A1580" i="2"/>
  <c r="A1423" i="2"/>
  <c r="A1663" i="2"/>
  <c r="A388" i="2"/>
  <c r="A656" i="2"/>
  <c r="A1008" i="2"/>
  <c r="A325" i="2"/>
  <c r="A434" i="2"/>
  <c r="A1552" i="2"/>
  <c r="A768" i="2"/>
  <c r="A480" i="2"/>
  <c r="A385" i="2"/>
  <c r="A220" i="2"/>
  <c r="A1843" i="2"/>
  <c r="A468" i="2"/>
  <c r="A879" i="2"/>
  <c r="A1842" i="2"/>
  <c r="A1416" i="2"/>
  <c r="A542" i="2"/>
  <c r="A103" i="2"/>
  <c r="A199" i="2"/>
  <c r="A222" i="2"/>
  <c r="A829" i="2"/>
  <c r="A476" i="2"/>
  <c r="A1151" i="2"/>
  <c r="A1381" i="2"/>
  <c r="A1389" i="2"/>
  <c r="A527" i="2"/>
  <c r="A49" i="2"/>
  <c r="A450" i="2"/>
  <c r="A1515" i="2"/>
  <c r="A1696" i="2"/>
  <c r="A1387" i="2"/>
  <c r="A1543" i="2"/>
  <c r="A1196" i="2"/>
  <c r="A1765" i="2"/>
  <c r="A552" i="2"/>
  <c r="A674" i="2"/>
  <c r="A351" i="2"/>
  <c r="A561" i="2"/>
  <c r="A277" i="2"/>
  <c r="A1474" i="2"/>
  <c r="A925" i="2"/>
  <c r="A654" i="2"/>
  <c r="A255" i="2"/>
  <c r="A102" i="2"/>
  <c r="A1083" i="2"/>
  <c r="A19" i="2"/>
  <c r="A106" i="2"/>
  <c r="A1191" i="2"/>
  <c r="A331" i="2"/>
  <c r="A228" i="2"/>
  <c r="A699" i="2"/>
  <c r="A1349" i="2"/>
  <c r="A159" i="2"/>
  <c r="A722" i="2"/>
  <c r="A1465" i="2"/>
  <c r="A791" i="2"/>
  <c r="A499" i="2"/>
  <c r="A1312" i="2"/>
  <c r="A1841" i="2"/>
  <c r="A104" i="2"/>
  <c r="A770" i="2"/>
  <c r="A670" i="2"/>
  <c r="A732" i="2"/>
  <c r="A142" i="2"/>
  <c r="A109" i="2"/>
  <c r="A426" i="2"/>
  <c r="A541" i="2"/>
  <c r="A728" i="2"/>
  <c r="A378" i="2"/>
  <c r="A218" i="2"/>
  <c r="A613" i="2"/>
  <c r="A1260" i="2"/>
  <c r="A166" i="2"/>
  <c r="A543" i="2"/>
  <c r="A1026" i="2"/>
  <c r="A742" i="2"/>
  <c r="A1840" i="2"/>
  <c r="A974" i="2"/>
  <c r="A1358" i="2"/>
  <c r="A144" i="2"/>
  <c r="A124" i="2"/>
  <c r="A1348" i="2"/>
  <c r="A1382" i="2"/>
  <c r="A970" i="2"/>
  <c r="A22" i="2"/>
  <c r="A379" i="2"/>
  <c r="A689" i="2"/>
  <c r="A410" i="2"/>
  <c r="A240" i="2"/>
  <c r="A1300" i="2"/>
  <c r="A510" i="2"/>
  <c r="A96" i="2"/>
  <c r="A868" i="2"/>
  <c r="A1365" i="2"/>
  <c r="A497" i="2"/>
  <c r="A1718" i="2"/>
  <c r="A1439" i="2"/>
  <c r="A430" i="2"/>
  <c r="A387" i="2"/>
  <c r="A1119" i="2"/>
  <c r="A1781" i="2"/>
  <c r="A1453" i="2"/>
  <c r="A1839" i="2"/>
  <c r="A1492" i="2"/>
  <c r="A792" i="2"/>
  <c r="A265" i="2"/>
  <c r="A257" i="2"/>
  <c r="A1503" i="2"/>
  <c r="A182" i="2"/>
  <c r="A556" i="2"/>
  <c r="A405" i="2"/>
  <c r="A1070" i="2"/>
  <c r="A787" i="2"/>
  <c r="A473" i="2"/>
  <c r="A1298" i="2"/>
  <c r="A348" i="2"/>
  <c r="A1138" i="2"/>
  <c r="A33" i="2"/>
  <c r="A215" i="2"/>
  <c r="A253" i="2"/>
  <c r="A1240" i="2"/>
  <c r="A274" i="2"/>
  <c r="A1612" i="2"/>
  <c r="A1838" i="2"/>
  <c r="A297" i="2"/>
  <c r="A1253" i="2"/>
  <c r="A560" i="2"/>
  <c r="A1837" i="2"/>
  <c r="A1614" i="2"/>
  <c r="A1047" i="2"/>
  <c r="A1142" i="2"/>
  <c r="A1399" i="2"/>
  <c r="A678" i="2"/>
  <c r="A866" i="2"/>
  <c r="A1144" i="2"/>
  <c r="A1204" i="2"/>
  <c r="A1386" i="2"/>
  <c r="A1165" i="2"/>
  <c r="A1836" i="2"/>
  <c r="A945" i="2"/>
  <c r="A607" i="2"/>
  <c r="A799" i="2"/>
  <c r="A896" i="2"/>
  <c r="A1392" i="2"/>
  <c r="A317" i="2"/>
  <c r="A39" i="2"/>
  <c r="A367" i="2"/>
  <c r="A818" i="2"/>
  <c r="A532" i="2"/>
  <c r="A307" i="2"/>
  <c r="A221" i="2"/>
  <c r="A1751" i="2"/>
  <c r="A1346" i="2"/>
  <c r="A1720" i="2"/>
  <c r="A369" i="2"/>
  <c r="A467" i="2"/>
  <c r="A685" i="2"/>
  <c r="A170" i="2"/>
  <c r="A114" i="2"/>
  <c r="A1326" i="2"/>
  <c r="A1153" i="2"/>
  <c r="A483" i="2"/>
  <c r="A319" i="2"/>
  <c r="A1024" i="2"/>
  <c r="A67" i="2"/>
  <c r="A359" i="2"/>
  <c r="A183" i="2"/>
  <c r="A918" i="2"/>
  <c r="A1148" i="2"/>
  <c r="A111" i="2"/>
  <c r="A1137" i="2"/>
  <c r="A188" i="2"/>
  <c r="A1176" i="2"/>
  <c r="A883" i="2"/>
  <c r="A739" i="2"/>
  <c r="A891" i="2"/>
  <c r="A146" i="2"/>
  <c r="A910" i="2"/>
  <c r="A231" i="2"/>
  <c r="A180" i="2"/>
  <c r="A569" i="2"/>
  <c r="A872" i="2"/>
  <c r="A577" i="2"/>
  <c r="A1125" i="2"/>
  <c r="A1128" i="2"/>
  <c r="A624" i="2"/>
  <c r="A555" i="2"/>
  <c r="A749" i="2"/>
  <c r="A877" i="2"/>
  <c r="A726" i="2"/>
  <c r="A1304" i="2"/>
  <c r="A535" i="2"/>
  <c r="A1147" i="2"/>
  <c r="A664" i="2"/>
  <c r="A725" i="2"/>
  <c r="A458" i="2"/>
  <c r="A89" i="2"/>
  <c r="A418" i="2"/>
  <c r="A1495" i="2"/>
  <c r="A576" i="2"/>
  <c r="A1756" i="2"/>
  <c r="A368" i="2"/>
  <c r="A949" i="2"/>
  <c r="A1617" i="2"/>
  <c r="A652" i="2"/>
  <c r="A862" i="2"/>
  <c r="A9" i="2"/>
  <c r="A951" i="2"/>
  <c r="A612" i="2"/>
  <c r="A899" i="2"/>
  <c r="A1247" i="2"/>
  <c r="A1003" i="2"/>
  <c r="A1535" i="2"/>
  <c r="A347" i="2"/>
  <c r="A287" i="2"/>
  <c r="A208" i="2"/>
  <c r="A1833" i="2"/>
  <c r="A16" i="2"/>
  <c r="A415" i="2"/>
  <c r="A650" i="2"/>
  <c r="A1195" i="2"/>
  <c r="A308" i="2"/>
  <c r="A1092" i="2"/>
  <c r="A209" i="2"/>
  <c r="A122" i="2"/>
  <c r="A941" i="2"/>
  <c r="A1263" i="2"/>
  <c r="A496" i="2"/>
  <c r="A20" i="2"/>
  <c r="A197" i="2"/>
  <c r="A1461" i="2"/>
  <c r="A281" i="2"/>
  <c r="A1706" i="2"/>
  <c r="A64" i="2"/>
  <c r="A937" i="2"/>
  <c r="A917" i="2"/>
  <c r="A1813" i="2"/>
  <c r="A1487" i="2"/>
  <c r="A465" i="2"/>
  <c r="A1463" i="2"/>
  <c r="A912" i="2"/>
  <c r="A312" i="2"/>
  <c r="A1589" i="2"/>
  <c r="A145" i="2"/>
  <c r="A1145" i="2"/>
  <c r="A350" i="2"/>
  <c r="A1120" i="2"/>
  <c r="A1679" i="2"/>
  <c r="A1060" i="2"/>
  <c r="A859" i="2"/>
  <c r="A1472" i="2"/>
  <c r="A229" i="2"/>
  <c r="A314" i="2"/>
  <c r="A27" i="2"/>
  <c r="A816" i="2"/>
  <c r="A31" i="2"/>
  <c r="A383" i="2"/>
  <c r="A1111" i="2"/>
  <c r="A764" i="2"/>
  <c r="A83" i="2"/>
  <c r="A1785" i="2"/>
  <c r="A897" i="2"/>
  <c r="A456" i="2"/>
  <c r="A1252" i="2"/>
  <c r="A71" i="2"/>
  <c r="A836" i="2"/>
  <c r="A843" i="2"/>
  <c r="A750" i="2"/>
  <c r="A523" i="2"/>
  <c r="A247" i="2"/>
  <c r="A234" i="2"/>
  <c r="A130" i="2"/>
  <c r="A680" i="2"/>
  <c r="A172" i="2"/>
  <c r="A286" i="2"/>
  <c r="A599" i="2"/>
  <c r="A1606" i="2"/>
  <c r="A126" i="2"/>
  <c r="A1289" i="2"/>
  <c r="A1803" i="2"/>
  <c r="A168" i="2"/>
  <c r="A495" i="2"/>
  <c r="A1662" i="2"/>
  <c r="A978" i="2"/>
  <c r="A449" i="2"/>
  <c r="A374" i="2"/>
  <c r="A1611" i="2"/>
  <c r="A887" i="2"/>
  <c r="A61" i="2"/>
  <c r="A174" i="2"/>
  <c r="A1010" i="2"/>
  <c r="A544" i="2"/>
  <c r="A962" i="2"/>
  <c r="A635" i="2"/>
  <c r="A134" i="2"/>
  <c r="A1331" i="2"/>
  <c r="A751" i="2"/>
  <c r="A894" i="2"/>
  <c r="A26" i="2"/>
  <c r="A1197" i="2"/>
  <c r="A531" i="2"/>
  <c r="A1323" i="2"/>
  <c r="A582" i="2"/>
  <c r="A630" i="2"/>
  <c r="A462" i="2"/>
  <c r="A706" i="2"/>
  <c r="A796" i="2"/>
  <c r="A271" i="2"/>
  <c r="A779" i="2"/>
  <c r="A1288" i="2"/>
  <c r="A484" i="2"/>
  <c r="A597" i="2"/>
  <c r="A148" i="2"/>
  <c r="A667" i="2"/>
  <c r="A475" i="2"/>
  <c r="A364" i="2"/>
  <c r="A46" i="2"/>
  <c r="A644" i="2"/>
  <c r="A481" i="2"/>
  <c r="A595" i="2"/>
  <c r="A192" i="2"/>
  <c r="A461" i="2"/>
  <c r="A566" i="2"/>
  <c r="A1374" i="2"/>
  <c r="A294" i="2"/>
  <c r="A1347" i="2"/>
  <c r="A854" i="2"/>
  <c r="A1692" i="2"/>
  <c r="A137" i="2"/>
  <c r="A189" i="2"/>
  <c r="A136" i="2"/>
  <c r="A85" i="2"/>
  <c r="A404" i="2"/>
  <c r="A35" i="2"/>
  <c r="A1572" i="2"/>
  <c r="A550" i="2"/>
  <c r="A743" i="2"/>
  <c r="A625" i="2"/>
  <c r="A1174" i="2"/>
  <c r="A821" i="2"/>
  <c r="A138" i="2"/>
  <c r="A1354" i="2"/>
  <c r="A511" i="2"/>
  <c r="A261" i="2"/>
  <c r="A93" i="2"/>
  <c r="A666" i="2"/>
</calcChain>
</file>

<file path=xl/sharedStrings.xml><?xml version="1.0" encoding="utf-8"?>
<sst xmlns="http://schemas.openxmlformats.org/spreadsheetml/2006/main" count="26429" uniqueCount="2388">
  <si>
    <t>Month</t>
  </si>
  <si>
    <t>SupaAgent ID</t>
  </si>
  <si>
    <t>Payout</t>
  </si>
  <si>
    <t>No. of projects</t>
  </si>
  <si>
    <t>X3465</t>
  </si>
  <si>
    <t>X3222</t>
  </si>
  <si>
    <t>X1632</t>
  </si>
  <si>
    <t>X2916I</t>
  </si>
  <si>
    <t>X1X7E</t>
  </si>
  <si>
    <t>X1P8X</t>
  </si>
  <si>
    <t>X2606</t>
  </si>
  <si>
    <t>X23JA</t>
  </si>
  <si>
    <t>X1JNX</t>
  </si>
  <si>
    <t>X1V12I</t>
  </si>
  <si>
    <t>X1LJN</t>
  </si>
  <si>
    <t>X1MLD</t>
  </si>
  <si>
    <t>X2473</t>
  </si>
  <si>
    <t>X2BZB</t>
  </si>
  <si>
    <t>X2972</t>
  </si>
  <si>
    <t>X1SHO</t>
  </si>
  <si>
    <t>X3078</t>
  </si>
  <si>
    <t>X1663</t>
  </si>
  <si>
    <t>X2CND</t>
  </si>
  <si>
    <t>X2DDD</t>
  </si>
  <si>
    <t>X2914J</t>
  </si>
  <si>
    <t>X2B6N</t>
  </si>
  <si>
    <t>X1UGS</t>
  </si>
  <si>
    <t>X2BO3</t>
  </si>
  <si>
    <t>X2330</t>
  </si>
  <si>
    <t>X24BU</t>
  </si>
  <si>
    <t>X29XX</t>
  </si>
  <si>
    <t>X2BSL</t>
  </si>
  <si>
    <t>X2032</t>
  </si>
  <si>
    <t>X3158</t>
  </si>
  <si>
    <t>X2517</t>
  </si>
  <si>
    <t>X1568</t>
  </si>
  <si>
    <t>X2BIE</t>
  </si>
  <si>
    <t>X1LKB</t>
  </si>
  <si>
    <t>X2C4Q</t>
  </si>
  <si>
    <t>X27G6</t>
  </si>
  <si>
    <t>X1YO6</t>
  </si>
  <si>
    <t>X2931</t>
  </si>
  <si>
    <t>X22FQ</t>
  </si>
  <si>
    <t>X2BIY</t>
  </si>
  <si>
    <t>X2976</t>
  </si>
  <si>
    <t>X3220</t>
  </si>
  <si>
    <t>X2C11B</t>
  </si>
  <si>
    <t>X2745</t>
  </si>
  <si>
    <t>X27K1</t>
  </si>
  <si>
    <t>X1XG2</t>
  </si>
  <si>
    <t>X2911Q</t>
  </si>
  <si>
    <t>X2C3N</t>
  </si>
  <si>
    <t>X29GT</t>
  </si>
  <si>
    <t>X2CGM</t>
  </si>
  <si>
    <t>X296P</t>
  </si>
  <si>
    <t>X20PB</t>
  </si>
  <si>
    <t>X2822</t>
  </si>
  <si>
    <t>X2AMK</t>
  </si>
  <si>
    <t>X2BCF</t>
  </si>
  <si>
    <t>X2CM3</t>
  </si>
  <si>
    <t>X22KL</t>
  </si>
  <si>
    <t>X1LDP</t>
  </si>
  <si>
    <t>X2254</t>
  </si>
  <si>
    <t>X2D9J</t>
  </si>
  <si>
    <t>X21AU</t>
  </si>
  <si>
    <t>X2247</t>
  </si>
  <si>
    <t>X2956</t>
  </si>
  <si>
    <t>X2CFC</t>
  </si>
  <si>
    <t>X2161</t>
  </si>
  <si>
    <t>X1MOY</t>
  </si>
  <si>
    <t>X2DBG</t>
  </si>
  <si>
    <t>X22JH</t>
  </si>
  <si>
    <t>X2BAK</t>
  </si>
  <si>
    <t>X2CAH</t>
  </si>
  <si>
    <t>X1JMI</t>
  </si>
  <si>
    <t>X21BC</t>
  </si>
  <si>
    <t>X1831</t>
  </si>
  <si>
    <t>X1YBL</t>
  </si>
  <si>
    <t>X2CY4</t>
  </si>
  <si>
    <t>X2881</t>
  </si>
  <si>
    <t>X3540</t>
  </si>
  <si>
    <t>X1JQ0</t>
  </si>
  <si>
    <t>X282U</t>
  </si>
  <si>
    <t>X2B7X</t>
  </si>
  <si>
    <t>X29NG</t>
  </si>
  <si>
    <t>X1LIS</t>
  </si>
  <si>
    <t>X2710</t>
  </si>
  <si>
    <t>X2A5B</t>
  </si>
  <si>
    <t>X3493</t>
  </si>
  <si>
    <t>X2AK3</t>
  </si>
  <si>
    <t>X20KW</t>
  </si>
  <si>
    <t>X2DNK</t>
  </si>
  <si>
    <t>X2D51</t>
  </si>
  <si>
    <t>X1X10Z</t>
  </si>
  <si>
    <t>X1U93</t>
  </si>
  <si>
    <t>X3217</t>
  </si>
  <si>
    <t>X2890</t>
  </si>
  <si>
    <t>X2AKE</t>
  </si>
  <si>
    <t>X29JS</t>
  </si>
  <si>
    <t>X1XN3</t>
  </si>
  <si>
    <t>X2A122</t>
  </si>
  <si>
    <t>X2C12O</t>
  </si>
  <si>
    <t>X22ER</t>
  </si>
  <si>
    <t>X234S</t>
  </si>
  <si>
    <t>X2C13H</t>
  </si>
  <si>
    <t>X2DFH</t>
  </si>
  <si>
    <t>X1KKC</t>
  </si>
  <si>
    <t>X297U</t>
  </si>
  <si>
    <t>X1KX1</t>
  </si>
  <si>
    <t>X29L2</t>
  </si>
  <si>
    <t>X2ACZ</t>
  </si>
  <si>
    <t>X29TF</t>
  </si>
  <si>
    <t>X2ATW</t>
  </si>
  <si>
    <t>X2BXY</t>
  </si>
  <si>
    <t>X2AH4</t>
  </si>
  <si>
    <t>X29ZD</t>
  </si>
  <si>
    <t>X29O7</t>
  </si>
  <si>
    <t>X2C15S</t>
  </si>
  <si>
    <t>X2C88</t>
  </si>
  <si>
    <t>X1XRR</t>
  </si>
  <si>
    <t>X1VNQ</t>
  </si>
  <si>
    <t>X1JFW</t>
  </si>
  <si>
    <t>X3474</t>
  </si>
  <si>
    <t>X1L6O</t>
  </si>
  <si>
    <t>X2CKW</t>
  </si>
  <si>
    <t>X1WOS</t>
  </si>
  <si>
    <t>X3295</t>
  </si>
  <si>
    <t>X233X</t>
  </si>
  <si>
    <t>X1VSD</t>
  </si>
  <si>
    <t>X2293</t>
  </si>
  <si>
    <t>X2656</t>
  </si>
  <si>
    <t>X1WR3</t>
  </si>
  <si>
    <t>X2DHW</t>
  </si>
  <si>
    <t>X1ZJY</t>
  </si>
  <si>
    <t>X20UD</t>
  </si>
  <si>
    <t>X1671</t>
  </si>
  <si>
    <t>X29U5</t>
  </si>
  <si>
    <t>X294W</t>
  </si>
  <si>
    <t>X1SIX</t>
  </si>
  <si>
    <t>X3288</t>
  </si>
  <si>
    <t>X21EU</t>
  </si>
  <si>
    <t>X27TL</t>
  </si>
  <si>
    <t>X3515</t>
  </si>
  <si>
    <t>X1LNH</t>
  </si>
  <si>
    <t>X29ST</t>
  </si>
  <si>
    <t>X3384</t>
  </si>
  <si>
    <t>X27G8</t>
  </si>
  <si>
    <t>X3467</t>
  </si>
  <si>
    <t>X2CHK</t>
  </si>
  <si>
    <t>X2C6R</t>
  </si>
  <si>
    <t>X29CH</t>
  </si>
  <si>
    <t>X2914E</t>
  </si>
  <si>
    <t>X1X80</t>
  </si>
  <si>
    <t>X2A16J</t>
  </si>
  <si>
    <t>X1UDZ</t>
  </si>
  <si>
    <t>X2C3J</t>
  </si>
  <si>
    <t>X1QDE</t>
  </si>
  <si>
    <t>X1X92</t>
  </si>
  <si>
    <t>X2DH3</t>
  </si>
  <si>
    <t>X2C2Y</t>
  </si>
  <si>
    <t>X3075</t>
  </si>
  <si>
    <t>X294U</t>
  </si>
  <si>
    <t>X3174</t>
  </si>
  <si>
    <t>X2638</t>
  </si>
  <si>
    <t>X2885</t>
  </si>
  <si>
    <t>X29CU</t>
  </si>
  <si>
    <t>X2BIZ</t>
  </si>
  <si>
    <t>X2187</t>
  </si>
  <si>
    <t>X1LNJ</t>
  </si>
  <si>
    <t>X1VS6</t>
  </si>
  <si>
    <t>X235F</t>
  </si>
  <si>
    <t>X2AU3</t>
  </si>
  <si>
    <t>X1Y64</t>
  </si>
  <si>
    <t>X29B0</t>
  </si>
  <si>
    <t>X29128</t>
  </si>
  <si>
    <t>E1241</t>
  </si>
  <si>
    <t>X2970</t>
  </si>
  <si>
    <t>X2C73</t>
  </si>
  <si>
    <t>X2B4B</t>
  </si>
  <si>
    <t>X29B9</t>
  </si>
  <si>
    <t>X3081</t>
  </si>
  <si>
    <t>X2CHF</t>
  </si>
  <si>
    <t>X1WZJ</t>
  </si>
  <si>
    <t>X1VSG</t>
  </si>
  <si>
    <t>X1X81</t>
  </si>
  <si>
    <t>X1XL0</t>
  </si>
  <si>
    <t>X20VK</t>
  </si>
  <si>
    <t>X2DDF</t>
  </si>
  <si>
    <t>X1929</t>
  </si>
  <si>
    <t>X2DMV</t>
  </si>
  <si>
    <t>X3529</t>
  </si>
  <si>
    <t>X1754</t>
  </si>
  <si>
    <t>X1PDU</t>
  </si>
  <si>
    <t>X1ON7</t>
  </si>
  <si>
    <t>X1WND</t>
  </si>
  <si>
    <t>X1V19J</t>
  </si>
  <si>
    <t>X2C9P</t>
  </si>
  <si>
    <t>X2C16H</t>
  </si>
  <si>
    <t>X2C7O</t>
  </si>
  <si>
    <t>X1LI5</t>
  </si>
  <si>
    <t>X1VTY</t>
  </si>
  <si>
    <t>X1697</t>
  </si>
  <si>
    <t>X1WOU</t>
  </si>
  <si>
    <t>X1WRX</t>
  </si>
  <si>
    <t>X1X2X</t>
  </si>
  <si>
    <t>X3154</t>
  </si>
  <si>
    <t>X2D5H</t>
  </si>
  <si>
    <t>X2BXP</t>
  </si>
  <si>
    <t>X1NKJ</t>
  </si>
  <si>
    <t>X2973</t>
  </si>
  <si>
    <t>X2C5J</t>
  </si>
  <si>
    <t>X21KB</t>
  </si>
  <si>
    <t>X298F</t>
  </si>
  <si>
    <t>X2C2Q</t>
  </si>
  <si>
    <t>X2DF4</t>
  </si>
  <si>
    <t>X1785</t>
  </si>
  <si>
    <t>X2329</t>
  </si>
  <si>
    <t>X2CSE</t>
  </si>
  <si>
    <t>X1JHT</t>
  </si>
  <si>
    <t>X2BT7</t>
  </si>
  <si>
    <t>X21G1</t>
  </si>
  <si>
    <t>X2DN4</t>
  </si>
  <si>
    <t>X2COR</t>
  </si>
  <si>
    <t>X3460</t>
  </si>
  <si>
    <t>X2C9Z</t>
  </si>
  <si>
    <t>X1XJN</t>
  </si>
  <si>
    <t>X3593</t>
  </si>
  <si>
    <t>X2912G</t>
  </si>
  <si>
    <t>X2B10D</t>
  </si>
  <si>
    <t>X2CA9</t>
  </si>
  <si>
    <t>X2449</t>
  </si>
  <si>
    <t>X1OA4</t>
  </si>
  <si>
    <t>X1XD4</t>
  </si>
  <si>
    <t>X1RAK</t>
  </si>
  <si>
    <t>X2DHB</t>
  </si>
  <si>
    <t>X2A17L</t>
  </si>
  <si>
    <t>X2D3S</t>
  </si>
  <si>
    <t>X1LNF</t>
  </si>
  <si>
    <t>X2CX4</t>
  </si>
  <si>
    <t>X3007</t>
  </si>
  <si>
    <t>X1Y72</t>
  </si>
  <si>
    <t>X1ZEF</t>
  </si>
  <si>
    <t>X2DFN</t>
  </si>
  <si>
    <t>X3139</t>
  </si>
  <si>
    <t>X1LET</t>
  </si>
  <si>
    <t>X3065</t>
  </si>
  <si>
    <t>X2BTL</t>
  </si>
  <si>
    <t>X2CVB</t>
  </si>
  <si>
    <t>X1JPU</t>
  </si>
  <si>
    <t>X2C8S</t>
  </si>
  <si>
    <t>X2D7A</t>
  </si>
  <si>
    <t>X3201</t>
  </si>
  <si>
    <t>X21OT</t>
  </si>
  <si>
    <t>X2B6D</t>
  </si>
  <si>
    <t>X2CVP</t>
  </si>
  <si>
    <t>X2823</t>
  </si>
  <si>
    <t>X2C4A</t>
  </si>
  <si>
    <t>X2AW8</t>
  </si>
  <si>
    <t>X2C14K</t>
  </si>
  <si>
    <t>X1RAL</t>
  </si>
  <si>
    <t>X2DAT</t>
  </si>
  <si>
    <t>X1LUO</t>
  </si>
  <si>
    <t>X2015W</t>
  </si>
  <si>
    <t>X1Z7V</t>
  </si>
  <si>
    <t>X2B8I</t>
  </si>
  <si>
    <t>X1JV6</t>
  </si>
  <si>
    <t>X2D5L</t>
  </si>
  <si>
    <t>X1X8Y</t>
  </si>
  <si>
    <t>X2A6S</t>
  </si>
  <si>
    <t>X2B3U</t>
  </si>
  <si>
    <t>X3523</t>
  </si>
  <si>
    <t>X29JT</t>
  </si>
  <si>
    <t>X2DG4</t>
  </si>
  <si>
    <t>X27QS</t>
  </si>
  <si>
    <t>X1JJC</t>
  </si>
  <si>
    <t>X2964</t>
  </si>
  <si>
    <t>X2299</t>
  </si>
  <si>
    <t>X1JG1</t>
  </si>
  <si>
    <t>X3616</t>
  </si>
  <si>
    <t>X2935</t>
  </si>
  <si>
    <t>X22I4</t>
  </si>
  <si>
    <t>X1979</t>
  </si>
  <si>
    <t>X1Y3W</t>
  </si>
  <si>
    <t>X29W8</t>
  </si>
  <si>
    <t>X2DR4</t>
  </si>
  <si>
    <t>X3148</t>
  </si>
  <si>
    <t>X1JX8</t>
  </si>
  <si>
    <t>X2981</t>
  </si>
  <si>
    <t>X3309</t>
  </si>
  <si>
    <t>X1680</t>
  </si>
  <si>
    <t>X1JXT</t>
  </si>
  <si>
    <t>X2DNX</t>
  </si>
  <si>
    <t>X2BXD</t>
  </si>
  <si>
    <t>X1XMZ</t>
  </si>
  <si>
    <t>X29VY</t>
  </si>
  <si>
    <t>X236K</t>
  </si>
  <si>
    <t>X2756</t>
  </si>
  <si>
    <t>X2CSB</t>
  </si>
  <si>
    <t>X2CIO</t>
  </si>
  <si>
    <t>X1MM4</t>
  </si>
  <si>
    <t>X1YFF</t>
  </si>
  <si>
    <t>X1N8P</t>
  </si>
  <si>
    <t>X2DGQ</t>
  </si>
  <si>
    <t>X1VBL</t>
  </si>
  <si>
    <t>X29WZ</t>
  </si>
  <si>
    <t>X2CVZ</t>
  </si>
  <si>
    <t>X2943</t>
  </si>
  <si>
    <t>X1X2F</t>
  </si>
  <si>
    <t>X1XI3</t>
  </si>
  <si>
    <t>X295G</t>
  </si>
  <si>
    <t>X1X9T</t>
  </si>
  <si>
    <t>X2DKX</t>
  </si>
  <si>
    <t>X2C10L</t>
  </si>
  <si>
    <t>X20U7</t>
  </si>
  <si>
    <t>X1XF0</t>
  </si>
  <si>
    <t>X2A5A</t>
  </si>
  <si>
    <t>X2AM8</t>
  </si>
  <si>
    <t>X2B87</t>
  </si>
  <si>
    <t>X29BW</t>
  </si>
  <si>
    <t>X2BX0</t>
  </si>
  <si>
    <t>X2916N</t>
  </si>
  <si>
    <t>X2BP3</t>
  </si>
  <si>
    <t>X2BCG</t>
  </si>
  <si>
    <t>X2C14R</t>
  </si>
  <si>
    <t>X28CG</t>
  </si>
  <si>
    <t>X20XT</t>
  </si>
  <si>
    <t>X1YCD</t>
  </si>
  <si>
    <t>X2BLT</t>
  </si>
  <si>
    <t>X24CG</t>
  </si>
  <si>
    <t>X1YF3</t>
  </si>
  <si>
    <t>X3157</t>
  </si>
  <si>
    <t>X3118</t>
  </si>
  <si>
    <t>X1837</t>
  </si>
  <si>
    <t>X2ACY</t>
  </si>
  <si>
    <t>X3355</t>
  </si>
  <si>
    <t>X2CU6</t>
  </si>
  <si>
    <t>X2AE7</t>
  </si>
  <si>
    <t>X1752</t>
  </si>
  <si>
    <t>X2DN6</t>
  </si>
  <si>
    <t>X2DIC</t>
  </si>
  <si>
    <t>X1R3Y</t>
  </si>
  <si>
    <t>X2CE4</t>
  </si>
  <si>
    <t>X2C128</t>
  </si>
  <si>
    <t>X3451</t>
  </si>
  <si>
    <t>X1WSD</t>
  </si>
  <si>
    <t>X2014E</t>
  </si>
  <si>
    <t>X29M2</t>
  </si>
  <si>
    <t>X1JVC</t>
  </si>
  <si>
    <t>X1LH5</t>
  </si>
  <si>
    <t>X3291</t>
  </si>
  <si>
    <t>X1VAS</t>
  </si>
  <si>
    <t>X2BW8</t>
  </si>
  <si>
    <t>X1KH6</t>
  </si>
  <si>
    <t>X1JJ8</t>
  </si>
  <si>
    <t>X29LP</t>
  </si>
  <si>
    <t>X23AQ</t>
  </si>
  <si>
    <t>X2D7N</t>
  </si>
  <si>
    <t>X1JNQ</t>
  </si>
  <si>
    <t>X3012</t>
  </si>
  <si>
    <t>X1YTM</t>
  </si>
  <si>
    <t>X1Q79</t>
  </si>
  <si>
    <t>X27QI</t>
  </si>
  <si>
    <t>X1VP4</t>
  </si>
  <si>
    <t>X1STC</t>
  </si>
  <si>
    <t>X21I1</t>
  </si>
  <si>
    <t>X1ZRQ</t>
  </si>
  <si>
    <t>X1KT7</t>
  </si>
  <si>
    <t>X2CIN</t>
  </si>
  <si>
    <t>X2748</t>
  </si>
  <si>
    <t>X2B8K</t>
  </si>
  <si>
    <t>X2A9G</t>
  </si>
  <si>
    <t>X2CL1</t>
  </si>
  <si>
    <t>X1676</t>
  </si>
  <si>
    <t>X27FV</t>
  </si>
  <si>
    <t>X2A4S</t>
  </si>
  <si>
    <t>X1XIM</t>
  </si>
  <si>
    <t>X2CQN</t>
  </si>
  <si>
    <t>X1J191</t>
  </si>
  <si>
    <t>X1641</t>
  </si>
  <si>
    <t>X1X77</t>
  </si>
  <si>
    <t>X22RN</t>
  </si>
  <si>
    <t>X2BWG</t>
  </si>
  <si>
    <t>X2526</t>
  </si>
  <si>
    <t>X20VX</t>
  </si>
  <si>
    <t>X297Y</t>
  </si>
  <si>
    <t>X2D3J</t>
  </si>
  <si>
    <t>X24CP</t>
  </si>
  <si>
    <t>X1Q4J</t>
  </si>
  <si>
    <t>X2917</t>
  </si>
  <si>
    <t>X1Y5P</t>
  </si>
  <si>
    <t>X3121</t>
  </si>
  <si>
    <t>X29VN</t>
  </si>
  <si>
    <t>X1W11X</t>
  </si>
  <si>
    <t>X22UO</t>
  </si>
  <si>
    <t>X2BLJ</t>
  </si>
  <si>
    <t>X3208</t>
  </si>
  <si>
    <t>X3543</t>
  </si>
  <si>
    <t>X2AV9</t>
  </si>
  <si>
    <t>X2D20</t>
  </si>
  <si>
    <t>X2DLJ</t>
  </si>
  <si>
    <t>X2BS4</t>
  </si>
  <si>
    <t>X1LF5</t>
  </si>
  <si>
    <t>X2089</t>
  </si>
  <si>
    <t>X233L</t>
  </si>
  <si>
    <t>X2650</t>
  </si>
  <si>
    <t>X2B12G</t>
  </si>
  <si>
    <t>X1JNV</t>
  </si>
  <si>
    <t>X1X99</t>
  </si>
  <si>
    <t>X22NH</t>
  </si>
  <si>
    <t>X27K0</t>
  </si>
  <si>
    <t>X2BY6</t>
  </si>
  <si>
    <t>X3270</t>
  </si>
  <si>
    <t>X2AYY</t>
  </si>
  <si>
    <t>X21D7</t>
  </si>
  <si>
    <t>X2AQ4</t>
  </si>
  <si>
    <t>X1KOC</t>
  </si>
  <si>
    <t>X29A8</t>
  </si>
  <si>
    <t>X1YCS</t>
  </si>
  <si>
    <t>X2C13F</t>
  </si>
  <si>
    <t>X1XCR</t>
  </si>
  <si>
    <t>X2DSZ</t>
  </si>
  <si>
    <t>X1X8F</t>
  </si>
  <si>
    <t>X27J8</t>
  </si>
  <si>
    <t>X298R</t>
  </si>
  <si>
    <t>X2C149</t>
  </si>
  <si>
    <t>X2DEE</t>
  </si>
  <si>
    <t>X20XI</t>
  </si>
  <si>
    <t>X2AHI</t>
  </si>
  <si>
    <t>X2DOY</t>
  </si>
  <si>
    <t>X2C15G</t>
  </si>
  <si>
    <t>X1807</t>
  </si>
  <si>
    <t>X21TD</t>
  </si>
  <si>
    <t>X1VWI</t>
  </si>
  <si>
    <t>X2DHH</t>
  </si>
  <si>
    <t>X27IG</t>
  </si>
  <si>
    <t>X276E</t>
  </si>
  <si>
    <t>X1PDV</t>
  </si>
  <si>
    <t>X3191</t>
  </si>
  <si>
    <t>X1517</t>
  </si>
  <si>
    <t>X1KF7</t>
  </si>
  <si>
    <t>X2DQB</t>
  </si>
  <si>
    <t>X1SEQ</t>
  </si>
  <si>
    <t>X2C1A6</t>
  </si>
  <si>
    <t>X2BAG</t>
  </si>
  <si>
    <t>X1JPO</t>
  </si>
  <si>
    <t>X3770</t>
  </si>
  <si>
    <t>X2C12Z</t>
  </si>
  <si>
    <t>X2CRZ</t>
  </si>
  <si>
    <t>X1XOY</t>
  </si>
  <si>
    <t>X1XJQ</t>
  </si>
  <si>
    <t>X22U7</t>
  </si>
  <si>
    <t>X3190</t>
  </si>
  <si>
    <t>X24OH</t>
  </si>
  <si>
    <t>X2BZR</t>
  </si>
  <si>
    <t>X2DOM</t>
  </si>
  <si>
    <t>X2C3Y</t>
  </si>
  <si>
    <t>X1LZX</t>
  </si>
  <si>
    <t>X20IE</t>
  </si>
  <si>
    <t>X2DJP</t>
  </si>
  <si>
    <t>X20CK</t>
  </si>
  <si>
    <t>X215G</t>
  </si>
  <si>
    <t>X2CPN</t>
  </si>
  <si>
    <t>X2ADA</t>
  </si>
  <si>
    <t>X2CO5</t>
  </si>
  <si>
    <t>X2A17D</t>
  </si>
  <si>
    <t>X3107</t>
  </si>
  <si>
    <t>X2325</t>
  </si>
  <si>
    <t>X3305</t>
  </si>
  <si>
    <t>X2DE4</t>
  </si>
  <si>
    <t>X2BMJ</t>
  </si>
  <si>
    <t>X2B2V</t>
  </si>
  <si>
    <t>X29N5</t>
  </si>
  <si>
    <t>X3369</t>
  </si>
  <si>
    <t>X3399</t>
  </si>
  <si>
    <t>X20O1</t>
  </si>
  <si>
    <t>X1W6U</t>
  </si>
  <si>
    <t>X1QTA</t>
  </si>
  <si>
    <t>X1X52</t>
  </si>
  <si>
    <t>X1X1NY</t>
  </si>
  <si>
    <t>X2DSA</t>
  </si>
  <si>
    <t>X1Y4K</t>
  </si>
  <si>
    <t>X1Y6S</t>
  </si>
  <si>
    <t>X2431</t>
  </si>
  <si>
    <t>X1JUL</t>
  </si>
  <si>
    <t>X2CS2</t>
  </si>
  <si>
    <t>X2D8Y</t>
  </si>
  <si>
    <t>X3172</t>
  </si>
  <si>
    <t>X27X9</t>
  </si>
  <si>
    <t>X2B113</t>
  </si>
  <si>
    <t>X2CLM</t>
  </si>
  <si>
    <t>X2B148</t>
  </si>
  <si>
    <t>X299V</t>
  </si>
  <si>
    <t>X2CVL</t>
  </si>
  <si>
    <t>X2AG6</t>
  </si>
  <si>
    <t>X2CXM</t>
  </si>
  <si>
    <t>X2BAF</t>
  </si>
  <si>
    <t>X1YDH</t>
  </si>
  <si>
    <t>X3282</t>
  </si>
  <si>
    <t>X2CQV</t>
  </si>
  <si>
    <t>X2CIS</t>
  </si>
  <si>
    <t>X24BL</t>
  </si>
  <si>
    <t>X22PF</t>
  </si>
  <si>
    <t>X2C16E</t>
  </si>
  <si>
    <t>X2CNQ</t>
  </si>
  <si>
    <t>X2C16B</t>
  </si>
  <si>
    <t>X27XZ</t>
  </si>
  <si>
    <t>X24BK</t>
  </si>
  <si>
    <t>X2BQE</t>
  </si>
  <si>
    <t>X2AM2</t>
  </si>
  <si>
    <t>X29FN</t>
  </si>
  <si>
    <t>X28CJ</t>
  </si>
  <si>
    <t>X29B8</t>
  </si>
  <si>
    <t>X2C11V</t>
  </si>
  <si>
    <t>X23H2</t>
  </si>
  <si>
    <t>X1JHU</t>
  </si>
  <si>
    <t>X1PEU</t>
  </si>
  <si>
    <t>X2CN9</t>
  </si>
  <si>
    <t>X1X11Z</t>
  </si>
  <si>
    <t>X2687</t>
  </si>
  <si>
    <t>X2913F</t>
  </si>
  <si>
    <t>X2186</t>
  </si>
  <si>
    <t>X2DOV</t>
  </si>
  <si>
    <t>X26IV</t>
  </si>
  <si>
    <t>X1KFO</t>
  </si>
  <si>
    <t>X3491</t>
  </si>
  <si>
    <t>X3655</t>
  </si>
  <si>
    <t>X27XV</t>
  </si>
  <si>
    <t>X2CFJ</t>
  </si>
  <si>
    <t>X2CV0</t>
  </si>
  <si>
    <t>X1MOG</t>
  </si>
  <si>
    <t>X2D2U</t>
  </si>
  <si>
    <t>X1X12N</t>
  </si>
  <si>
    <t>X2B10J</t>
  </si>
  <si>
    <t>X29JH</t>
  </si>
  <si>
    <t>X28CT</t>
  </si>
  <si>
    <t>X2874</t>
  </si>
  <si>
    <t>X3411</t>
  </si>
  <si>
    <t>X2A17V</t>
  </si>
  <si>
    <t>X20163</t>
  </si>
  <si>
    <t>X2COO</t>
  </si>
  <si>
    <t>X20GS</t>
  </si>
  <si>
    <t>X3013</t>
  </si>
  <si>
    <t>X2B14N</t>
  </si>
  <si>
    <t>X29EL</t>
  </si>
  <si>
    <t>X2DKB</t>
  </si>
  <si>
    <t>X1XJ5</t>
  </si>
  <si>
    <t>X3527</t>
  </si>
  <si>
    <t>X3842</t>
  </si>
  <si>
    <t>X1TL0</t>
  </si>
  <si>
    <t>X3090</t>
  </si>
  <si>
    <t>X2BG2</t>
  </si>
  <si>
    <t>X20BD</t>
  </si>
  <si>
    <t>X2BRH</t>
  </si>
  <si>
    <t>X2327</t>
  </si>
  <si>
    <t>X2DN9</t>
  </si>
  <si>
    <t>X1Y8E</t>
  </si>
  <si>
    <t>X2BWH</t>
  </si>
  <si>
    <t>X2A171</t>
  </si>
  <si>
    <t>X1Q4B</t>
  </si>
  <si>
    <t>X2223</t>
  </si>
  <si>
    <t>X21MM</t>
  </si>
  <si>
    <t>X2DQP</t>
  </si>
  <si>
    <t>X29T3</t>
  </si>
  <si>
    <t>X2AS8</t>
  </si>
  <si>
    <t>X2A6F</t>
  </si>
  <si>
    <t>X2CW5</t>
  </si>
  <si>
    <t>X1JPS</t>
  </si>
  <si>
    <t>X3426</t>
  </si>
  <si>
    <t>X3572</t>
  </si>
  <si>
    <t>X235I</t>
  </si>
  <si>
    <t>X2DUR</t>
  </si>
  <si>
    <t>X2255</t>
  </si>
  <si>
    <t>X1357</t>
  </si>
  <si>
    <t>X293A</t>
  </si>
  <si>
    <t>X2757</t>
  </si>
  <si>
    <t>X2DFL</t>
  </si>
  <si>
    <t>X2DRE</t>
  </si>
  <si>
    <t>X1868</t>
  </si>
  <si>
    <t>X2BWS</t>
  </si>
  <si>
    <t>X3275</t>
  </si>
  <si>
    <t>X2C6W</t>
  </si>
  <si>
    <t>X1YLF</t>
  </si>
  <si>
    <t>X3114</t>
  </si>
  <si>
    <t>X2C14W</t>
  </si>
  <si>
    <t>X1WWO</t>
  </si>
  <si>
    <t>X2CRE</t>
  </si>
  <si>
    <t>X297J</t>
  </si>
  <si>
    <t>X29ZX</t>
  </si>
  <si>
    <t>X3657</t>
  </si>
  <si>
    <t>X2AJX</t>
  </si>
  <si>
    <t>X2DJ7</t>
  </si>
  <si>
    <t>X3494</t>
  </si>
  <si>
    <t>X2D1T</t>
  </si>
  <si>
    <t>X1WWA</t>
  </si>
  <si>
    <t>X2APU</t>
  </si>
  <si>
    <t>X1VW1</t>
  </si>
  <si>
    <t>X2DOX</t>
  </si>
  <si>
    <t>X2CJF</t>
  </si>
  <si>
    <t>X29MG</t>
  </si>
  <si>
    <t>X21ZC</t>
  </si>
  <si>
    <t>X2A5S</t>
  </si>
  <si>
    <t>X3859</t>
  </si>
  <si>
    <t>X2DBE</t>
  </si>
  <si>
    <t>X3660</t>
  </si>
  <si>
    <t>X1RAJ</t>
  </si>
  <si>
    <t>X3661</t>
  </si>
  <si>
    <t>X1ZHE</t>
  </si>
  <si>
    <t>X3505</t>
  </si>
  <si>
    <t>X3573</t>
  </si>
  <si>
    <t>X1SOH</t>
  </si>
  <si>
    <t>X3194</t>
  </si>
  <si>
    <t>X29158</t>
  </si>
  <si>
    <t>X1673</t>
  </si>
  <si>
    <t>X3727</t>
  </si>
  <si>
    <t>XBCJT2N</t>
  </si>
  <si>
    <t>X22IQ</t>
  </si>
  <si>
    <t>X2D9B</t>
  </si>
  <si>
    <t>X2D8M</t>
  </si>
  <si>
    <t>X2CLD</t>
  </si>
  <si>
    <t>X22HE</t>
  </si>
  <si>
    <t>X29HH</t>
  </si>
  <si>
    <t>X2B130</t>
  </si>
  <si>
    <t>X2A16K</t>
  </si>
  <si>
    <t>X3719</t>
  </si>
  <si>
    <t>XR2VQZM</t>
  </si>
  <si>
    <t>X3758</t>
  </si>
  <si>
    <t>X2913Q</t>
  </si>
  <si>
    <t>X1928</t>
  </si>
  <si>
    <t>X2807</t>
  </si>
  <si>
    <t>X2C14H</t>
  </si>
  <si>
    <t>X3705</t>
  </si>
  <si>
    <t>X3673</t>
  </si>
  <si>
    <t>X3713</t>
  </si>
  <si>
    <t>X1W10N</t>
  </si>
  <si>
    <t>X2DFO</t>
  </si>
  <si>
    <t>X3658</t>
  </si>
  <si>
    <t>X2DUT</t>
  </si>
  <si>
    <t>X3786</t>
  </si>
  <si>
    <t>X2C6Q</t>
  </si>
  <si>
    <t>XIFX7HL</t>
  </si>
  <si>
    <t>X2DV8</t>
  </si>
  <si>
    <t>X2A22</t>
  </si>
  <si>
    <t>X2AKF</t>
  </si>
  <si>
    <t>X2DCD</t>
  </si>
  <si>
    <t>X1XPK</t>
  </si>
  <si>
    <t>X1KTB</t>
  </si>
  <si>
    <t>X2DQQ</t>
  </si>
  <si>
    <t>X2DXD</t>
  </si>
  <si>
    <t>XTSM182</t>
  </si>
  <si>
    <t>X27J7</t>
  </si>
  <si>
    <t>X2BSN</t>
  </si>
  <si>
    <t>X29GS</t>
  </si>
  <si>
    <t>X2C3S</t>
  </si>
  <si>
    <t>XYRA45F</t>
  </si>
  <si>
    <t>X2A2M</t>
  </si>
  <si>
    <t>X2DXY</t>
  </si>
  <si>
    <t>X2DDL</t>
  </si>
  <si>
    <t>X2AJK</t>
  </si>
  <si>
    <t>XLB2FKP</t>
  </si>
  <si>
    <t>X93LRM6</t>
  </si>
  <si>
    <t>X2DXC</t>
  </si>
  <si>
    <t>X3775</t>
  </si>
  <si>
    <t>X3752</t>
  </si>
  <si>
    <t>X3666</t>
  </si>
  <si>
    <t>X1OHP</t>
  </si>
  <si>
    <t>X1NA9</t>
  </si>
  <si>
    <t>XU1C75O</t>
  </si>
  <si>
    <t>X2DS8</t>
  </si>
  <si>
    <t>X3507</t>
  </si>
  <si>
    <t>XUFOKYG</t>
  </si>
  <si>
    <t>XGD7EFP</t>
  </si>
  <si>
    <t>X3678</t>
  </si>
  <si>
    <t>X2DZC</t>
  </si>
  <si>
    <t>X3712</t>
  </si>
  <si>
    <t>X27XC</t>
  </si>
  <si>
    <t>X2054</t>
  </si>
  <si>
    <t>X2BKI</t>
  </si>
  <si>
    <t>X2DO6</t>
  </si>
  <si>
    <t>X2E6V</t>
  </si>
  <si>
    <t>X2DXL</t>
  </si>
  <si>
    <t>X2DXU</t>
  </si>
  <si>
    <t>X2CM5</t>
  </si>
  <si>
    <t>X1WLF</t>
  </si>
  <si>
    <t>X2C12P</t>
  </si>
  <si>
    <t>X3726</t>
  </si>
  <si>
    <t>X29ZH</t>
  </si>
  <si>
    <t>X1MNS</t>
  </si>
  <si>
    <t>X2DMZ</t>
  </si>
  <si>
    <t>X1X84</t>
  </si>
  <si>
    <t>X3693</t>
  </si>
  <si>
    <t>X2DYI</t>
  </si>
  <si>
    <t>X3649</t>
  </si>
  <si>
    <t>X28CR</t>
  </si>
  <si>
    <t>X3779</t>
  </si>
  <si>
    <t>X1LBM</t>
  </si>
  <si>
    <t>XIVY3B1</t>
  </si>
  <si>
    <t>X3724</t>
  </si>
  <si>
    <t>X2DC3</t>
  </si>
  <si>
    <t>X2CIP</t>
  </si>
  <si>
    <t>XYJ9RN8</t>
  </si>
  <si>
    <t>XZUE69E</t>
  </si>
  <si>
    <t>X1S4T</t>
  </si>
  <si>
    <t>X3742</t>
  </si>
  <si>
    <t>X2629</t>
  </si>
  <si>
    <t>X2DAL</t>
  </si>
  <si>
    <t>X2C96</t>
  </si>
  <si>
    <t>X2CGB</t>
  </si>
  <si>
    <t>X3722</t>
  </si>
  <si>
    <t>X1OEJ</t>
  </si>
  <si>
    <t>X2CGI</t>
  </si>
  <si>
    <t>X2C97</t>
  </si>
  <si>
    <t>X1JMK</t>
  </si>
  <si>
    <t>X3687</t>
  </si>
  <si>
    <t>X2A73</t>
  </si>
  <si>
    <t>XC6ICAT</t>
  </si>
  <si>
    <t>X3137</t>
  </si>
  <si>
    <t>X3689</t>
  </si>
  <si>
    <t>X2D9U</t>
  </si>
  <si>
    <t>X2197</t>
  </si>
  <si>
    <t>X1401</t>
  </si>
  <si>
    <t>X2DV6</t>
  </si>
  <si>
    <t>X2DXJ</t>
  </si>
  <si>
    <t>X2DY6</t>
  </si>
  <si>
    <t>X27QG</t>
  </si>
  <si>
    <t>X3659</t>
  </si>
  <si>
    <t>XFG12H8</t>
  </si>
  <si>
    <t>X1XGI</t>
  </si>
  <si>
    <t>X1WMD</t>
  </si>
  <si>
    <t>X3685</t>
  </si>
  <si>
    <t>X3707</t>
  </si>
  <si>
    <t>X3662</t>
  </si>
  <si>
    <t>XV48F87</t>
  </si>
  <si>
    <t>X3640</t>
  </si>
  <si>
    <t>XLN98WY</t>
  </si>
  <si>
    <t>X2E6A</t>
  </si>
  <si>
    <t>X2CIL</t>
  </si>
  <si>
    <t>X2915W</t>
  </si>
  <si>
    <t>X2DUN</t>
  </si>
  <si>
    <t>X2CE0</t>
  </si>
  <si>
    <t>X1KNB</t>
  </si>
  <si>
    <t>X3746</t>
  </si>
  <si>
    <t>X2C2Z</t>
  </si>
  <si>
    <t>X2CHU</t>
  </si>
  <si>
    <t>X2911A</t>
  </si>
  <si>
    <t>X1NO7</t>
  </si>
  <si>
    <t>X2CT4</t>
  </si>
  <si>
    <t>X2CAF</t>
  </si>
  <si>
    <t>X2DYQ</t>
  </si>
  <si>
    <t>X2CL3</t>
  </si>
  <si>
    <t>X2C14G</t>
  </si>
  <si>
    <t>X2DVH</t>
  </si>
  <si>
    <t>X2A8I</t>
  </si>
  <si>
    <t>X3665</t>
  </si>
  <si>
    <t>X1X55</t>
  </si>
  <si>
    <t>X2DKF</t>
  </si>
  <si>
    <t>X3830</t>
  </si>
  <si>
    <t>X3741</t>
  </si>
  <si>
    <t>X3698</t>
  </si>
  <si>
    <t>X2ADV</t>
  </si>
  <si>
    <t>X2826</t>
  </si>
  <si>
    <t>X2CUS</t>
  </si>
  <si>
    <t>X2C7F</t>
  </si>
  <si>
    <t>X2CER</t>
  </si>
  <si>
    <t>X3680</t>
  </si>
  <si>
    <t>X3479</t>
  </si>
  <si>
    <t>X2DRY</t>
  </si>
  <si>
    <t>X2DYW</t>
  </si>
  <si>
    <t>XOVEJP7</t>
  </si>
  <si>
    <t>X2B131</t>
  </si>
  <si>
    <t>X29P7</t>
  </si>
  <si>
    <t>X2DXR</t>
  </si>
  <si>
    <t>X2E90</t>
  </si>
  <si>
    <t>X3725</t>
  </si>
  <si>
    <t>X3610</t>
  </si>
  <si>
    <t>XDSC7LA</t>
  </si>
  <si>
    <t>X2DQ0</t>
  </si>
  <si>
    <t>X2DDE</t>
  </si>
  <si>
    <t>X2BB2</t>
  </si>
  <si>
    <t>X2D5Q</t>
  </si>
  <si>
    <t>X28A7</t>
  </si>
  <si>
    <t>X1YHB</t>
  </si>
  <si>
    <t>XN868FS</t>
  </si>
  <si>
    <t>X1RS9</t>
  </si>
  <si>
    <t>X2AN4</t>
  </si>
  <si>
    <t>XC5BXX2</t>
  </si>
  <si>
    <t>X2CF7</t>
  </si>
  <si>
    <t>X2DXX</t>
  </si>
  <si>
    <t>X2916U</t>
  </si>
  <si>
    <t>X3MVNG5</t>
  </si>
  <si>
    <t>X2AWS</t>
  </si>
  <si>
    <t>X1V6L</t>
  </si>
  <si>
    <t>X3668</t>
  </si>
  <si>
    <t>X2BBF</t>
  </si>
  <si>
    <t>XHG3MQI</t>
  </si>
  <si>
    <t>X2DQO</t>
  </si>
  <si>
    <t>X2E7M</t>
  </si>
  <si>
    <t>XC4HGXH</t>
  </si>
  <si>
    <t>X9L1R9J</t>
  </si>
  <si>
    <t>XZCWEND</t>
  </si>
  <si>
    <t>X1Y4KGG</t>
  </si>
  <si>
    <t>X2BB8</t>
  </si>
  <si>
    <t>XD5EQ4T</t>
  </si>
  <si>
    <t>X3183</t>
  </si>
  <si>
    <t>XEPSXBD</t>
  </si>
  <si>
    <t>XEA8FJW</t>
  </si>
  <si>
    <t>XWH3HL8</t>
  </si>
  <si>
    <t>X2BH1</t>
  </si>
  <si>
    <t>XS6RG7Q</t>
  </si>
  <si>
    <t>XVV75LB</t>
  </si>
  <si>
    <t>XRYQS83</t>
  </si>
  <si>
    <t>X2AMA</t>
  </si>
  <si>
    <t>X22XF</t>
  </si>
  <si>
    <t>X2DDW</t>
  </si>
  <si>
    <t>XZKMKSY</t>
  </si>
  <si>
    <t>X2CQ3</t>
  </si>
  <si>
    <t>XFCRZJG</t>
  </si>
  <si>
    <t>X89695V</t>
  </si>
  <si>
    <t>XU8JK3P</t>
  </si>
  <si>
    <t>X1R3Z</t>
  </si>
  <si>
    <t>X8TK8ZV</t>
  </si>
  <si>
    <t>X53IAUU</t>
  </si>
  <si>
    <t>XSNY68Y</t>
  </si>
  <si>
    <t>X2DKU</t>
  </si>
  <si>
    <t>XL8EA97</t>
  </si>
  <si>
    <t>X2DPP</t>
  </si>
  <si>
    <t>X1YKT</t>
  </si>
  <si>
    <t>X2JQB8R</t>
  </si>
  <si>
    <t>XDOR1EF</t>
  </si>
  <si>
    <t>XBRHJS2</t>
  </si>
  <si>
    <t>XMEW4WE</t>
  </si>
  <si>
    <t>X1XB3</t>
  </si>
  <si>
    <t>X2524MG</t>
  </si>
  <si>
    <t>X28LB</t>
  </si>
  <si>
    <t>XZYIS8G</t>
  </si>
  <si>
    <t>XYUPXIN</t>
  </si>
  <si>
    <t>X155VLO</t>
  </si>
  <si>
    <t>XXL1G4P</t>
  </si>
  <si>
    <t>X20T7</t>
  </si>
  <si>
    <t>X2DLU</t>
  </si>
  <si>
    <t>X3695</t>
  </si>
  <si>
    <t>X22R8</t>
  </si>
  <si>
    <t>XIF1XVY</t>
  </si>
  <si>
    <t>XVSI3PQ</t>
  </si>
  <si>
    <t>X24CH</t>
  </si>
  <si>
    <t>XO8B44Y</t>
  </si>
  <si>
    <t>X2F5HQI</t>
  </si>
  <si>
    <t>X7J687G</t>
  </si>
  <si>
    <t>XTFGFRW</t>
  </si>
  <si>
    <t>XJV7KBZ</t>
  </si>
  <si>
    <t>XGIS3C8</t>
  </si>
  <si>
    <t>XSML5C6</t>
  </si>
  <si>
    <t>X3CB27C</t>
  </si>
  <si>
    <t>XGMC4E8</t>
  </si>
  <si>
    <t>X2PPBXT</t>
  </si>
  <si>
    <t>X3MT8NM</t>
  </si>
  <si>
    <t>X1XX4</t>
  </si>
  <si>
    <t>XG2JJMD</t>
  </si>
  <si>
    <t>X21XG</t>
  </si>
  <si>
    <t>XA6LOA7</t>
  </si>
  <si>
    <t>X1X8M</t>
  </si>
  <si>
    <t>XJURYNV</t>
  </si>
  <si>
    <t>X4TOFQA</t>
  </si>
  <si>
    <t>X1Y4U</t>
  </si>
  <si>
    <t>XA3DLQI</t>
  </si>
  <si>
    <t>X27XP</t>
  </si>
  <si>
    <t>X3WOC8U</t>
  </si>
  <si>
    <t>X6SPAIN</t>
  </si>
  <si>
    <t>XZSQ777</t>
  </si>
  <si>
    <t>X27KZ</t>
  </si>
  <si>
    <t>X24AF</t>
  </si>
  <si>
    <t>XQIWO5S</t>
  </si>
  <si>
    <t>XQJ5ZS2</t>
  </si>
  <si>
    <t>XHNRRWY</t>
  </si>
  <si>
    <t>X644ADW</t>
  </si>
  <si>
    <t>XRD2SHX</t>
  </si>
  <si>
    <t>XNQA76X</t>
  </si>
  <si>
    <t>XXKKKGL</t>
  </si>
  <si>
    <t>X1JG3</t>
  </si>
  <si>
    <t>XJ5CIMG</t>
  </si>
  <si>
    <t>XGBC2AX</t>
  </si>
  <si>
    <t>XTXQLNE</t>
  </si>
  <si>
    <t>X1YAI</t>
  </si>
  <si>
    <t>XNULPCU</t>
  </si>
  <si>
    <t>X13FNEY</t>
  </si>
  <si>
    <t>X2R8QV5</t>
  </si>
  <si>
    <t>X2CMU</t>
  </si>
  <si>
    <t>X448QLT</t>
  </si>
  <si>
    <t>XJKVJKL</t>
  </si>
  <si>
    <t>X5WZ735</t>
  </si>
  <si>
    <t>X3PHNFS</t>
  </si>
  <si>
    <t>XWIEY94</t>
  </si>
  <si>
    <t>XYN52CC</t>
  </si>
  <si>
    <t>X2R58A8</t>
  </si>
  <si>
    <t>XFEWB9C</t>
  </si>
  <si>
    <t>XCP53MK</t>
  </si>
  <si>
    <t>X3739</t>
  </si>
  <si>
    <t>XJE4VKH</t>
  </si>
  <si>
    <t>X2799</t>
  </si>
  <si>
    <t>XZK8VJ2</t>
  </si>
  <si>
    <t>X2CDK</t>
  </si>
  <si>
    <t>XCE2JB8</t>
  </si>
  <si>
    <t>XG6NPPV</t>
  </si>
  <si>
    <t>X2C16C</t>
  </si>
  <si>
    <t>X1YJ1</t>
  </si>
  <si>
    <t>XNFGQD8</t>
  </si>
  <si>
    <t>XSIQQMN</t>
  </si>
  <si>
    <t>XTJWCVK</t>
  </si>
  <si>
    <t>X3603</t>
  </si>
  <si>
    <t>XUJUHQM</t>
  </si>
  <si>
    <t>X2C5R</t>
  </si>
  <si>
    <t>X27QK</t>
  </si>
  <si>
    <t>X2746</t>
  </si>
  <si>
    <t>XUNQWBG</t>
  </si>
  <si>
    <t>XS7MQDB</t>
  </si>
  <si>
    <t>X2DZ4</t>
  </si>
  <si>
    <t>X2DTW</t>
  </si>
  <si>
    <t>XEXODV5</t>
  </si>
  <si>
    <t>X2CG2</t>
  </si>
  <si>
    <t>XU4XUSN</t>
  </si>
  <si>
    <t>XDN2YYH</t>
  </si>
  <si>
    <t>X1X122</t>
  </si>
  <si>
    <t>XJFGNSN</t>
  </si>
  <si>
    <t>XJJHW5V</t>
  </si>
  <si>
    <t>X3284</t>
  </si>
  <si>
    <t>X2DGG</t>
  </si>
  <si>
    <t>X1VHY</t>
  </si>
  <si>
    <t>XCHQ6Z9</t>
  </si>
  <si>
    <t>X1XVC</t>
  </si>
  <si>
    <t>X7DZY23</t>
  </si>
  <si>
    <t>XAG5OKX</t>
  </si>
  <si>
    <t>X2AOB</t>
  </si>
  <si>
    <t>XGTZH3H</t>
  </si>
  <si>
    <t>XH21PLP</t>
  </si>
  <si>
    <t>X1JO3</t>
  </si>
  <si>
    <t>XL5EBKM</t>
  </si>
  <si>
    <t>XOZLL49</t>
  </si>
  <si>
    <t>XO3HRKM</t>
  </si>
  <si>
    <t>XXXCG3H</t>
  </si>
  <si>
    <t>XNNO3V9</t>
  </si>
  <si>
    <t>X28S3</t>
  </si>
  <si>
    <t>X2B85</t>
  </si>
  <si>
    <t>E1313</t>
  </si>
  <si>
    <t>X1BIMQK</t>
  </si>
  <si>
    <t>XFAVHSF</t>
  </si>
  <si>
    <t>X7RDCB1</t>
  </si>
  <si>
    <t>X1W14R</t>
  </si>
  <si>
    <t>X1T9Z</t>
  </si>
  <si>
    <t>X2DVX</t>
  </si>
  <si>
    <t>X2C10R</t>
  </si>
  <si>
    <t>XOOKGS6</t>
  </si>
  <si>
    <t>XO84ZOA</t>
  </si>
  <si>
    <t>XUDB88I</t>
  </si>
  <si>
    <t>XWEVYOM</t>
  </si>
  <si>
    <t>XPT994Y</t>
  </si>
  <si>
    <t>X1ZI2</t>
  </si>
  <si>
    <t>X1681</t>
  </si>
  <si>
    <t>X321F9E</t>
  </si>
  <si>
    <t>X5ZMUW9</t>
  </si>
  <si>
    <t>X9Q8QYU</t>
  </si>
  <si>
    <t>X183Q9Z</t>
  </si>
  <si>
    <t>XSBPNIQ</t>
  </si>
  <si>
    <t>X29FL</t>
  </si>
  <si>
    <t>XYV1L34</t>
  </si>
  <si>
    <t>X22JT</t>
  </si>
  <si>
    <t>X2CP8</t>
  </si>
  <si>
    <t>X4TQDBW</t>
  </si>
  <si>
    <t>X3317</t>
  </si>
  <si>
    <t>X1XJP</t>
  </si>
  <si>
    <t>X2BCM</t>
  </si>
  <si>
    <t>X1NOBI9</t>
  </si>
  <si>
    <t>X92U2QQ</t>
  </si>
  <si>
    <t>X2CFB</t>
  </si>
  <si>
    <t>X7N9DSQ</t>
  </si>
  <si>
    <t>XHH4XCJ</t>
  </si>
  <si>
    <t>X2DYE</t>
  </si>
  <si>
    <t>X2B141</t>
  </si>
  <si>
    <t>XX4736B</t>
  </si>
  <si>
    <t>XZI9F37</t>
  </si>
  <si>
    <t>X8S9CQX</t>
  </si>
  <si>
    <t>X3130</t>
  </si>
  <si>
    <t>XUQ1ZIL</t>
  </si>
  <si>
    <t>X3T3FSV</t>
  </si>
  <si>
    <t>X8EPEHP</t>
  </si>
  <si>
    <t>X2AIW</t>
  </si>
  <si>
    <t>XIMKRKX</t>
  </si>
  <si>
    <t>X2CNK</t>
  </si>
  <si>
    <t>XY8HUL2</t>
  </si>
  <si>
    <t>X3740</t>
  </si>
  <si>
    <t>X39C2TE</t>
  </si>
  <si>
    <t>X1X9C</t>
  </si>
  <si>
    <t>X1IPQF4</t>
  </si>
  <si>
    <t>X8RMRNX</t>
  </si>
  <si>
    <t>XERIWAU</t>
  </si>
  <si>
    <t>X2987</t>
  </si>
  <si>
    <t>XPC3QNG</t>
  </si>
  <si>
    <t>X2914K</t>
  </si>
  <si>
    <t>XNJFTEK</t>
  </si>
  <si>
    <t>XN3RI2A</t>
  </si>
  <si>
    <t>XXY4H1Q</t>
  </si>
  <si>
    <t>XJ1HLP4</t>
  </si>
  <si>
    <t>XCS1RZR</t>
  </si>
  <si>
    <t>XVUSVUI</t>
  </si>
  <si>
    <t>X3227</t>
  </si>
  <si>
    <t>X237Q</t>
  </si>
  <si>
    <t>X2AKY</t>
  </si>
  <si>
    <t>XK8OMRT</t>
  </si>
  <si>
    <t>XE3L5QV</t>
  </si>
  <si>
    <t>XSR935N</t>
  </si>
  <si>
    <t>X2C18E</t>
  </si>
  <si>
    <t>XF5YZ5P</t>
  </si>
  <si>
    <t>XTC5ROT</t>
  </si>
  <si>
    <t>XSL9SWS</t>
  </si>
  <si>
    <t>XNTVCJS</t>
  </si>
  <si>
    <t>XBE16XZ</t>
  </si>
  <si>
    <t>X20AL</t>
  </si>
  <si>
    <t>XBQ4K1T</t>
  </si>
  <si>
    <t>X262Y6N</t>
  </si>
  <si>
    <t>X262DZB</t>
  </si>
  <si>
    <t>XFSBE9C</t>
  </si>
  <si>
    <t>X2CNX</t>
  </si>
  <si>
    <t>XF8SMMB</t>
  </si>
  <si>
    <t>X3333GF</t>
  </si>
  <si>
    <t>XY5MH9D</t>
  </si>
  <si>
    <t>X21XF</t>
  </si>
  <si>
    <t>XI2U11Z</t>
  </si>
  <si>
    <t>X2700</t>
  </si>
  <si>
    <t>XMKMUEP</t>
  </si>
  <si>
    <t>XJJG97U</t>
  </si>
  <si>
    <t>X5ZON2K</t>
  </si>
  <si>
    <t>X29UQ</t>
  </si>
  <si>
    <t>XJAZ3C3</t>
  </si>
  <si>
    <t>XPKPQXT</t>
  </si>
  <si>
    <t>XVQ8L41</t>
  </si>
  <si>
    <t>XI8OH6U</t>
  </si>
  <si>
    <t>X7QBGOT</t>
  </si>
  <si>
    <t>X6VJK2S</t>
  </si>
  <si>
    <t>XWS2QOP</t>
  </si>
  <si>
    <t>XY73D2K</t>
  </si>
  <si>
    <t>X3VDYJK</t>
  </si>
  <si>
    <t>XAUMJAC</t>
  </si>
  <si>
    <t>XCIJM3C</t>
  </si>
  <si>
    <t>X6TGAY6</t>
  </si>
  <si>
    <t>XVGTSVL</t>
  </si>
  <si>
    <t>XAQSLOO</t>
  </si>
  <si>
    <t>XQTFVML</t>
  </si>
  <si>
    <t>X244Z</t>
  </si>
  <si>
    <t>XUT5FYB</t>
  </si>
  <si>
    <t>XW4C9N9</t>
  </si>
  <si>
    <t>X2CY2</t>
  </si>
  <si>
    <t>X1TEF6R</t>
  </si>
  <si>
    <t>X3RH239</t>
  </si>
  <si>
    <t>XKED1FR</t>
  </si>
  <si>
    <t>XSI1GB2</t>
  </si>
  <si>
    <t>XPM5ZUR</t>
  </si>
  <si>
    <t>X21JA</t>
  </si>
  <si>
    <t>XGDQWAG</t>
  </si>
  <si>
    <t>XSW1QTQ</t>
  </si>
  <si>
    <t>X7G482Y</t>
  </si>
  <si>
    <t>XJLVKVT</t>
  </si>
  <si>
    <t>X1787Q6</t>
  </si>
  <si>
    <t>XDGG1EY</t>
  </si>
  <si>
    <t>XQYDVR4</t>
  </si>
  <si>
    <t>XSBVOBV</t>
  </si>
  <si>
    <t>XRG8AYH</t>
  </si>
  <si>
    <t>XICEOI8</t>
  </si>
  <si>
    <t>XM4EXYB</t>
  </si>
  <si>
    <t>XCBDL7D</t>
  </si>
  <si>
    <t>XBCPJ1I</t>
  </si>
  <si>
    <t>XOBS41O</t>
  </si>
  <si>
    <t>X1RCF</t>
  </si>
  <si>
    <t>X1Q7B</t>
  </si>
  <si>
    <t>X2DZ5</t>
  </si>
  <si>
    <t>X23QW27</t>
  </si>
  <si>
    <t>X2E7U</t>
  </si>
  <si>
    <t>XBRDUFD</t>
  </si>
  <si>
    <t>XCGTRNJ</t>
  </si>
  <si>
    <t>XZDY55M</t>
  </si>
  <si>
    <t>XWISDEK</t>
  </si>
  <si>
    <t>X5D3KUP</t>
  </si>
  <si>
    <t>XXH2MJP</t>
  </si>
  <si>
    <t>XY7Y1SS</t>
  </si>
  <si>
    <t>XIXWRDN</t>
  </si>
  <si>
    <t>XCRL57V</t>
  </si>
  <si>
    <t>XKFHODB</t>
  </si>
  <si>
    <t>XZYJ9P7</t>
  </si>
  <si>
    <t>XXZ3BWF</t>
  </si>
  <si>
    <t>XI6U3I7</t>
  </si>
  <si>
    <t>XATC8H9</t>
  </si>
  <si>
    <t>X696UWN</t>
  </si>
  <si>
    <t>XLUAT2N</t>
  </si>
  <si>
    <t>XFWW179</t>
  </si>
  <si>
    <t>XUBGCHZ</t>
  </si>
  <si>
    <t>XYLZKPN</t>
  </si>
  <si>
    <t>X4BCPMG</t>
  </si>
  <si>
    <t>XAKRUT3</t>
  </si>
  <si>
    <t>XVSVYYT</t>
  </si>
  <si>
    <t>XQ6XY1Y</t>
  </si>
  <si>
    <t>XE64WX1</t>
  </si>
  <si>
    <t>X2AVX</t>
  </si>
  <si>
    <t>X9I5ZXV</t>
  </si>
  <si>
    <t>XYIEWLW</t>
  </si>
  <si>
    <t>X52H82X</t>
  </si>
  <si>
    <t>X22C8SK</t>
  </si>
  <si>
    <t>XC9O25M</t>
  </si>
  <si>
    <t>XOIJM6S</t>
  </si>
  <si>
    <t>XI82SOA</t>
  </si>
  <si>
    <t>X473AVG</t>
  </si>
  <si>
    <t>X97AFRK</t>
  </si>
  <si>
    <t>XCVQHVP</t>
  </si>
  <si>
    <t>XX4JAJV</t>
  </si>
  <si>
    <t>XGY98XD</t>
  </si>
  <si>
    <t>X5RO6IK</t>
  </si>
  <si>
    <t>X2E70</t>
  </si>
  <si>
    <t>XR2IYF2</t>
  </si>
  <si>
    <t>X1AJ7RQ</t>
  </si>
  <si>
    <t>X76OLKO</t>
  </si>
  <si>
    <t>XKJSMRE</t>
  </si>
  <si>
    <t>X6939Z9</t>
  </si>
  <si>
    <t>XV7PEQW</t>
  </si>
  <si>
    <t>X1ZYD</t>
  </si>
  <si>
    <t>X2565</t>
  </si>
  <si>
    <t>XZBUZW7</t>
  </si>
  <si>
    <t>XMDOHT7</t>
  </si>
  <si>
    <t>XBNX915</t>
  </si>
  <si>
    <t>X3HE992</t>
  </si>
  <si>
    <t>X8OZIY2</t>
  </si>
  <si>
    <t>X2T8QUH</t>
  </si>
  <si>
    <t>X2LNSF8</t>
  </si>
  <si>
    <t>X7J6PLZ</t>
  </si>
  <si>
    <t>XRRZHCJ</t>
  </si>
  <si>
    <t>X9B7SFP</t>
  </si>
  <si>
    <t>X2287</t>
  </si>
  <si>
    <t>X2B146</t>
  </si>
  <si>
    <t>XW9WWWC</t>
  </si>
  <si>
    <t>X3452</t>
  </si>
  <si>
    <t>X16F7L6</t>
  </si>
  <si>
    <t>XBCX6X1</t>
  </si>
  <si>
    <t>XI2LUWB</t>
  </si>
  <si>
    <t>XG8A11X</t>
  </si>
  <si>
    <t>XZAEH4T</t>
  </si>
  <si>
    <t>X1KKQ</t>
  </si>
  <si>
    <t>XD9G2SV</t>
  </si>
  <si>
    <t>XUT1XNK</t>
  </si>
  <si>
    <t>X1ORU</t>
  </si>
  <si>
    <t>XF7XKVO</t>
  </si>
  <si>
    <t>X2UKRWX</t>
  </si>
  <si>
    <t>X2MVL68</t>
  </si>
  <si>
    <t>XWNLHWR</t>
  </si>
  <si>
    <t>XMTFRD1</t>
  </si>
  <si>
    <t>X1723</t>
  </si>
  <si>
    <t>X7IWECZ</t>
  </si>
  <si>
    <t>X9YF4R4</t>
  </si>
  <si>
    <t>XEAZ12M</t>
  </si>
  <si>
    <t>XJG7KSL</t>
  </si>
  <si>
    <t>X29CI</t>
  </si>
  <si>
    <t>XUFTBSN</t>
  </si>
  <si>
    <t>XXEZ8E7</t>
  </si>
  <si>
    <t>XHQ3E1G</t>
  </si>
  <si>
    <t>XXLTM55</t>
  </si>
  <si>
    <t>X855VNI</t>
  </si>
  <si>
    <t>XY22KVM</t>
  </si>
  <si>
    <t>X239K</t>
  </si>
  <si>
    <t>X2EDWCV</t>
  </si>
  <si>
    <t>X21KA</t>
  </si>
  <si>
    <t>XZDQMCL</t>
  </si>
  <si>
    <t>XI5AQ55</t>
  </si>
  <si>
    <t>XJE9F8O</t>
  </si>
  <si>
    <t>XJGYAGX</t>
  </si>
  <si>
    <t>XWWEUK8</t>
  </si>
  <si>
    <t>X8MJGLG</t>
  </si>
  <si>
    <t>X2LVCLG</t>
  </si>
  <si>
    <t>X1SZO</t>
  </si>
  <si>
    <t>X2KOLYA</t>
  </si>
  <si>
    <t>X1L75GN</t>
  </si>
  <si>
    <t>XOU3UDQ</t>
  </si>
  <si>
    <t>XL8F8AR</t>
  </si>
  <si>
    <t>XOBVH5U</t>
  </si>
  <si>
    <t>XCERN3P</t>
  </si>
  <si>
    <t>X14PCR4</t>
  </si>
  <si>
    <t>XCRUIQQ</t>
  </si>
  <si>
    <t>XZV5JLK</t>
  </si>
  <si>
    <t>XDY1A7Y</t>
  </si>
  <si>
    <t>X9JTC9M</t>
  </si>
  <si>
    <t>XNY6VZD</t>
  </si>
  <si>
    <t>XQ4619Q</t>
  </si>
  <si>
    <t>X2CAX</t>
  </si>
  <si>
    <t>X1XR3</t>
  </si>
  <si>
    <t>XSBJ6HC</t>
  </si>
  <si>
    <t>XXA3RBJ</t>
  </si>
  <si>
    <t>XE3IOHR</t>
  </si>
  <si>
    <t>XBCERGD</t>
  </si>
  <si>
    <t>XBI9QVB</t>
  </si>
  <si>
    <t>XY9UOXG</t>
  </si>
  <si>
    <t>XX2ZYC7</t>
  </si>
  <si>
    <t>XD8UIRN</t>
  </si>
  <si>
    <t>X28A8</t>
  </si>
  <si>
    <t>XCYBWNH</t>
  </si>
  <si>
    <t>X5ULP3S</t>
  </si>
  <si>
    <t>XWU3OSX</t>
  </si>
  <si>
    <t>X15K7L8</t>
  </si>
  <si>
    <t>XE7SUE4</t>
  </si>
  <si>
    <t>XF3W1JC</t>
  </si>
  <si>
    <t>X2TB9UU</t>
  </si>
  <si>
    <t>XJPB2DZ</t>
  </si>
  <si>
    <t>X24CB</t>
  </si>
  <si>
    <t>XIF26VF</t>
  </si>
  <si>
    <t>XE87MHT</t>
  </si>
  <si>
    <t>XAFCK5M</t>
  </si>
  <si>
    <t>X2BDH</t>
  </si>
  <si>
    <t>XUE8FV1</t>
  </si>
  <si>
    <t>XVZI56O</t>
  </si>
  <si>
    <t>XW5QUB8</t>
  </si>
  <si>
    <t>XTTQ8LH</t>
  </si>
  <si>
    <t>XX78R3U</t>
  </si>
  <si>
    <t>X8W9Y51</t>
  </si>
  <si>
    <t>X7TAJWP</t>
  </si>
  <si>
    <t>XXOE5DI</t>
  </si>
  <si>
    <t>XK4OZPW</t>
  </si>
  <si>
    <t>XMGSCO1</t>
  </si>
  <si>
    <t>XVAI4PQ</t>
  </si>
  <si>
    <t>X9YPZ5T</t>
  </si>
  <si>
    <t>XC5367B</t>
  </si>
  <si>
    <t>XW9I1GT</t>
  </si>
  <si>
    <t>XSG2Y7R</t>
  </si>
  <si>
    <t>XY3BVCN</t>
  </si>
  <si>
    <t>X2DUVDM</t>
  </si>
  <si>
    <t>XVXT23M</t>
  </si>
  <si>
    <t>XVX7GYF</t>
  </si>
  <si>
    <t>XQ8KXES</t>
  </si>
  <si>
    <t>X2B4D</t>
  </si>
  <si>
    <t>X8U3YXS</t>
  </si>
  <si>
    <t>XGDRSJV</t>
  </si>
  <si>
    <t>XO3VG95</t>
  </si>
  <si>
    <t>X1TOX</t>
  </si>
  <si>
    <t>XNTXCYB</t>
  </si>
  <si>
    <t>X3AGVKW</t>
  </si>
  <si>
    <t>XHG413L</t>
  </si>
  <si>
    <t>XXLSJP8</t>
  </si>
  <si>
    <t>XD5WFIE</t>
  </si>
  <si>
    <t>XOEKPJ2</t>
  </si>
  <si>
    <t>XBBMVKN</t>
  </si>
  <si>
    <t>XHUL25U</t>
  </si>
  <si>
    <t>XN44VY7</t>
  </si>
  <si>
    <t>XYZNPY3</t>
  </si>
  <si>
    <t>XZGB267</t>
  </si>
  <si>
    <t>XYDPIWO</t>
  </si>
  <si>
    <t>X2271</t>
  </si>
  <si>
    <t>XCCX1PO</t>
  </si>
  <si>
    <t>X22JU</t>
  </si>
  <si>
    <t>XV8V72J</t>
  </si>
  <si>
    <t>XKC85KB</t>
  </si>
  <si>
    <t>XM1WA5T</t>
  </si>
  <si>
    <t>X20166</t>
  </si>
  <si>
    <t>XWNJE5Z</t>
  </si>
  <si>
    <t>X1X8C</t>
  </si>
  <si>
    <t>XEATHVY</t>
  </si>
  <si>
    <t>XDO4IUN</t>
  </si>
  <si>
    <t>XFKQ857</t>
  </si>
  <si>
    <t>XFAYYM8</t>
  </si>
  <si>
    <t>XDQV8A8</t>
  </si>
  <si>
    <t>XOVEPLT</t>
  </si>
  <si>
    <t>XUCK3OU</t>
  </si>
  <si>
    <t>X2DPU</t>
  </si>
  <si>
    <t>XXJL1ZF</t>
  </si>
  <si>
    <t>XPPKCJP</t>
  </si>
  <si>
    <t>X2AY9</t>
  </si>
  <si>
    <t>X9U4ITK</t>
  </si>
  <si>
    <t>XNEYVXW</t>
  </si>
  <si>
    <t>X5DJD2Q</t>
  </si>
  <si>
    <t>XX329OG</t>
  </si>
  <si>
    <t>XE3RCPW</t>
  </si>
  <si>
    <t>X2128</t>
  </si>
  <si>
    <t>X9FU1IG</t>
  </si>
  <si>
    <t>X29TK</t>
  </si>
  <si>
    <t>XYYL1RK</t>
  </si>
  <si>
    <t>XSQXUJD</t>
  </si>
  <si>
    <t>XWXVA4E</t>
  </si>
  <si>
    <t>XE9EAKZ</t>
  </si>
  <si>
    <t>XDO2RQA</t>
  </si>
  <si>
    <t>XRGQ6UR</t>
  </si>
  <si>
    <t>XUTI5VH</t>
  </si>
  <si>
    <t>X822BZU</t>
  </si>
  <si>
    <t>X32RXID</t>
  </si>
  <si>
    <t>XST1QP8</t>
  </si>
  <si>
    <t>XQXU79R</t>
  </si>
  <si>
    <t>XOEENAA</t>
  </si>
  <si>
    <t>XISLHII</t>
  </si>
  <si>
    <t>XS2YVQ2</t>
  </si>
  <si>
    <t>XZCLQJR</t>
  </si>
  <si>
    <t>XSQUEEV</t>
  </si>
  <si>
    <t>X41Y4TM</t>
  </si>
  <si>
    <t>XA8NW6Q</t>
  </si>
  <si>
    <t>XYKD6E5</t>
  </si>
  <si>
    <t>X28LA</t>
  </si>
  <si>
    <t>XB9ZVXJ</t>
  </si>
  <si>
    <t>XG8PB1L</t>
  </si>
  <si>
    <t>XLKEKMW</t>
  </si>
  <si>
    <t>XEDP96N</t>
  </si>
  <si>
    <t>XVSKDK5</t>
  </si>
  <si>
    <t>X2BWB</t>
  </si>
  <si>
    <t>XQUKG6P</t>
  </si>
  <si>
    <t>XSNC3B3</t>
  </si>
  <si>
    <t>X1KR9</t>
  </si>
  <si>
    <t>XPUOKTV</t>
  </si>
  <si>
    <t>X9VWXWB</t>
  </si>
  <si>
    <t>X2A89</t>
  </si>
  <si>
    <t>XEK7GJC</t>
  </si>
  <si>
    <t>XRXA2Q9</t>
  </si>
  <si>
    <t>X8S9XJJ</t>
  </si>
  <si>
    <t>XGAULN7</t>
  </si>
  <si>
    <t>XWSHCM8</t>
  </si>
  <si>
    <t>XAVOZRD</t>
  </si>
  <si>
    <t>X3QC2BU</t>
  </si>
  <si>
    <t>XUMUZC2</t>
  </si>
  <si>
    <t>XIVIYQF</t>
  </si>
  <si>
    <t>X8YQJP7</t>
  </si>
  <si>
    <t>XPETFLA</t>
  </si>
  <si>
    <t>X2BJD</t>
  </si>
  <si>
    <t>XSLZOMC</t>
  </si>
  <si>
    <t>X729C7V</t>
  </si>
  <si>
    <t>X5EIVOJ</t>
  </si>
  <si>
    <t>XV4K6JU</t>
  </si>
  <si>
    <t>XZHCU4X</t>
  </si>
  <si>
    <t>XKMZMUN</t>
  </si>
  <si>
    <t>XAHGXON</t>
  </si>
  <si>
    <t>X51SCWQ</t>
  </si>
  <si>
    <t>XQXQRH1</t>
  </si>
  <si>
    <t>XNMZZKJ</t>
  </si>
  <si>
    <t>XKICCU6</t>
  </si>
  <si>
    <t>XRW8G7U</t>
  </si>
  <si>
    <t>XJ24UI1</t>
  </si>
  <si>
    <t>XKBT855</t>
  </si>
  <si>
    <t>XKIAPCR</t>
  </si>
  <si>
    <t>X9U28BC</t>
  </si>
  <si>
    <t>XRJV9TV</t>
  </si>
  <si>
    <t>XIR1N7G</t>
  </si>
  <si>
    <t>X5E7MD9</t>
  </si>
  <si>
    <t>X2AH6</t>
  </si>
  <si>
    <t>X2YK6CH</t>
  </si>
  <si>
    <t>X1UHSGQ</t>
  </si>
  <si>
    <t>X891IED</t>
  </si>
  <si>
    <t>XIK51AQ</t>
  </si>
  <si>
    <t>X2C87</t>
  </si>
  <si>
    <t>XHO74RF</t>
  </si>
  <si>
    <t>XHD25PX</t>
  </si>
  <si>
    <t>X1MSILE</t>
  </si>
  <si>
    <t>XEJESBM</t>
  </si>
  <si>
    <t>XOY5DY1</t>
  </si>
  <si>
    <t>X26G7</t>
  </si>
  <si>
    <t>XYWCQJC</t>
  </si>
  <si>
    <t>X1PCT</t>
  </si>
  <si>
    <t>XUF9X6U</t>
  </si>
  <si>
    <t>X1XD7</t>
  </si>
  <si>
    <t>XRTC2Y5</t>
  </si>
  <si>
    <t>XHMVZNH</t>
  </si>
  <si>
    <t>XIW614S</t>
  </si>
  <si>
    <t>XU65Q33</t>
  </si>
  <si>
    <t>XR23R58</t>
  </si>
  <si>
    <t>XTHVQP8</t>
  </si>
  <si>
    <t>XPYC2SL</t>
  </si>
  <si>
    <t>XP5MGAC</t>
  </si>
  <si>
    <t>X7X5RFD</t>
  </si>
  <si>
    <t>X5KGED7</t>
  </si>
  <si>
    <t>XC8UHA2</t>
  </si>
  <si>
    <t>X2K4C8A</t>
  </si>
  <si>
    <t>X1X7D</t>
  </si>
  <si>
    <t>XQ3L7XO</t>
  </si>
  <si>
    <t>XQFVSVP</t>
  </si>
  <si>
    <t>XHU8AOR</t>
  </si>
  <si>
    <t>X2A1U</t>
  </si>
  <si>
    <t>X3A56WY</t>
  </si>
  <si>
    <t>XQ47IPB</t>
  </si>
  <si>
    <t>X2360</t>
  </si>
  <si>
    <t>XJUWX9D</t>
  </si>
  <si>
    <t>XQY7ZO7</t>
  </si>
  <si>
    <t>XTJFZSP</t>
  </si>
  <si>
    <t>XNMAZFC</t>
  </si>
  <si>
    <t>X72TZE7</t>
  </si>
  <si>
    <t>XIOI76W</t>
  </si>
  <si>
    <t>XWC2RAA</t>
  </si>
  <si>
    <t>X8LDLIP</t>
  </si>
  <si>
    <t>X7AFO5L</t>
  </si>
  <si>
    <t>X9P4JGT</t>
  </si>
  <si>
    <t>XYDQIJX</t>
  </si>
  <si>
    <t>XK223DN</t>
  </si>
  <si>
    <t>XU9II2X</t>
  </si>
  <si>
    <t>XG9546R</t>
  </si>
  <si>
    <t>X8VQUHX</t>
  </si>
  <si>
    <t>XOPXIGY</t>
  </si>
  <si>
    <t>XH7N7VH</t>
  </si>
  <si>
    <t>X2R18XG</t>
  </si>
  <si>
    <t>XJEFX5W</t>
  </si>
  <si>
    <t>X1QG8L3</t>
  </si>
  <si>
    <t>XOC8C89</t>
  </si>
  <si>
    <t>X864KG5</t>
  </si>
  <si>
    <t>XX6B4IQ</t>
  </si>
  <si>
    <t>XLASGSM</t>
  </si>
  <si>
    <t>X1LDS</t>
  </si>
  <si>
    <t>X5SHKV5</t>
  </si>
  <si>
    <t>X2847</t>
  </si>
  <si>
    <t>XM7PJYX</t>
  </si>
  <si>
    <t>XOBUYGJ</t>
  </si>
  <si>
    <t>XSZ776O</t>
  </si>
  <si>
    <t>XS226JP</t>
  </si>
  <si>
    <t>XVBSHVO</t>
  </si>
  <si>
    <t>XWPYRW5</t>
  </si>
  <si>
    <t>XBR6GJL</t>
  </si>
  <si>
    <t>XA84CXR</t>
  </si>
  <si>
    <t>XTXMTUB</t>
  </si>
  <si>
    <t>X2PNS3Z</t>
  </si>
  <si>
    <t>XJCA4UU</t>
  </si>
  <si>
    <t>XS7JZS1</t>
  </si>
  <si>
    <t>XQT7KE2</t>
  </si>
  <si>
    <t>X2CY9</t>
  </si>
  <si>
    <t>X1PCV</t>
  </si>
  <si>
    <t>XW8K457</t>
  </si>
  <si>
    <t>X2DOQ</t>
  </si>
  <si>
    <t>XW6TLK2</t>
  </si>
  <si>
    <t>XADRPVV</t>
  </si>
  <si>
    <t>XP46BDK</t>
  </si>
  <si>
    <t>X8RIGR5</t>
  </si>
  <si>
    <t>XLJPGKD</t>
  </si>
  <si>
    <t>XZD175G</t>
  </si>
  <si>
    <t>XBOQBGF</t>
  </si>
  <si>
    <t>XECGXZY</t>
  </si>
  <si>
    <t>XFIXDMF</t>
  </si>
  <si>
    <t>X2AKPXD</t>
  </si>
  <si>
    <t>XBEPLK5</t>
  </si>
  <si>
    <t>XF1Z2G5</t>
  </si>
  <si>
    <t>XC5U4OO</t>
  </si>
  <si>
    <t>XQZJ9KV</t>
  </si>
  <si>
    <t>X27IS</t>
  </si>
  <si>
    <t>X2BBB</t>
  </si>
  <si>
    <t>XAPNYBI</t>
  </si>
  <si>
    <t>X2D7V</t>
  </si>
  <si>
    <t>X3B8CNI</t>
  </si>
  <si>
    <t>XHGVJZV</t>
  </si>
  <si>
    <t>X6GFQGW</t>
  </si>
  <si>
    <t>XJCE5AF</t>
  </si>
  <si>
    <t>XPHEA5T</t>
  </si>
  <si>
    <t>XMJN793</t>
  </si>
  <si>
    <t>XND7J8Q</t>
  </si>
  <si>
    <t>XKKGW1O</t>
  </si>
  <si>
    <t>X6OH5BR</t>
  </si>
  <si>
    <t>XCZYJO4</t>
  </si>
  <si>
    <t>X297P</t>
  </si>
  <si>
    <t>X3DAH9G</t>
  </si>
  <si>
    <t>X51ULC8</t>
  </si>
  <si>
    <t>XBNUJP5</t>
  </si>
  <si>
    <t>XZAKCTT</t>
  </si>
  <si>
    <t>X2A25</t>
  </si>
  <si>
    <t>XYDPJWA</t>
  </si>
  <si>
    <t>X6HBWDZ</t>
  </si>
  <si>
    <t>XHFQ681</t>
  </si>
  <si>
    <t>XWV9HI6</t>
  </si>
  <si>
    <t>XOP4ZCB</t>
  </si>
  <si>
    <t>XX7TCFE</t>
  </si>
  <si>
    <t>XCMPY93</t>
  </si>
  <si>
    <t>XUEN84J</t>
  </si>
  <si>
    <t>X4ZZESJ</t>
  </si>
  <si>
    <t>XQOMA4L</t>
  </si>
  <si>
    <t>X2C14N</t>
  </si>
  <si>
    <t>XFOOAMJ</t>
  </si>
  <si>
    <t>XHRZIXN</t>
  </si>
  <si>
    <t>XBF46LT</t>
  </si>
  <si>
    <t>XJIFCVQ</t>
  </si>
  <si>
    <t>XUWL25K</t>
  </si>
  <si>
    <t>XPZ338H</t>
  </si>
  <si>
    <t>XGLXXG3</t>
  </si>
  <si>
    <t>XLXRF8C</t>
  </si>
  <si>
    <t>X3VTNP5</t>
  </si>
  <si>
    <t>X5G1DU3</t>
  </si>
  <si>
    <t>XJ6O3XP</t>
  </si>
  <si>
    <t>X8922NJ</t>
  </si>
  <si>
    <t>XIJQIQX</t>
  </si>
  <si>
    <t>XQEMXUE</t>
  </si>
  <si>
    <t>XD3MKY4</t>
  </si>
  <si>
    <t>XPYVTOW</t>
  </si>
  <si>
    <t>XGX8BU4</t>
  </si>
  <si>
    <t>X27SUMY</t>
  </si>
  <si>
    <t>XCODKRJ</t>
  </si>
  <si>
    <t>X2C1AQ</t>
  </si>
  <si>
    <t>X3UOLUJ</t>
  </si>
  <si>
    <t>X1ST2</t>
  </si>
  <si>
    <t>XFT8T47</t>
  </si>
  <si>
    <t>XN4B4LU</t>
  </si>
  <si>
    <t>XRHZYTZ</t>
  </si>
  <si>
    <t>XECIRKW</t>
  </si>
  <si>
    <t>XQ7Q5JP</t>
  </si>
  <si>
    <t>XLHUQ3T</t>
  </si>
  <si>
    <t>X1Y4E</t>
  </si>
  <si>
    <t>XK8TXCX</t>
  </si>
  <si>
    <t>XVSVRRF</t>
  </si>
  <si>
    <t>X5RP4WV</t>
  </si>
  <si>
    <t>XM3N98U</t>
  </si>
  <si>
    <t>X1IYG2A</t>
  </si>
  <si>
    <t>X4FFIOM</t>
  </si>
  <si>
    <t>XZ717R7</t>
  </si>
  <si>
    <t>XNWN3S7</t>
  </si>
  <si>
    <t>XBIIUYZ</t>
  </si>
  <si>
    <t>XI5GEEI</t>
  </si>
  <si>
    <t>XHHP4IY</t>
  </si>
  <si>
    <t>XSJB6J2</t>
  </si>
  <si>
    <t>XPPPWRX</t>
  </si>
  <si>
    <t>X242E1K</t>
  </si>
  <si>
    <t>X88MJVC</t>
  </si>
  <si>
    <t>XS6ZSHQ</t>
  </si>
  <si>
    <t>XTAXH2K</t>
  </si>
  <si>
    <t>XJ2IXRV</t>
  </si>
  <si>
    <t>X29LD</t>
  </si>
  <si>
    <t>XCE93G6</t>
  </si>
  <si>
    <t>X1O5R4E</t>
  </si>
  <si>
    <t>X2ARZ</t>
  </si>
  <si>
    <t>XL28V1F</t>
  </si>
  <si>
    <t>XDP64SI</t>
  </si>
  <si>
    <t>XPOVP8P</t>
  </si>
  <si>
    <t>XZ329U4</t>
  </si>
  <si>
    <t>XY4OGOU</t>
  </si>
  <si>
    <t>XAXFFEY</t>
  </si>
  <si>
    <t>XLP3NSR</t>
  </si>
  <si>
    <t>X5YGZV9</t>
  </si>
  <si>
    <t>X20G0</t>
  </si>
  <si>
    <t>XFTJ7ZH</t>
  </si>
  <si>
    <t>XM1NN1S</t>
  </si>
  <si>
    <t>XJPYV51</t>
  </si>
  <si>
    <t>XKL2MDD</t>
  </si>
  <si>
    <t>X2A7P</t>
  </si>
  <si>
    <t>X576J5L</t>
  </si>
  <si>
    <t>X4JQLX7</t>
  </si>
  <si>
    <t>XQORBYR</t>
  </si>
  <si>
    <t>X56P374</t>
  </si>
  <si>
    <t>XVFMBE6</t>
  </si>
  <si>
    <t>XER4QG5</t>
  </si>
  <si>
    <t>XQ2T9GJ</t>
  </si>
  <si>
    <t>X1JIFLB</t>
  </si>
  <si>
    <t>X2X25RE</t>
  </si>
  <si>
    <t>XO1P4E1</t>
  </si>
  <si>
    <t>X2A7K</t>
  </si>
  <si>
    <t>X1LJQ</t>
  </si>
  <si>
    <t>X2E8G</t>
  </si>
  <si>
    <t>XZ7NRI1</t>
  </si>
  <si>
    <t>XJPS9B4</t>
  </si>
  <si>
    <t>XHKF9BB</t>
  </si>
  <si>
    <t>X1DNIBW</t>
  </si>
  <si>
    <t>XM5MWSU</t>
  </si>
  <si>
    <t>XAMTGCH</t>
  </si>
  <si>
    <t>XIBPZSS</t>
  </si>
  <si>
    <t>X1Z6V</t>
  </si>
  <si>
    <t>XC3BN9H</t>
  </si>
  <si>
    <t>XU51DBC</t>
  </si>
  <si>
    <t>X1PTHGK</t>
  </si>
  <si>
    <t>XNE2L8C</t>
  </si>
  <si>
    <t>X5XYM2P</t>
  </si>
  <si>
    <t>X3DCBRL</t>
  </si>
  <si>
    <t>XA2OBCT</t>
  </si>
  <si>
    <t>XI95M5P</t>
  </si>
  <si>
    <t>XTBYD8S</t>
  </si>
  <si>
    <t>XLUPGOT</t>
  </si>
  <si>
    <t>XVWBWB4</t>
  </si>
  <si>
    <t>XDAYD84</t>
  </si>
  <si>
    <t>XLLE3WC</t>
  </si>
  <si>
    <t>XS5IFJL</t>
  </si>
  <si>
    <t>X8HON36</t>
  </si>
  <si>
    <t>X3M3YF1</t>
  </si>
  <si>
    <t>XNS5TJ8</t>
  </si>
  <si>
    <t>XDRG3KD</t>
  </si>
  <si>
    <t>XTUXF2W</t>
  </si>
  <si>
    <t>XI1UMDI</t>
  </si>
  <si>
    <t>XFCI9F3</t>
  </si>
  <si>
    <t>XQYQN9N</t>
  </si>
  <si>
    <t>XZPKS9V</t>
  </si>
  <si>
    <t>XXRF2W1</t>
  </si>
  <si>
    <t>X7RTERF</t>
  </si>
  <si>
    <t>X34KW8W</t>
  </si>
  <si>
    <t>X8RIFJ1</t>
  </si>
  <si>
    <t>X68E84D</t>
  </si>
  <si>
    <t>XTTYWG4</t>
  </si>
  <si>
    <t>XJ98GJ8</t>
  </si>
  <si>
    <t>X946GSD</t>
  </si>
  <si>
    <t>XRI3QVC</t>
  </si>
  <si>
    <t>X9EJCF5</t>
  </si>
  <si>
    <t>X1ZK7</t>
  </si>
  <si>
    <t>X4AQXOB</t>
  </si>
  <si>
    <t>XH72IV7</t>
  </si>
  <si>
    <t>XVRN5S2</t>
  </si>
  <si>
    <t>XA65ZRB</t>
  </si>
  <si>
    <t>XWWHR9N</t>
  </si>
  <si>
    <t>XWW3LOW</t>
  </si>
  <si>
    <t>X9IWGK2</t>
  </si>
  <si>
    <t>XTIKNOI</t>
  </si>
  <si>
    <t>X3JDLJO</t>
  </si>
  <si>
    <t>XIC5NMZ</t>
  </si>
  <si>
    <t>XRMX4TB</t>
  </si>
  <si>
    <t>XLHIU8U</t>
  </si>
  <si>
    <t>X1UES</t>
  </si>
  <si>
    <t>XHZ9V5B</t>
  </si>
  <si>
    <t>XWUV43R</t>
  </si>
  <si>
    <t>XKZNEWJ</t>
  </si>
  <si>
    <t>X9GO2O2</t>
  </si>
  <si>
    <t>X24K322</t>
  </si>
  <si>
    <t>XWBLTQC</t>
  </si>
  <si>
    <t>XYEAATK</t>
  </si>
  <si>
    <t>X1Y6P</t>
  </si>
  <si>
    <t>X4XJREJ</t>
  </si>
  <si>
    <t>X2AL6FS</t>
  </si>
  <si>
    <t>X2AGN</t>
  </si>
  <si>
    <t>XKEG65G</t>
  </si>
  <si>
    <t>XNNPZ3N</t>
  </si>
  <si>
    <t>XYNB2PI</t>
  </si>
  <si>
    <t>XE9D4UN</t>
  </si>
  <si>
    <t>XO2GO3H</t>
  </si>
  <si>
    <t>XGBII3R</t>
  </si>
  <si>
    <t>XKLX65N</t>
  </si>
  <si>
    <t>X6IACEJ</t>
  </si>
  <si>
    <t>X1X73</t>
  </si>
  <si>
    <t>XGG5JIL</t>
  </si>
  <si>
    <t>XSIPI9V</t>
  </si>
  <si>
    <t>X913YFZ</t>
  </si>
  <si>
    <t>XLYY5US</t>
  </si>
  <si>
    <t>XQF4I39</t>
  </si>
  <si>
    <t>XDQ8ZPE</t>
  </si>
  <si>
    <t>XOV43QP</t>
  </si>
  <si>
    <t>XGNNDBQ</t>
  </si>
  <si>
    <t>X28CS</t>
  </si>
  <si>
    <t>XESJV8T</t>
  </si>
  <si>
    <t>XU7C5T8</t>
  </si>
  <si>
    <t>X27I5</t>
  </si>
  <si>
    <t>XA54A5A</t>
  </si>
  <si>
    <t>X9OAP5K</t>
  </si>
  <si>
    <t>XG4E8LI</t>
  </si>
  <si>
    <t>XWZGVMB</t>
  </si>
  <si>
    <t>X74MJ6K</t>
  </si>
  <si>
    <t>X2DVLRE</t>
  </si>
  <si>
    <t>X5CDAVQ</t>
  </si>
  <si>
    <t>XDJLJ33</t>
  </si>
  <si>
    <t>XC2FJZS</t>
  </si>
  <si>
    <t>X2GPJW3</t>
  </si>
  <si>
    <t>XXCU8GG</t>
  </si>
  <si>
    <t>XTGJQ7B</t>
  </si>
  <si>
    <t>XN32IP1</t>
  </si>
  <si>
    <t>X4VL3AY</t>
  </si>
  <si>
    <t>X3K38IG</t>
  </si>
  <si>
    <t>XFMZPVG</t>
  </si>
  <si>
    <t>XGJ6VON</t>
  </si>
  <si>
    <t>XG6O6G4</t>
  </si>
  <si>
    <t>XFAOJVF</t>
  </si>
  <si>
    <t>XFBHJJD</t>
  </si>
  <si>
    <t>XCJR89X</t>
  </si>
  <si>
    <t>XNW7MKO</t>
  </si>
  <si>
    <t>X2347</t>
  </si>
  <si>
    <t>XHX6KAB</t>
  </si>
  <si>
    <t>XAD239G</t>
  </si>
  <si>
    <t>X5VJER5</t>
  </si>
  <si>
    <t>XODUKJC</t>
  </si>
  <si>
    <t>XOVPO6U</t>
  </si>
  <si>
    <t>X2BK4OK</t>
  </si>
  <si>
    <t>X5AELUW</t>
  </si>
  <si>
    <t>XCPLAFI</t>
  </si>
  <si>
    <t>XWBNO9V</t>
  </si>
  <si>
    <t>XI1YZ4Z</t>
  </si>
  <si>
    <t>XT6KTW4</t>
  </si>
  <si>
    <t>XANLBDI</t>
  </si>
  <si>
    <t>X6ULYOG</t>
  </si>
  <si>
    <t>XM3J95O</t>
  </si>
  <si>
    <t>XJXC8XZ</t>
  </si>
  <si>
    <t>X4FDK3S</t>
  </si>
  <si>
    <t>XQOX1BR</t>
  </si>
  <si>
    <t>XSLATFY</t>
  </si>
  <si>
    <t>X2A9R</t>
  </si>
  <si>
    <t>XI6NF84</t>
  </si>
  <si>
    <t>XB3F9WO</t>
  </si>
  <si>
    <t>XUKGWEK</t>
  </si>
  <si>
    <t>XH6XP85</t>
  </si>
  <si>
    <t>XO72IJY</t>
  </si>
  <si>
    <t>XWFSP14</t>
  </si>
  <si>
    <t>XVSL6BT</t>
  </si>
  <si>
    <t>X1996B7</t>
  </si>
  <si>
    <t>XHI1K3I</t>
  </si>
  <si>
    <t>X1WIXWX</t>
  </si>
  <si>
    <t>XUV9QIW</t>
  </si>
  <si>
    <t>XBX83QA</t>
  </si>
  <si>
    <t>XAY8X7H</t>
  </si>
  <si>
    <t>XL6ID5M</t>
  </si>
  <si>
    <t>XZYKBPX</t>
  </si>
  <si>
    <t>XVW48ZV</t>
  </si>
  <si>
    <t>XS6AEWO</t>
  </si>
  <si>
    <t>XWDI5E9</t>
  </si>
  <si>
    <t>XN9TTY2</t>
  </si>
  <si>
    <t>XIKIUQW</t>
  </si>
  <si>
    <t>X1MW5Y2</t>
  </si>
  <si>
    <t>XK9A28E</t>
  </si>
  <si>
    <t>XTIWUSM</t>
  </si>
  <si>
    <t>XF4OBDV</t>
  </si>
  <si>
    <t>XF8114S</t>
  </si>
  <si>
    <t>X3WFC23</t>
  </si>
  <si>
    <t>XNZLGNQ</t>
  </si>
  <si>
    <t>XUJSRP2</t>
  </si>
  <si>
    <t>XKJPYOZ</t>
  </si>
  <si>
    <t>X2AVP</t>
  </si>
  <si>
    <t>XNV6ZVT</t>
  </si>
  <si>
    <t>XRC6IPG</t>
  </si>
  <si>
    <t>X2DY8</t>
  </si>
  <si>
    <t>XFJO3PY</t>
  </si>
  <si>
    <t>XCCFAXH</t>
  </si>
  <si>
    <t>XKAYEUF</t>
  </si>
  <si>
    <t>XAABEOG</t>
  </si>
  <si>
    <t>X5IJVO9</t>
  </si>
  <si>
    <t>XN92R2J</t>
  </si>
  <si>
    <t>XW7JDOK</t>
  </si>
  <si>
    <t>XIN3AWZ</t>
  </si>
  <si>
    <t>XIOWBO3</t>
  </si>
  <si>
    <t>X7IF5BC</t>
  </si>
  <si>
    <t>X5IFU62</t>
  </si>
  <si>
    <t>X8WL94P</t>
  </si>
  <si>
    <t>XTM96OI</t>
  </si>
  <si>
    <t>X1YS0</t>
  </si>
  <si>
    <t>XL2N66X</t>
  </si>
  <si>
    <t>XDXEMIE</t>
  </si>
  <si>
    <t>XKSR7XO</t>
  </si>
  <si>
    <t>X4FKF8C</t>
  </si>
  <si>
    <t>X4RIAOM</t>
  </si>
  <si>
    <t>X2T7HEQ</t>
  </si>
  <si>
    <t>XEZPPDP</t>
  </si>
  <si>
    <t>XQ4BFSW</t>
  </si>
  <si>
    <t>X2DSNVZ</t>
  </si>
  <si>
    <t>XQPOGJS</t>
  </si>
  <si>
    <t>XDVLDHM</t>
  </si>
  <si>
    <t>XRE26RN</t>
  </si>
  <si>
    <t>X1HP92P</t>
  </si>
  <si>
    <t>XF6ESDB</t>
  </si>
  <si>
    <t>XSBCWZJ</t>
  </si>
  <si>
    <t>XLKA6UP</t>
  </si>
  <si>
    <t>XMWBVLT</t>
  </si>
  <si>
    <t>XFG1BFW</t>
  </si>
  <si>
    <t>XMN4CIN</t>
  </si>
  <si>
    <t>XNTHBKM</t>
  </si>
  <si>
    <t>XLIKTQL</t>
  </si>
  <si>
    <t>X64EAAL</t>
  </si>
  <si>
    <t>XKKQV4L</t>
  </si>
  <si>
    <t>XGVRFPZ</t>
  </si>
  <si>
    <t>XVHG48W</t>
  </si>
  <si>
    <t>XKDC1DC</t>
  </si>
  <si>
    <t>XS34NW4</t>
  </si>
  <si>
    <t>XCP8TKG</t>
  </si>
  <si>
    <t>XXEZBJN</t>
  </si>
  <si>
    <t>XPTDH2Y</t>
  </si>
  <si>
    <t>X73JXTT</t>
  </si>
  <si>
    <t>XOD4DU6</t>
  </si>
  <si>
    <t>XKEG24X</t>
  </si>
  <si>
    <t>XRSML57</t>
  </si>
  <si>
    <t>X2BL4ZT</t>
  </si>
  <si>
    <t>XPTWTZN</t>
  </si>
  <si>
    <t>XS8WR2L</t>
  </si>
  <si>
    <t>XYEA912</t>
  </si>
  <si>
    <t>XOSM7C7</t>
  </si>
  <si>
    <t>XTANO4K</t>
  </si>
  <si>
    <t>XD165GU</t>
  </si>
  <si>
    <t>XXZUWFO</t>
  </si>
  <si>
    <t>XW99E8D</t>
  </si>
  <si>
    <t>XUZGOJU</t>
  </si>
  <si>
    <t>X1ZHQ</t>
  </si>
  <si>
    <t>XULT8S8</t>
  </si>
  <si>
    <t>XAN3Y3U</t>
  </si>
  <si>
    <t>XI9EA7D</t>
  </si>
  <si>
    <t>XR4GW77</t>
  </si>
  <si>
    <t>XLIJNQD</t>
  </si>
  <si>
    <t>XUCKG1B</t>
  </si>
  <si>
    <t>XP68IG3</t>
  </si>
  <si>
    <t>X1XU3N7</t>
  </si>
  <si>
    <t>XWK8RN1</t>
  </si>
  <si>
    <t>XHARKF1</t>
  </si>
  <si>
    <t>XUN9O74</t>
  </si>
  <si>
    <t>XC3FD1J</t>
  </si>
  <si>
    <t>XYSNYZS</t>
  </si>
  <si>
    <t>XV3XLGX</t>
  </si>
  <si>
    <t>XPI23CN</t>
  </si>
  <si>
    <t>XURKQ4E</t>
  </si>
  <si>
    <t>XHD2B3W</t>
  </si>
  <si>
    <t>XFXXUVH</t>
  </si>
  <si>
    <t>XBQ5AWW</t>
  </si>
  <si>
    <t>XGEDQWD</t>
  </si>
  <si>
    <t>XELHCJC</t>
  </si>
  <si>
    <t>XY69712</t>
  </si>
  <si>
    <t>X7MFKVY</t>
  </si>
  <si>
    <t>XAOYHWA</t>
  </si>
  <si>
    <t>XB393BH</t>
  </si>
  <si>
    <t>XGIIL32</t>
  </si>
  <si>
    <t>X3H5W6K</t>
  </si>
  <si>
    <t>X1Y7V</t>
  </si>
  <si>
    <t>X27TE</t>
  </si>
  <si>
    <t>XMV7MW8</t>
  </si>
  <si>
    <t>XQR4R1O</t>
  </si>
  <si>
    <t>X4RJPSE</t>
  </si>
  <si>
    <t>XELJETV</t>
  </si>
  <si>
    <t>XMQ52XC</t>
  </si>
  <si>
    <t>XKAKXPB</t>
  </si>
  <si>
    <t>XGIIQX4</t>
  </si>
  <si>
    <t>XLCNLL8</t>
  </si>
  <si>
    <t>X4KPZ5L</t>
  </si>
  <si>
    <t>XDZLKJS</t>
  </si>
  <si>
    <t>XQUXPTW</t>
  </si>
  <si>
    <t>XXPQ7CZ</t>
  </si>
  <si>
    <t>X1V130</t>
  </si>
  <si>
    <t>X2DC8</t>
  </si>
  <si>
    <t>X1W15G</t>
  </si>
  <si>
    <t>X2234</t>
  </si>
  <si>
    <t>X3QYSDZ</t>
  </si>
  <si>
    <t>X1XD5</t>
  </si>
  <si>
    <t>X1KFI</t>
  </si>
  <si>
    <t>XD8RITJ</t>
  </si>
  <si>
    <t>X2DBJ</t>
  </si>
  <si>
    <t>X2DNT</t>
  </si>
  <si>
    <t>X2DP5</t>
  </si>
  <si>
    <t>XZY339Y</t>
  </si>
  <si>
    <t>X1YO5</t>
  </si>
  <si>
    <t>XNLYDDY</t>
  </si>
  <si>
    <t>X1WZT</t>
  </si>
  <si>
    <t>XDSRBX1</t>
  </si>
  <si>
    <t>XEYWAEO</t>
  </si>
  <si>
    <t>XFAPAUZ</t>
  </si>
  <si>
    <t>XDSXMG5</t>
  </si>
  <si>
    <t>X1X5N</t>
  </si>
  <si>
    <t>X3609</t>
  </si>
  <si>
    <t>XHTKNQP</t>
  </si>
  <si>
    <t>XWVCYR7</t>
  </si>
  <si>
    <t>X69DXXB</t>
  </si>
  <si>
    <t>XWEXFTD</t>
  </si>
  <si>
    <t>XVATZJY</t>
  </si>
  <si>
    <t>X4PZWS3</t>
  </si>
  <si>
    <t>XBLEMKF</t>
  </si>
  <si>
    <t>XMOWJ2L</t>
  </si>
  <si>
    <t>X2C9O</t>
  </si>
  <si>
    <t>XJXZSBV</t>
  </si>
  <si>
    <t>X578BKS</t>
  </si>
  <si>
    <t>X73DHCA</t>
  </si>
  <si>
    <t>XWQMYU6</t>
  </si>
  <si>
    <t>XEI45P8</t>
  </si>
  <si>
    <t>XMJOTPK</t>
  </si>
  <si>
    <t>X1OD8</t>
  </si>
  <si>
    <t>XGTDI4P</t>
  </si>
  <si>
    <t>XZ37BGP</t>
  </si>
  <si>
    <t>X27R0</t>
  </si>
  <si>
    <t>X9VXX73</t>
  </si>
  <si>
    <t>XJY8I7M</t>
  </si>
  <si>
    <t>XDRE7RS</t>
  </si>
  <si>
    <t>X1TW1JU</t>
  </si>
  <si>
    <t>XXSJKUO</t>
  </si>
  <si>
    <t>XPV1FSI</t>
  </si>
  <si>
    <t>XPLDM8W</t>
  </si>
  <si>
    <t>XG9C8VM</t>
  </si>
  <si>
    <t>X1E6MD2</t>
  </si>
  <si>
    <t>XL6QQ8R</t>
  </si>
  <si>
    <t>X4SOPG3</t>
  </si>
  <si>
    <t>X14ZYUT</t>
  </si>
  <si>
    <t>X21VF</t>
  </si>
  <si>
    <t>X1VV6</t>
  </si>
  <si>
    <t>X4WJX3M</t>
  </si>
  <si>
    <t>XLB989C</t>
  </si>
  <si>
    <t>XS7SKIR</t>
  </si>
  <si>
    <t>XH3IX9D</t>
  </si>
  <si>
    <t>XLUWXWQ</t>
  </si>
  <si>
    <t>XINCS8R</t>
  </si>
  <si>
    <t>X52ANSN</t>
  </si>
  <si>
    <t>XISACRZ</t>
  </si>
  <si>
    <t>XD31B4V</t>
  </si>
  <si>
    <t>X4EX6GI</t>
  </si>
  <si>
    <t>XS6BANK</t>
  </si>
  <si>
    <t>X2A88</t>
  </si>
  <si>
    <t>XWHTQVY</t>
  </si>
  <si>
    <t>XEW5C7E</t>
  </si>
  <si>
    <t>XWD2YS6</t>
  </si>
  <si>
    <t>XLJ7E4C</t>
  </si>
  <si>
    <t>XPBQJ33</t>
  </si>
  <si>
    <t>X1EV1ME</t>
  </si>
  <si>
    <t>XKLO961</t>
  </si>
  <si>
    <t>X69G2E1</t>
  </si>
  <si>
    <t>XNZRPOJ</t>
  </si>
  <si>
    <t>XKD98WH</t>
  </si>
  <si>
    <t>XKRKPRR</t>
  </si>
  <si>
    <t>XQRNDYU</t>
  </si>
  <si>
    <t>XR1HU7G</t>
  </si>
  <si>
    <t>X9HSKXF</t>
  </si>
  <si>
    <t>XBPLBQY</t>
  </si>
  <si>
    <t>XC4X2VJ</t>
  </si>
  <si>
    <t>X7IOGST</t>
  </si>
  <si>
    <t>XUOWPX9</t>
  </si>
  <si>
    <t>XQCC4HD</t>
  </si>
  <si>
    <t>X65YBKV</t>
  </si>
  <si>
    <t>XA9A35L</t>
  </si>
  <si>
    <t>X2JY793</t>
  </si>
  <si>
    <t>XYBKCRP</t>
  </si>
  <si>
    <t>X8AFDVC</t>
  </si>
  <si>
    <t>X523J5I</t>
  </si>
  <si>
    <t>XLZFEI4</t>
  </si>
  <si>
    <t>X519A6S</t>
  </si>
  <si>
    <t>XWIMEOK</t>
  </si>
  <si>
    <t>XK7EP99</t>
  </si>
  <si>
    <t>XPLLKL8</t>
  </si>
  <si>
    <t>XMUHTI2</t>
  </si>
  <si>
    <t>X7G4H2Y</t>
  </si>
  <si>
    <t>XURDKXZ</t>
  </si>
  <si>
    <t>XIFW52X</t>
  </si>
  <si>
    <t>X36THVG</t>
  </si>
  <si>
    <t>XXBAHON</t>
  </si>
  <si>
    <t>XRIY6I2</t>
  </si>
  <si>
    <t>XPUOP1Q</t>
  </si>
  <si>
    <t>XHL3YWD</t>
  </si>
  <si>
    <t>X846CH3</t>
  </si>
  <si>
    <t>XD8JBLK</t>
  </si>
  <si>
    <t>XTGKG34</t>
  </si>
  <si>
    <t>X1WU5TW</t>
  </si>
  <si>
    <t>XOS5TFE</t>
  </si>
  <si>
    <t>XER8MGC</t>
  </si>
  <si>
    <t>X1ZIR</t>
  </si>
  <si>
    <t>XWOZSC4</t>
  </si>
  <si>
    <t>XZKHCQA</t>
  </si>
  <si>
    <t>X1JV7</t>
  </si>
  <si>
    <t>XVWQDLO</t>
  </si>
  <si>
    <t>XXCVA87</t>
  </si>
  <si>
    <t>X7JXYYB</t>
  </si>
  <si>
    <t>XF8ZY5T</t>
  </si>
  <si>
    <t>XITF86Y</t>
  </si>
  <si>
    <t>XJOW1HL</t>
  </si>
  <si>
    <t>XMBAUDX</t>
  </si>
  <si>
    <t>XCVJX8U</t>
  </si>
  <si>
    <t>XNZ73SK</t>
  </si>
  <si>
    <t>X9URRKJ</t>
  </si>
  <si>
    <t>XQEU6SJ</t>
  </si>
  <si>
    <t>XVVXBT3</t>
  </si>
  <si>
    <t>X2L8EVK</t>
  </si>
  <si>
    <t>X995M7V</t>
  </si>
  <si>
    <t>X2TUOAM</t>
  </si>
  <si>
    <t>XFJJHOV</t>
  </si>
  <si>
    <t>X49IBZD</t>
  </si>
  <si>
    <t>XHTCXXZ</t>
  </si>
  <si>
    <t>X8F6OS2</t>
  </si>
  <si>
    <t>X23S6Q3</t>
  </si>
  <si>
    <t>X36DEKL</t>
  </si>
  <si>
    <t>XH9FXEX</t>
  </si>
  <si>
    <t>XIVNOT3</t>
  </si>
  <si>
    <t>XOHMI5B</t>
  </si>
  <si>
    <t>X5WY3L7</t>
  </si>
  <si>
    <t>X9BO4YQ</t>
  </si>
  <si>
    <t>X3999</t>
  </si>
  <si>
    <t>X4J3X6E</t>
  </si>
  <si>
    <t>XCXT4PS</t>
  </si>
  <si>
    <t>X4AQCPV</t>
  </si>
  <si>
    <t>X2CQPXF</t>
  </si>
  <si>
    <t>XID2UAA</t>
  </si>
  <si>
    <t>XMCIX52</t>
  </si>
  <si>
    <t>XQUBTX3</t>
  </si>
  <si>
    <t>XRXWAC9</t>
  </si>
  <si>
    <t>X2FUB8P</t>
  </si>
  <si>
    <t>XYEOXR5</t>
  </si>
  <si>
    <t>XF66VXV</t>
  </si>
  <si>
    <t>X1WUC</t>
  </si>
  <si>
    <t>XFE778W</t>
  </si>
  <si>
    <t>XCGMX9J</t>
  </si>
  <si>
    <t>XQV3A9G</t>
  </si>
  <si>
    <t>XCACOS4</t>
  </si>
  <si>
    <t>XJH1H12</t>
  </si>
  <si>
    <t>XFJ936M</t>
  </si>
  <si>
    <t>XLGD6XN</t>
  </si>
  <si>
    <t>X4GT866</t>
  </si>
  <si>
    <t>X20NJ</t>
  </si>
  <si>
    <t>X1YW0</t>
  </si>
  <si>
    <t>Nationality</t>
  </si>
  <si>
    <t>Education</t>
  </si>
  <si>
    <t>Occupation</t>
  </si>
  <si>
    <t>Birth date</t>
  </si>
  <si>
    <t>Date Joined</t>
  </si>
  <si>
    <t>Philippines</t>
  </si>
  <si>
    <t>Bachelor's Degree</t>
  </si>
  <si>
    <t>Business owner</t>
  </si>
  <si>
    <t>Others, please specify:</t>
  </si>
  <si>
    <t>None</t>
  </si>
  <si>
    <t>21/3/2017</t>
  </si>
  <si>
    <t>Diploma or equivalent</t>
  </si>
  <si>
    <t>Sales</t>
  </si>
  <si>
    <t>30/10/2020</t>
  </si>
  <si>
    <t>Malaysia</t>
  </si>
  <si>
    <t>High School or equivalent</t>
  </si>
  <si>
    <t>Student</t>
  </si>
  <si>
    <t>Factory worker</t>
  </si>
  <si>
    <t>Writer</t>
  </si>
  <si>
    <t>26/9/2017</t>
  </si>
  <si>
    <t>Indonesia</t>
  </si>
  <si>
    <t>Accountant</t>
  </si>
  <si>
    <t>16/4/2020</t>
  </si>
  <si>
    <t>16/8/2018</t>
  </si>
  <si>
    <t>Customer Service</t>
  </si>
  <si>
    <t>31/8/2019</t>
  </si>
  <si>
    <t>14/11/2018</t>
  </si>
  <si>
    <t>Prefer not to say</t>
  </si>
  <si>
    <t>28/8/2017</t>
  </si>
  <si>
    <t>Administrator</t>
  </si>
  <si>
    <t>Master's Degree</t>
  </si>
  <si>
    <t>Teacher/Educator</t>
  </si>
  <si>
    <t>21/5/2019</t>
  </si>
  <si>
    <t>21/5/2018</t>
  </si>
  <si>
    <t>23/3/2017</t>
  </si>
  <si>
    <t>29/12/2020</t>
  </si>
  <si>
    <t>20/10/2020</t>
  </si>
  <si>
    <t>Mechanic/Technician</t>
  </si>
  <si>
    <t>13/11/2020</t>
  </si>
  <si>
    <t>27/11/2020</t>
  </si>
  <si>
    <t>27/7/2017</t>
  </si>
  <si>
    <t>Engineer</t>
  </si>
  <si>
    <t>13/10/2020</t>
  </si>
  <si>
    <t>30/11/2020</t>
  </si>
  <si>
    <t>26/6/2018</t>
  </si>
  <si>
    <t>14/3/2017</t>
  </si>
  <si>
    <t>Manager</t>
  </si>
  <si>
    <t>26/11/2020</t>
  </si>
  <si>
    <t>Trader</t>
  </si>
  <si>
    <t>17/10/2018</t>
  </si>
  <si>
    <t>Bangladesh</t>
  </si>
  <si>
    <t>19/8/2020</t>
  </si>
  <si>
    <t>26/3/2018</t>
  </si>
  <si>
    <t>13/1/2021</t>
  </si>
  <si>
    <t>Homemaker / Stay-at-Home Parent</t>
  </si>
  <si>
    <t>India</t>
  </si>
  <si>
    <t>25/8/2020</t>
  </si>
  <si>
    <t>17/10/2020</t>
  </si>
  <si>
    <t>21/12/2020</t>
  </si>
  <si>
    <t>Kenya</t>
  </si>
  <si>
    <t>Healthcare professional</t>
  </si>
  <si>
    <t>14/1/2020</t>
  </si>
  <si>
    <t>21/2/2018</t>
  </si>
  <si>
    <t>16/11/2020</t>
  </si>
  <si>
    <t>23/12/2020</t>
  </si>
  <si>
    <t>14/11/2017</t>
  </si>
  <si>
    <t>17/12/2020</t>
  </si>
  <si>
    <t>14/6/2017</t>
  </si>
  <si>
    <t>23/11/2018</t>
  </si>
  <si>
    <t>14/12/2020</t>
  </si>
  <si>
    <t>23/8/2018</t>
  </si>
  <si>
    <t>14/8/2018</t>
  </si>
  <si>
    <t>22/10/2018</t>
  </si>
  <si>
    <t>19/10/2020</t>
  </si>
  <si>
    <t>28/10/2020</t>
  </si>
  <si>
    <t>17/1/2020</t>
  </si>
  <si>
    <t>25/1/2021</t>
  </si>
  <si>
    <t>30/10/2019</t>
  </si>
  <si>
    <t>16/10/2019</t>
  </si>
  <si>
    <t>20/3/2020</t>
  </si>
  <si>
    <t>15/1/2021</t>
  </si>
  <si>
    <t>27/9/2018</t>
  </si>
  <si>
    <t>Ghana</t>
  </si>
  <si>
    <t>23/10/2020</t>
  </si>
  <si>
    <t>27/10/2020</t>
  </si>
  <si>
    <t>20/1/2021</t>
  </si>
  <si>
    <t>15/12/2020</t>
  </si>
  <si>
    <t>17/10/2019</t>
  </si>
  <si>
    <t>30/8/2019</t>
  </si>
  <si>
    <t>17/8/2018</t>
  </si>
  <si>
    <t>17/7/2018</t>
  </si>
  <si>
    <t>19/3/2020</t>
  </si>
  <si>
    <t>27/8/2019</t>
  </si>
  <si>
    <t>18/7/2017</t>
  </si>
  <si>
    <t>19/10/2017</t>
  </si>
  <si>
    <t>18/1/2021</t>
  </si>
  <si>
    <t>18/12/2019</t>
  </si>
  <si>
    <t>20/1/2020</t>
  </si>
  <si>
    <t>Argentina</t>
  </si>
  <si>
    <t>23/5/2019</t>
  </si>
  <si>
    <t>16/7/2018</t>
  </si>
  <si>
    <t>20/8/2020</t>
  </si>
  <si>
    <t>19/10/2018</t>
  </si>
  <si>
    <t>26/7/2018</t>
  </si>
  <si>
    <t>Consultant</t>
  </si>
  <si>
    <t>23/11/2020</t>
  </si>
  <si>
    <t>Clerk/Secretary</t>
  </si>
  <si>
    <t>13/3/2019</t>
  </si>
  <si>
    <t>18/5/2018</t>
  </si>
  <si>
    <t>28/6/2018</t>
  </si>
  <si>
    <t>20/6/2017</t>
  </si>
  <si>
    <t>Driver/Chauffeur</t>
  </si>
  <si>
    <t>24/10/2019</t>
  </si>
  <si>
    <t>26/7/2016</t>
  </si>
  <si>
    <t>14/10/2019</t>
  </si>
  <si>
    <t>25/4/2017</t>
  </si>
  <si>
    <t>22/1/2021</t>
  </si>
  <si>
    <t>13/8/2018</t>
  </si>
  <si>
    <t>27/3/2017</t>
  </si>
  <si>
    <t>28/1/2019</t>
  </si>
  <si>
    <t>21/1/2021</t>
  </si>
  <si>
    <t>24/10/2018</t>
  </si>
  <si>
    <t>Architect/Interior Designer</t>
  </si>
  <si>
    <t>13/9/2019</t>
  </si>
  <si>
    <t>25/6/2018</t>
  </si>
  <si>
    <t>Chef</t>
  </si>
  <si>
    <t>Uganda</t>
  </si>
  <si>
    <t>Saturday, 0 January, 1900</t>
  </si>
  <si>
    <t>Lawyer/Paralegal</t>
  </si>
  <si>
    <t>14/1/2021</t>
  </si>
  <si>
    <t>30/12/2020</t>
  </si>
  <si>
    <t>21/8/2018</t>
  </si>
  <si>
    <t>29/10/2019</t>
  </si>
  <si>
    <t>23/8/2017</t>
  </si>
  <si>
    <t>15/4/2019</t>
  </si>
  <si>
    <t>17/4/2018</t>
  </si>
  <si>
    <t>18/6/2018</t>
  </si>
  <si>
    <t>14/5/2018</t>
  </si>
  <si>
    <t>13/2/2020</t>
  </si>
  <si>
    <t>26/10/2018</t>
  </si>
  <si>
    <t>28/1/2020</t>
  </si>
  <si>
    <t>25/11/2019</t>
  </si>
  <si>
    <t>24/8/2018</t>
  </si>
  <si>
    <t>21/10/2020</t>
  </si>
  <si>
    <t>26/8/2020</t>
  </si>
  <si>
    <t>15/8/2018</t>
  </si>
  <si>
    <t>13/8/2020</t>
  </si>
  <si>
    <t>21/10/2019</t>
  </si>
  <si>
    <t>26/1/2021</t>
  </si>
  <si>
    <t>21/6/2018</t>
  </si>
  <si>
    <t>27/8/2018</t>
  </si>
  <si>
    <t>23/7/2018</t>
  </si>
  <si>
    <t>30/8/2018</t>
  </si>
  <si>
    <t>30/11/2018</t>
  </si>
  <si>
    <t>14/8/2019</t>
  </si>
  <si>
    <t>28/3/2018</t>
  </si>
  <si>
    <t>30/9/2019</t>
  </si>
  <si>
    <t>Zambia</t>
  </si>
  <si>
    <t>Scientist</t>
  </si>
  <si>
    <t>14/9/2020</t>
  </si>
  <si>
    <t>24/1/2020</t>
  </si>
  <si>
    <t>13/5/2020</t>
  </si>
  <si>
    <t>26/10/2020</t>
  </si>
  <si>
    <t>16/10/2018</t>
  </si>
  <si>
    <t>13/8/2019</t>
  </si>
  <si>
    <t>13/9/2018</t>
  </si>
  <si>
    <t>24/3/2020</t>
  </si>
  <si>
    <t>19/4/2018</t>
  </si>
  <si>
    <t>19/11/2019</t>
  </si>
  <si>
    <t>31/1/2020</t>
  </si>
  <si>
    <t>27/12/2019</t>
  </si>
  <si>
    <t>20/9/2018</t>
  </si>
  <si>
    <t>22/10/2020</t>
  </si>
  <si>
    <t>28/8/2018</t>
  </si>
  <si>
    <t>Janitor</t>
  </si>
  <si>
    <t>19/9/2019</t>
  </si>
  <si>
    <t>16/3/2020</t>
  </si>
  <si>
    <t>18/5/2020</t>
  </si>
  <si>
    <t>19/3/2018</t>
  </si>
  <si>
    <t>18/3/2020</t>
  </si>
  <si>
    <t>25/5/2017</t>
  </si>
  <si>
    <t>17/10/2017</t>
  </si>
  <si>
    <t>24/8/2020</t>
  </si>
  <si>
    <t>20/2/2020</t>
  </si>
  <si>
    <t>17/5/2019</t>
  </si>
  <si>
    <t>28/1/2021</t>
  </si>
  <si>
    <t>19/2/2021</t>
  </si>
  <si>
    <t>30/10/2018</t>
  </si>
  <si>
    <t>15/1/2020</t>
  </si>
  <si>
    <t>30/5/2018</t>
  </si>
  <si>
    <t>30/7/2018</t>
  </si>
  <si>
    <t>29/1/2020</t>
  </si>
  <si>
    <t>26/3/2019</t>
  </si>
  <si>
    <t>25/9/2019</t>
  </si>
  <si>
    <t>21/8/2017</t>
  </si>
  <si>
    <t>13/3/2020</t>
  </si>
  <si>
    <t>30/3/2020</t>
  </si>
  <si>
    <t>18/2/2019</t>
  </si>
  <si>
    <t>Morocco</t>
  </si>
  <si>
    <t>21/11/2017</t>
  </si>
  <si>
    <t>13/7/2020</t>
  </si>
  <si>
    <t>Pilot/Air Steward</t>
  </si>
  <si>
    <t>31/7/2018</t>
  </si>
  <si>
    <t>13/1/2020</t>
  </si>
  <si>
    <t>23/2/2021</t>
  </si>
  <si>
    <t>23/5/2018</t>
  </si>
  <si>
    <t>19/11/2020</t>
  </si>
  <si>
    <t>29/6/2017</t>
  </si>
  <si>
    <t>18/2/2020</t>
  </si>
  <si>
    <t>27/5/2019</t>
  </si>
  <si>
    <t>21/2/2017</t>
  </si>
  <si>
    <t>17/4/2017</t>
  </si>
  <si>
    <t>19/1/2021</t>
  </si>
  <si>
    <t>26/2/2020</t>
  </si>
  <si>
    <t>17/2/2021</t>
  </si>
  <si>
    <t>13/12/2019</t>
  </si>
  <si>
    <t>15/7/2019</t>
  </si>
  <si>
    <t>15/5/2019</t>
  </si>
  <si>
    <t>Brazil</t>
  </si>
  <si>
    <t>18/2/2021</t>
  </si>
  <si>
    <t>16/12/2020</t>
  </si>
  <si>
    <t>15/2/2018</t>
  </si>
  <si>
    <t>18/9/2019</t>
  </si>
  <si>
    <t>22/2/2021</t>
  </si>
  <si>
    <t>18/9/2018</t>
  </si>
  <si>
    <t>23/3/2021</t>
  </si>
  <si>
    <t>16/3/2021</t>
  </si>
  <si>
    <t>25/3/2021</t>
  </si>
  <si>
    <t>17/1/2019</t>
  </si>
  <si>
    <t>17/5/2017</t>
  </si>
  <si>
    <t>20/2/2021</t>
  </si>
  <si>
    <t>19/11/2018</t>
  </si>
  <si>
    <t>31/12/2020</t>
  </si>
  <si>
    <t>16/1/2019</t>
  </si>
  <si>
    <t>19/3/2021</t>
  </si>
  <si>
    <t>14/6/2018</t>
  </si>
  <si>
    <t>22/6/2017</t>
  </si>
  <si>
    <t>24/2/2017</t>
  </si>
  <si>
    <t>18/8/2020</t>
  </si>
  <si>
    <t>26/9/2018</t>
  </si>
  <si>
    <t>18/12/2018</t>
  </si>
  <si>
    <t>14/10/2020</t>
  </si>
  <si>
    <t>29/9/2020</t>
  </si>
  <si>
    <t>25/4/2019</t>
  </si>
  <si>
    <t>15/3/2021</t>
  </si>
  <si>
    <t>South Sudan</t>
  </si>
  <si>
    <t>21/4/2021</t>
  </si>
  <si>
    <t>24/3/2021</t>
  </si>
  <si>
    <t>27/3/2020</t>
  </si>
  <si>
    <t>[DELETED]</t>
  </si>
  <si>
    <t>20/4/2021</t>
  </si>
  <si>
    <t>30/3/2021</t>
  </si>
  <si>
    <t>15/4/2021</t>
  </si>
  <si>
    <t>18/3/2021</t>
  </si>
  <si>
    <t>13/4/2021</t>
  </si>
  <si>
    <t>28/9/2020</t>
  </si>
  <si>
    <t>26/3/2021</t>
  </si>
  <si>
    <t>21/1/2020</t>
  </si>
  <si>
    <t>22/3/2021</t>
  </si>
  <si>
    <t>19/4/2021</t>
  </si>
  <si>
    <t>17/3/2021</t>
  </si>
  <si>
    <t>21/2/2020</t>
  </si>
  <si>
    <t>Korea, Republic of</t>
  </si>
  <si>
    <t>23/4/2021</t>
  </si>
  <si>
    <t>28/12/2020</t>
  </si>
  <si>
    <t>14/2/2018</t>
  </si>
  <si>
    <t>PhD</t>
  </si>
  <si>
    <t>29/3/2021</t>
  </si>
  <si>
    <t>Russian Federation</t>
  </si>
  <si>
    <t>26/8/2019</t>
  </si>
  <si>
    <t>23/10/2019</t>
  </si>
  <si>
    <t>25/9/2020</t>
  </si>
  <si>
    <t>Actuary</t>
  </si>
  <si>
    <t>28/9/2019</t>
  </si>
  <si>
    <t>16/12/2019</t>
  </si>
  <si>
    <t>Personal trainer/Therapist</t>
  </si>
  <si>
    <t>18/5/2021</t>
  </si>
  <si>
    <t>27/4/2021</t>
  </si>
  <si>
    <t>23/3/2020</t>
  </si>
  <si>
    <t>19/5/2021</t>
  </si>
  <si>
    <t>21/5/2021</t>
  </si>
  <si>
    <t>20/5/2021</t>
  </si>
  <si>
    <t>18/12/2017</t>
  </si>
  <si>
    <t>24/5/2021</t>
  </si>
  <si>
    <t>17/4/2019</t>
  </si>
  <si>
    <t>30/12/2019</t>
  </si>
  <si>
    <t>14/7/2017</t>
  </si>
  <si>
    <t>Madagascar</t>
  </si>
  <si>
    <t>24/9/2018</t>
  </si>
  <si>
    <t>22/1/2019</t>
  </si>
  <si>
    <t>24/3/2017</t>
  </si>
  <si>
    <t>25/6/2021</t>
  </si>
  <si>
    <t>24/6/2021</t>
  </si>
  <si>
    <t>29/5/2019</t>
  </si>
  <si>
    <t>26/6/2021</t>
  </si>
  <si>
    <t>23/6/2021</t>
  </si>
  <si>
    <t>16/6/2021</t>
  </si>
  <si>
    <t>17/6/2019</t>
  </si>
  <si>
    <t>26/4/2021</t>
  </si>
  <si>
    <t>22/6/2021</t>
  </si>
  <si>
    <t>14/6/2021</t>
  </si>
  <si>
    <t>19/9/2018</t>
  </si>
  <si>
    <t>21/6/2021</t>
  </si>
  <si>
    <t>Australia</t>
  </si>
  <si>
    <t>31/5/2021</t>
  </si>
  <si>
    <t>21/7/2020</t>
  </si>
  <si>
    <t>27/6/2021</t>
  </si>
  <si>
    <t>26/2/2018</t>
  </si>
  <si>
    <t>28/5/2021</t>
  </si>
  <si>
    <t>Jamaica</t>
  </si>
  <si>
    <t>29/6/2021</t>
  </si>
  <si>
    <t>14/7/2021</t>
  </si>
  <si>
    <t>18/7/2021</t>
  </si>
  <si>
    <t>22/10/2019</t>
  </si>
  <si>
    <t>27/5/2021</t>
  </si>
  <si>
    <t>13/7/2021</t>
  </si>
  <si>
    <t>15/7/2021</t>
  </si>
  <si>
    <t>19/7/2021</t>
  </si>
  <si>
    <t>28/6/2021</t>
  </si>
  <si>
    <t>18/8/2021</t>
  </si>
  <si>
    <t>30/7/2021</t>
  </si>
  <si>
    <t>16/8/2021</t>
  </si>
  <si>
    <t>28/7/2021</t>
  </si>
  <si>
    <t>27/7/2021</t>
  </si>
  <si>
    <t>13/8/2021</t>
  </si>
  <si>
    <t>17/8/2021</t>
  </si>
  <si>
    <t>19/12/2019</t>
  </si>
  <si>
    <t>30/6/2021</t>
  </si>
  <si>
    <t>26/7/2021</t>
  </si>
  <si>
    <t>18/7/2019</t>
  </si>
  <si>
    <t>23/7/2021</t>
  </si>
  <si>
    <t>25/10/2019</t>
  </si>
  <si>
    <t>21/7/2021</t>
  </si>
  <si>
    <t>31/7/2017</t>
  </si>
  <si>
    <t>29/7/2021</t>
  </si>
  <si>
    <t>15/11/2019</t>
  </si>
  <si>
    <t>Viet Nam</t>
  </si>
  <si>
    <t>25/8/2021</t>
  </si>
  <si>
    <t>30/8/2021</t>
  </si>
  <si>
    <t>26/8/2021</t>
  </si>
  <si>
    <t>13/9/2021</t>
  </si>
  <si>
    <t>22/7/2021</t>
  </si>
  <si>
    <t>28/4/2021</t>
  </si>
  <si>
    <t>30/6/2017</t>
  </si>
  <si>
    <t>27/9/2019</t>
  </si>
  <si>
    <t>Security Guard</t>
  </si>
  <si>
    <t>21/8/2020</t>
  </si>
  <si>
    <t>13/12/2021</t>
  </si>
  <si>
    <t>20/10/2021</t>
  </si>
  <si>
    <t>24/9/2021</t>
  </si>
  <si>
    <t>18/11/2021</t>
  </si>
  <si>
    <t>17/9/2021</t>
  </si>
  <si>
    <t>23/8/2021</t>
  </si>
  <si>
    <t>26/10/2021</t>
  </si>
  <si>
    <t>15/11/2021</t>
  </si>
  <si>
    <t>16/7/2021</t>
  </si>
  <si>
    <t>15/9/2021</t>
  </si>
  <si>
    <t>27/9/2021</t>
  </si>
  <si>
    <t>18/10/2021</t>
  </si>
  <si>
    <t>16/11/2021</t>
  </si>
  <si>
    <t>15/10/2021</t>
  </si>
  <si>
    <t>29/10/2021</t>
  </si>
  <si>
    <t>26/11/2021</t>
  </si>
  <si>
    <t>22/10/2021</t>
  </si>
  <si>
    <t>21/9/2021</t>
  </si>
  <si>
    <t>17/11/2021</t>
  </si>
  <si>
    <t>22/9/2021</t>
  </si>
  <si>
    <t>20/11/2021</t>
  </si>
  <si>
    <t>13/10/2021</t>
  </si>
  <si>
    <t>23/11/2021</t>
  </si>
  <si>
    <t>20/12/2021</t>
  </si>
  <si>
    <t>17/6/2021</t>
  </si>
  <si>
    <t>20/9/2021</t>
  </si>
  <si>
    <t>21/10/2021</t>
  </si>
  <si>
    <t>23/9/2021</t>
  </si>
  <si>
    <t>27/10/2021</t>
  </si>
  <si>
    <t>14/10/2021</t>
  </si>
  <si>
    <t>22/1/2020</t>
  </si>
  <si>
    <t>Egypt</t>
  </si>
  <si>
    <t>26/11/2019</t>
  </si>
  <si>
    <t>Total Payout</t>
  </si>
  <si>
    <t>Duration(Month)</t>
  </si>
  <si>
    <t>PayoutPerMonth</t>
  </si>
  <si>
    <t>PPM Rank</t>
  </si>
  <si>
    <t>SupaAgent ID2</t>
  </si>
  <si>
    <t>Duration Rank</t>
  </si>
  <si>
    <t>Payout Rank</t>
  </si>
  <si>
    <t>TotalPayout2</t>
  </si>
  <si>
    <t>SupaAgent ID3</t>
  </si>
  <si>
    <t>PayOutFactor</t>
  </si>
  <si>
    <t>PPMFactor</t>
  </si>
  <si>
    <t>DurationFactor</t>
  </si>
  <si>
    <t>AgedromDAX</t>
  </si>
  <si>
    <t>100pctFactor</t>
  </si>
  <si>
    <t>100pctRank</t>
  </si>
  <si>
    <t>No.UniqueProj</t>
  </si>
  <si>
    <t>TieBreaker</t>
  </si>
  <si>
    <t>WithTiebreakerFactor</t>
  </si>
  <si>
    <t>WithTiebreakRank</t>
  </si>
  <si>
    <t>Age</t>
  </si>
  <si>
    <t>AgeGrouping</t>
  </si>
  <si>
    <t>25-34</t>
  </si>
  <si>
    <t>0</t>
  </si>
  <si>
    <t>35-44</t>
  </si>
  <si>
    <t>Under 25</t>
  </si>
  <si>
    <t>45 and above</t>
  </si>
  <si>
    <t>Invalid Age</t>
  </si>
  <si>
    <t>Rank</t>
  </si>
  <si>
    <t>Switch Priority</t>
  </si>
  <si>
    <r>
      <t xml:space="preserve">Possibly Deserve (Weighted Rank under 50 </t>
    </r>
    <r>
      <rPr>
        <b/>
        <sz val="16"/>
        <color rgb="FF000000"/>
        <rFont val="Arial"/>
        <family val="2"/>
        <scheme val="minor"/>
      </rPr>
      <t xml:space="preserve">but </t>
    </r>
    <r>
      <rPr>
        <sz val="16"/>
        <color rgb="FF000000"/>
        <rFont val="Arial"/>
        <family val="2"/>
        <scheme val="minor"/>
      </rPr>
      <t>PpM Rank above 50)</t>
    </r>
  </si>
  <si>
    <t>Weighted Rank</t>
  </si>
  <si>
    <t>0.333 Rank</t>
  </si>
  <si>
    <t>0.375 Rank</t>
  </si>
  <si>
    <r>
      <t xml:space="preserve">Inside Weight of 0.333 </t>
    </r>
    <r>
      <rPr>
        <b/>
        <sz val="14"/>
        <color rgb="FF000000"/>
        <rFont val="Calibri"/>
        <family val="2"/>
      </rPr>
      <t xml:space="preserve">but </t>
    </r>
    <r>
      <rPr>
        <sz val="14"/>
        <color indexed="8"/>
        <rFont val="Calibri"/>
        <family val="2"/>
      </rPr>
      <t>outside of 0.375</t>
    </r>
  </si>
  <si>
    <r>
      <t>Inside Weight of 0.375</t>
    </r>
    <r>
      <rPr>
        <b/>
        <sz val="14"/>
        <color rgb="FF000000"/>
        <rFont val="Calibri"/>
        <family val="2"/>
      </rPr>
      <t xml:space="preserve"> but</t>
    </r>
    <r>
      <rPr>
        <sz val="14"/>
        <color indexed="8"/>
        <rFont val="Calibri"/>
        <family val="2"/>
      </rPr>
      <t xml:space="preserve"> outside of 0.333</t>
    </r>
  </si>
  <si>
    <t>Most Undeserve</t>
  </si>
  <si>
    <t>Less Undeserve</t>
  </si>
  <si>
    <t>Undeserve</t>
  </si>
  <si>
    <r>
      <t xml:space="preserve">Possibly Undeserve (Weighted Rank above 50 </t>
    </r>
    <r>
      <rPr>
        <b/>
        <sz val="16"/>
        <color rgb="FF000000"/>
        <rFont val="Arial"/>
        <family val="2"/>
        <scheme val="minor"/>
      </rPr>
      <t>but</t>
    </r>
    <r>
      <rPr>
        <sz val="16"/>
        <color rgb="FF000000"/>
        <rFont val="Arial"/>
        <family val="2"/>
        <scheme val="minor"/>
      </rPr>
      <t xml:space="preserve"> PpM Rank under 50)</t>
    </r>
  </si>
  <si>
    <t>More in priority</t>
  </si>
  <si>
    <t>Medium</t>
  </si>
  <si>
    <t>Less in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</si>
</sst>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-d"/>
    <numFmt numFmtId="165" formatCode="mmmm\-d"/>
    <numFmt numFmtId="166" formatCode="dddd\,\ d\ mmmm\,\ yyyy"/>
    <numFmt numFmtId="167" formatCode="0.000"/>
    <numFmt numFmtId="168" formatCode="mm/dd/yy"/>
    <numFmt numFmtId="169" formatCode="mm/dd/yyyy"/>
    <numFmt numFmtId="170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sz val="11"/>
      <color indexed="8"/>
      <name val="Calibri"/>
      <family val="2"/>
    </font>
    <font>
      <sz val="12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sz val="14"/>
      <color indexed="8"/>
      <name val="Calibri"/>
      <family val="2"/>
    </font>
    <font>
      <b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166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/>
    <xf numFmtId="1" fontId="5" fillId="3" borderId="0" xfId="0" applyNumberFormat="1" applyFont="1" applyFill="1" applyBorder="1" applyAlignment="1" applyProtection="1"/>
    <xf numFmtId="0" fontId="0" fillId="0" borderId="0" xfId="0" applyFont="1" applyFill="1" applyAlignment="1"/>
    <xf numFmtId="0" fontId="5" fillId="4" borderId="0" xfId="0" applyNumberFormat="1" applyFont="1" applyFill="1" applyBorder="1" applyAlignment="1" applyProtection="1"/>
    <xf numFmtId="1" fontId="5" fillId="4" borderId="0" xfId="0" applyNumberFormat="1" applyFont="1" applyFill="1" applyBorder="1" applyAlignment="1" applyProtection="1"/>
    <xf numFmtId="0" fontId="4" fillId="0" borderId="0" xfId="0" applyFont="1" applyFill="1" applyAlignment="1"/>
    <xf numFmtId="168" fontId="5" fillId="0" borderId="0" xfId="0" applyNumberFormat="1" applyFont="1" applyFill="1" applyBorder="1" applyAlignment="1" applyProtection="1"/>
    <xf numFmtId="169" fontId="5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/>
    <xf numFmtId="14" fontId="0" fillId="0" borderId="0" xfId="0" applyNumberFormat="1" applyFont="1" applyAlignment="1"/>
    <xf numFmtId="2" fontId="5" fillId="0" borderId="0" xfId="0" applyNumberFormat="1" applyFont="1" applyFill="1" applyBorder="1" applyAlignment="1" applyProtection="1"/>
    <xf numFmtId="2" fontId="0" fillId="0" borderId="0" xfId="0" applyNumberFormat="1" applyFont="1" applyAlignment="1"/>
    <xf numFmtId="170" fontId="5" fillId="0" borderId="0" xfId="0" applyNumberFormat="1" applyFont="1" applyFill="1" applyBorder="1" applyAlignment="1" applyProtection="1"/>
    <xf numFmtId="170" fontId="0" fillId="0" borderId="0" xfId="0" applyNumberFormat="1" applyFont="1" applyAlignment="1"/>
    <xf numFmtId="0" fontId="0" fillId="7" borderId="0" xfId="0" applyFont="1" applyFill="1" applyAlignment="1"/>
    <xf numFmtId="0" fontId="5" fillId="7" borderId="0" xfId="0" applyNumberFormat="1" applyFont="1" applyFill="1" applyBorder="1" applyAlignment="1" applyProtection="1"/>
    <xf numFmtId="169" fontId="5" fillId="7" borderId="0" xfId="0" applyNumberFormat="1" applyFont="1" applyFill="1" applyBorder="1" applyAlignment="1" applyProtection="1"/>
    <xf numFmtId="1" fontId="5" fillId="7" borderId="0" xfId="0" applyNumberFormat="1" applyFont="1" applyFill="1" applyBorder="1" applyAlignment="1" applyProtection="1"/>
    <xf numFmtId="14" fontId="5" fillId="7" borderId="0" xfId="0" applyNumberFormat="1" applyFont="1" applyFill="1" applyBorder="1" applyAlignment="1" applyProtection="1"/>
    <xf numFmtId="170" fontId="5" fillId="7" borderId="0" xfId="0" applyNumberFormat="1" applyFont="1" applyFill="1" applyBorder="1" applyAlignment="1" applyProtection="1"/>
    <xf numFmtId="2" fontId="5" fillId="7" borderId="0" xfId="0" applyNumberFormat="1" applyFont="1" applyFill="1" applyBorder="1" applyAlignment="1" applyProtection="1"/>
    <xf numFmtId="169" fontId="5" fillId="4" borderId="0" xfId="0" applyNumberFormat="1" applyFont="1" applyFill="1" applyBorder="1" applyAlignment="1" applyProtection="1"/>
    <xf numFmtId="14" fontId="5" fillId="4" borderId="0" xfId="0" applyNumberFormat="1" applyFont="1" applyFill="1" applyBorder="1" applyAlignment="1" applyProtection="1"/>
    <xf numFmtId="0" fontId="0" fillId="4" borderId="0" xfId="0" applyFont="1" applyFill="1" applyAlignment="1"/>
    <xf numFmtId="0" fontId="9" fillId="0" borderId="0" xfId="0" applyNumberFormat="1" applyFont="1" applyFill="1" applyBorder="1" applyAlignment="1" applyProtection="1"/>
    <xf numFmtId="0" fontId="6" fillId="0" borderId="0" xfId="0" applyFont="1" applyFill="1" applyAlignment="1"/>
    <xf numFmtId="0" fontId="9" fillId="2" borderId="0" xfId="0" applyNumberFormat="1" applyFont="1" applyFill="1" applyBorder="1" applyAlignment="1" applyProtection="1"/>
    <xf numFmtId="167" fontId="9" fillId="2" borderId="0" xfId="0" applyNumberFormat="1" applyFont="1" applyFill="1" applyBorder="1" applyAlignment="1" applyProtection="1"/>
    <xf numFmtId="1" fontId="9" fillId="2" borderId="0" xfId="0" applyNumberFormat="1" applyFont="1" applyFill="1" applyBorder="1" applyAlignment="1" applyProtection="1"/>
    <xf numFmtId="0" fontId="9" fillId="8" borderId="0" xfId="0" applyNumberFormat="1" applyFont="1" applyFill="1" applyBorder="1" applyAlignment="1" applyProtection="1"/>
    <xf numFmtId="167" fontId="9" fillId="8" borderId="0" xfId="0" applyNumberFormat="1" applyFont="1" applyFill="1" applyBorder="1" applyAlignment="1" applyProtection="1"/>
    <xf numFmtId="1" fontId="9" fillId="8" borderId="0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/>
    <xf numFmtId="0" fontId="9" fillId="6" borderId="1" xfId="0" applyNumberFormat="1" applyFont="1" applyFill="1" applyBorder="1" applyAlignment="1" applyProtection="1"/>
    <xf numFmtId="0" fontId="9" fillId="5" borderId="1" xfId="0" applyNumberFormat="1" applyFont="1" applyFill="1" applyBorder="1" applyAlignment="1" applyProtection="1"/>
    <xf numFmtId="167" fontId="9" fillId="5" borderId="1" xfId="0" applyNumberFormat="1" applyFont="1" applyFill="1" applyBorder="1" applyAlignment="1" applyProtection="1"/>
    <xf numFmtId="1" fontId="9" fillId="5" borderId="1" xfId="0" applyNumberFormat="1" applyFont="1" applyFill="1" applyBorder="1" applyAlignment="1" applyProtection="1"/>
    <xf numFmtId="0" fontId="9" fillId="2" borderId="1" xfId="0" applyNumberFormat="1" applyFont="1" applyFill="1" applyBorder="1" applyAlignment="1" applyProtection="1"/>
    <xf numFmtId="167" fontId="9" fillId="2" borderId="1" xfId="0" applyNumberFormat="1" applyFont="1" applyFill="1" applyBorder="1" applyAlignment="1" applyProtection="1"/>
    <xf numFmtId="1" fontId="9" fillId="2" borderId="1" xfId="0" applyNumberFormat="1" applyFont="1" applyFill="1" applyBorder="1" applyAlignment="1" applyProtection="1"/>
    <xf numFmtId="0" fontId="9" fillId="4" borderId="1" xfId="0" applyNumberFormat="1" applyFont="1" applyFill="1" applyBorder="1" applyAlignment="1" applyProtection="1"/>
    <xf numFmtId="167" fontId="9" fillId="4" borderId="1" xfId="0" applyNumberFormat="1" applyFont="1" applyFill="1" applyBorder="1" applyAlignment="1" applyProtection="1"/>
    <xf numFmtId="1" fontId="9" fillId="4" borderId="1" xfId="0" applyNumberFormat="1" applyFont="1" applyFill="1" applyBorder="1" applyAlignment="1" applyProtection="1"/>
    <xf numFmtId="0" fontId="9" fillId="0" borderId="5" xfId="0" applyNumberFormat="1" applyFont="1" applyFill="1" applyBorder="1" applyAlignment="1" applyProtection="1"/>
    <xf numFmtId="0" fontId="9" fillId="0" borderId="6" xfId="0" applyNumberFormat="1" applyFont="1" applyFill="1" applyBorder="1" applyAlignment="1" applyProtection="1"/>
    <xf numFmtId="0" fontId="9" fillId="2" borderId="5" xfId="0" applyNumberFormat="1" applyFont="1" applyFill="1" applyBorder="1" applyAlignment="1" applyProtection="1"/>
    <xf numFmtId="1" fontId="9" fillId="2" borderId="6" xfId="0" applyNumberFormat="1" applyFont="1" applyFill="1" applyBorder="1" applyAlignment="1" applyProtection="1"/>
    <xf numFmtId="0" fontId="9" fillId="5" borderId="5" xfId="0" applyNumberFormat="1" applyFont="1" applyFill="1" applyBorder="1" applyAlignment="1" applyProtection="1"/>
    <xf numFmtId="1" fontId="9" fillId="5" borderId="6" xfId="0" applyNumberFormat="1" applyFont="1" applyFill="1" applyBorder="1" applyAlignment="1" applyProtection="1"/>
    <xf numFmtId="0" fontId="9" fillId="4" borderId="5" xfId="0" applyNumberFormat="1" applyFont="1" applyFill="1" applyBorder="1" applyAlignment="1" applyProtection="1"/>
    <xf numFmtId="1" fontId="9" fillId="4" borderId="6" xfId="0" applyNumberFormat="1" applyFont="1" applyFill="1" applyBorder="1" applyAlignment="1" applyProtection="1"/>
    <xf numFmtId="0" fontId="10" fillId="2" borderId="7" xfId="0" applyNumberFormat="1" applyFont="1" applyFill="1" applyBorder="1" applyAlignment="1" applyProtection="1"/>
    <xf numFmtId="0" fontId="10" fillId="2" borderId="8" xfId="0" applyNumberFormat="1" applyFont="1" applyFill="1" applyBorder="1" applyAlignment="1" applyProtection="1"/>
    <xf numFmtId="167" fontId="10" fillId="2" borderId="8" xfId="0" applyNumberFormat="1" applyFont="1" applyFill="1" applyBorder="1" applyAlignment="1" applyProtection="1"/>
    <xf numFmtId="1" fontId="10" fillId="2" borderId="8" xfId="0" applyNumberFormat="1" applyFont="1" applyFill="1" applyBorder="1" applyAlignment="1" applyProtection="1"/>
    <xf numFmtId="1" fontId="9" fillId="2" borderId="9" xfId="0" applyNumberFormat="1" applyFont="1" applyFill="1" applyBorder="1" applyAlignment="1" applyProtection="1"/>
    <xf numFmtId="0" fontId="4" fillId="0" borderId="0" xfId="0" applyFont="1" applyFill="1" applyAlignment="1">
      <alignment horizontal="center" wrapText="1"/>
    </xf>
    <xf numFmtId="0" fontId="11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281"/>
  <sheetViews>
    <sheetView workbookViewId="0">
      <selection activeCell="D1100" sqref="D1100"/>
    </sheetView>
  </sheetViews>
  <sheetFormatPr defaultColWidth="12.59765625" defaultRowHeight="15.75" customHeight="1" x14ac:dyDescent="0.35"/>
  <cols>
    <col min="1" max="1" width="12.1328125" customWidth="1"/>
  </cols>
  <sheetData>
    <row r="1" spans="1:10" ht="15.75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J1" s="3"/>
    </row>
    <row r="2" spans="1:10" ht="12.75" x14ac:dyDescent="0.35">
      <c r="A2" s="4">
        <v>44702</v>
      </c>
      <c r="B2" s="3" t="s">
        <v>128</v>
      </c>
      <c r="C2" s="3">
        <v>1032.8900000000001</v>
      </c>
      <c r="D2" s="3">
        <v>8</v>
      </c>
    </row>
    <row r="3" spans="1:10" ht="12.75" x14ac:dyDescent="0.35">
      <c r="A3" s="4">
        <v>44613</v>
      </c>
      <c r="B3" s="3" t="s">
        <v>128</v>
      </c>
      <c r="C3" s="3">
        <v>986.26</v>
      </c>
      <c r="D3" s="3">
        <v>8</v>
      </c>
    </row>
    <row r="4" spans="1:10" ht="12.75" x14ac:dyDescent="0.35">
      <c r="A4" s="4">
        <v>44794</v>
      </c>
      <c r="B4" s="3" t="s">
        <v>314</v>
      </c>
      <c r="C4" s="3">
        <v>903.39</v>
      </c>
      <c r="D4" s="3">
        <v>5</v>
      </c>
    </row>
    <row r="5" spans="1:10" ht="12.75" x14ac:dyDescent="0.35">
      <c r="A5" s="5">
        <v>44763</v>
      </c>
      <c r="B5" s="3" t="s">
        <v>314</v>
      </c>
      <c r="C5" s="3">
        <v>879.58</v>
      </c>
      <c r="D5" s="3">
        <v>5</v>
      </c>
    </row>
    <row r="6" spans="1:10" ht="12.75" x14ac:dyDescent="0.35">
      <c r="A6" s="4">
        <v>44582</v>
      </c>
      <c r="B6" s="3" t="s">
        <v>128</v>
      </c>
      <c r="C6" s="3">
        <v>856.14</v>
      </c>
      <c r="D6" s="3">
        <v>8</v>
      </c>
    </row>
    <row r="7" spans="1:10" ht="12.75" x14ac:dyDescent="0.35">
      <c r="A7" s="5">
        <v>44733</v>
      </c>
      <c r="B7" s="3" t="s">
        <v>86</v>
      </c>
      <c r="C7" s="3">
        <v>743.63</v>
      </c>
      <c r="D7" s="3">
        <v>2</v>
      </c>
    </row>
    <row r="8" spans="1:10" ht="12.75" x14ac:dyDescent="0.35">
      <c r="A8" s="4">
        <v>44794</v>
      </c>
      <c r="B8" s="3" t="s">
        <v>128</v>
      </c>
      <c r="C8" s="3">
        <v>730.6</v>
      </c>
      <c r="D8" s="3">
        <v>8</v>
      </c>
    </row>
    <row r="9" spans="1:10" ht="12.75" x14ac:dyDescent="0.35">
      <c r="A9" s="4">
        <v>44582</v>
      </c>
      <c r="B9" s="3" t="s">
        <v>241</v>
      </c>
      <c r="C9" s="3">
        <v>667.97</v>
      </c>
      <c r="D9" s="3">
        <v>9</v>
      </c>
    </row>
    <row r="10" spans="1:10" ht="12.75" x14ac:dyDescent="0.35">
      <c r="A10" s="4">
        <v>44794</v>
      </c>
      <c r="B10" s="3" t="s">
        <v>366</v>
      </c>
      <c r="C10" s="3">
        <v>634.77</v>
      </c>
      <c r="D10" s="3">
        <v>8</v>
      </c>
    </row>
    <row r="11" spans="1:10" ht="12.75" x14ac:dyDescent="0.35">
      <c r="A11" s="4">
        <v>44702</v>
      </c>
      <c r="B11" s="3" t="s">
        <v>314</v>
      </c>
      <c r="C11" s="3">
        <v>628.66</v>
      </c>
      <c r="D11" s="3">
        <v>5</v>
      </c>
    </row>
    <row r="12" spans="1:10" ht="12.75" x14ac:dyDescent="0.35">
      <c r="A12" s="5">
        <v>44733</v>
      </c>
      <c r="B12" s="3" t="s">
        <v>314</v>
      </c>
      <c r="C12" s="3">
        <v>620.4</v>
      </c>
      <c r="D12" s="3">
        <v>5</v>
      </c>
    </row>
    <row r="13" spans="1:10" ht="12.75" x14ac:dyDescent="0.35">
      <c r="A13" s="4">
        <v>44613</v>
      </c>
      <c r="B13" s="3" t="s">
        <v>80</v>
      </c>
      <c r="C13" s="3">
        <v>591.76</v>
      </c>
      <c r="D13" s="3">
        <v>5</v>
      </c>
    </row>
    <row r="14" spans="1:10" ht="12.75" x14ac:dyDescent="0.35">
      <c r="A14" s="4">
        <v>44672</v>
      </c>
      <c r="B14" s="3" t="s">
        <v>241</v>
      </c>
      <c r="C14" s="3">
        <v>557.41999999999996</v>
      </c>
      <c r="D14" s="3">
        <v>9</v>
      </c>
    </row>
    <row r="15" spans="1:10" ht="12.75" x14ac:dyDescent="0.35">
      <c r="A15" s="4">
        <v>44886</v>
      </c>
      <c r="B15" s="3" t="s">
        <v>595</v>
      </c>
      <c r="C15" s="3">
        <v>553.6</v>
      </c>
      <c r="D15" s="3">
        <v>5</v>
      </c>
    </row>
    <row r="16" spans="1:10" ht="12.75" x14ac:dyDescent="0.35">
      <c r="A16" s="4">
        <v>44672</v>
      </c>
      <c r="B16" s="3" t="s">
        <v>314</v>
      </c>
      <c r="C16" s="3">
        <v>549.07000000000005</v>
      </c>
      <c r="D16" s="3">
        <v>5</v>
      </c>
    </row>
    <row r="17" spans="1:4" ht="12.75" x14ac:dyDescent="0.35">
      <c r="A17" s="4">
        <v>44855</v>
      </c>
      <c r="B17" s="3" t="s">
        <v>314</v>
      </c>
      <c r="C17" s="3">
        <v>548.28</v>
      </c>
      <c r="D17" s="3">
        <v>5</v>
      </c>
    </row>
    <row r="18" spans="1:4" ht="12.75" x14ac:dyDescent="0.35">
      <c r="A18" s="4">
        <v>44825</v>
      </c>
      <c r="B18" s="3" t="s">
        <v>314</v>
      </c>
      <c r="C18" s="3">
        <v>547.23</v>
      </c>
      <c r="D18" s="3">
        <v>5</v>
      </c>
    </row>
    <row r="19" spans="1:4" ht="12.75" x14ac:dyDescent="0.35">
      <c r="A19" s="4">
        <v>44641</v>
      </c>
      <c r="B19" s="3" t="s">
        <v>195</v>
      </c>
      <c r="C19" s="3">
        <v>546.23</v>
      </c>
      <c r="D19" s="3">
        <v>5</v>
      </c>
    </row>
    <row r="20" spans="1:4" ht="12.75" x14ac:dyDescent="0.35">
      <c r="A20" s="4">
        <v>44672</v>
      </c>
      <c r="B20" s="3" t="s">
        <v>366</v>
      </c>
      <c r="C20" s="3">
        <v>538.47</v>
      </c>
      <c r="D20" s="3">
        <v>8</v>
      </c>
    </row>
    <row r="21" spans="1:4" ht="12.75" x14ac:dyDescent="0.35">
      <c r="A21" s="5">
        <v>44733</v>
      </c>
      <c r="B21" s="3" t="s">
        <v>151</v>
      </c>
      <c r="C21" s="3">
        <v>537.33000000000004</v>
      </c>
      <c r="D21" s="3">
        <v>3</v>
      </c>
    </row>
    <row r="22" spans="1:4" ht="12.75" x14ac:dyDescent="0.35">
      <c r="A22" s="4">
        <v>44916</v>
      </c>
      <c r="B22" s="3" t="s">
        <v>595</v>
      </c>
      <c r="C22" s="3">
        <v>522.99</v>
      </c>
      <c r="D22" s="3">
        <v>5</v>
      </c>
    </row>
    <row r="23" spans="1:4" ht="12.75" x14ac:dyDescent="0.35">
      <c r="A23" s="4">
        <v>44613</v>
      </c>
      <c r="B23" s="3" t="s">
        <v>241</v>
      </c>
      <c r="C23" s="3">
        <v>513.15</v>
      </c>
      <c r="D23" s="3">
        <v>9</v>
      </c>
    </row>
    <row r="24" spans="1:4" ht="12.75" x14ac:dyDescent="0.35">
      <c r="A24" s="5">
        <v>44733</v>
      </c>
      <c r="B24" s="3" t="s">
        <v>24</v>
      </c>
      <c r="C24" s="3">
        <v>510.11</v>
      </c>
      <c r="D24" s="3">
        <v>2</v>
      </c>
    </row>
    <row r="25" spans="1:4" ht="12.75" x14ac:dyDescent="0.35">
      <c r="A25" s="4">
        <v>44672</v>
      </c>
      <c r="B25" s="3" t="s">
        <v>128</v>
      </c>
      <c r="C25" s="3">
        <v>502.7</v>
      </c>
      <c r="D25" s="3">
        <v>8</v>
      </c>
    </row>
    <row r="26" spans="1:4" ht="12.75" x14ac:dyDescent="0.35">
      <c r="A26" s="4">
        <v>44825</v>
      </c>
      <c r="B26" s="3" t="s">
        <v>128</v>
      </c>
      <c r="C26" s="3">
        <v>502.5</v>
      </c>
      <c r="D26" s="3">
        <v>8</v>
      </c>
    </row>
    <row r="27" spans="1:4" ht="12.75" x14ac:dyDescent="0.35">
      <c r="A27" s="4">
        <v>44672</v>
      </c>
      <c r="B27" s="3" t="s">
        <v>138</v>
      </c>
      <c r="C27" s="3">
        <v>501.06</v>
      </c>
      <c r="D27" s="3">
        <v>2</v>
      </c>
    </row>
    <row r="28" spans="1:4" ht="12.75" x14ac:dyDescent="0.35">
      <c r="A28" s="4">
        <v>44582</v>
      </c>
      <c r="B28" s="3" t="s">
        <v>195</v>
      </c>
      <c r="C28" s="3">
        <v>499.61</v>
      </c>
      <c r="D28" s="3">
        <v>5</v>
      </c>
    </row>
    <row r="29" spans="1:4" ht="12.75" x14ac:dyDescent="0.35">
      <c r="A29" s="4">
        <v>44613</v>
      </c>
      <c r="B29" s="3" t="s">
        <v>337</v>
      </c>
      <c r="C29" s="3">
        <v>480.43</v>
      </c>
      <c r="D29" s="3">
        <v>6</v>
      </c>
    </row>
    <row r="30" spans="1:4" ht="12.75" x14ac:dyDescent="0.35">
      <c r="A30" s="4">
        <v>44855</v>
      </c>
      <c r="B30" s="3" t="s">
        <v>128</v>
      </c>
      <c r="C30" s="3">
        <v>470.06</v>
      </c>
      <c r="D30" s="3">
        <v>8</v>
      </c>
    </row>
    <row r="31" spans="1:4" ht="12.75" x14ac:dyDescent="0.35">
      <c r="A31" s="4">
        <v>44582</v>
      </c>
      <c r="B31" s="3" t="s">
        <v>21</v>
      </c>
      <c r="C31" s="3">
        <v>468.43</v>
      </c>
      <c r="D31" s="3">
        <v>9</v>
      </c>
    </row>
    <row r="32" spans="1:4" ht="12.75" x14ac:dyDescent="0.35">
      <c r="A32" s="4">
        <v>44855</v>
      </c>
      <c r="B32" s="3" t="s">
        <v>310</v>
      </c>
      <c r="C32" s="3">
        <v>466.76</v>
      </c>
      <c r="D32" s="3">
        <v>1</v>
      </c>
    </row>
    <row r="33" spans="1:4" ht="12.75" x14ac:dyDescent="0.35">
      <c r="A33" s="5">
        <v>44733</v>
      </c>
      <c r="B33" s="3" t="s">
        <v>241</v>
      </c>
      <c r="C33" s="3">
        <v>465.22</v>
      </c>
      <c r="D33" s="3">
        <v>9</v>
      </c>
    </row>
    <row r="34" spans="1:4" ht="12.75" x14ac:dyDescent="0.35">
      <c r="A34" s="4">
        <v>44886</v>
      </c>
      <c r="B34" s="3" t="s">
        <v>24</v>
      </c>
      <c r="C34" s="3">
        <v>465.2</v>
      </c>
      <c r="D34" s="3">
        <v>2</v>
      </c>
    </row>
    <row r="35" spans="1:4" ht="12.75" x14ac:dyDescent="0.35">
      <c r="A35" s="4">
        <v>44794</v>
      </c>
      <c r="B35" s="3" t="s">
        <v>241</v>
      </c>
      <c r="C35" s="3">
        <v>454.4</v>
      </c>
      <c r="D35" s="3">
        <v>9</v>
      </c>
    </row>
    <row r="36" spans="1:4" ht="12.75" x14ac:dyDescent="0.35">
      <c r="A36" s="4">
        <v>44763</v>
      </c>
      <c r="B36" s="3" t="s">
        <v>241</v>
      </c>
      <c r="C36" s="3">
        <v>449.54</v>
      </c>
      <c r="D36" s="3">
        <v>9</v>
      </c>
    </row>
    <row r="37" spans="1:4" ht="12.75" x14ac:dyDescent="0.35">
      <c r="A37" s="4">
        <v>44641</v>
      </c>
      <c r="B37" s="3" t="s">
        <v>128</v>
      </c>
      <c r="C37" s="3">
        <v>448.15</v>
      </c>
      <c r="D37" s="3">
        <v>8</v>
      </c>
    </row>
    <row r="38" spans="1:4" ht="12.75" x14ac:dyDescent="0.35">
      <c r="A38" s="4">
        <v>44702</v>
      </c>
      <c r="B38" s="3" t="s">
        <v>241</v>
      </c>
      <c r="C38" s="3">
        <v>430.7</v>
      </c>
      <c r="D38" s="3">
        <v>9</v>
      </c>
    </row>
    <row r="39" spans="1:4" ht="12.75" x14ac:dyDescent="0.35">
      <c r="A39" s="4">
        <v>44886</v>
      </c>
      <c r="B39" s="3" t="s">
        <v>1557</v>
      </c>
      <c r="C39" s="3">
        <v>418.06</v>
      </c>
      <c r="D39" s="3">
        <v>2</v>
      </c>
    </row>
    <row r="40" spans="1:4" ht="12.75" x14ac:dyDescent="0.35">
      <c r="A40" s="4">
        <v>44916</v>
      </c>
      <c r="B40" s="3" t="s">
        <v>80</v>
      </c>
      <c r="C40" s="3">
        <v>416.04</v>
      </c>
      <c r="D40" s="3">
        <v>5</v>
      </c>
    </row>
    <row r="41" spans="1:4" ht="12.75" x14ac:dyDescent="0.35">
      <c r="A41" s="4">
        <v>44794</v>
      </c>
      <c r="B41" s="3" t="s">
        <v>310</v>
      </c>
      <c r="C41" s="3">
        <v>407.22</v>
      </c>
      <c r="D41" s="3">
        <v>1</v>
      </c>
    </row>
    <row r="42" spans="1:4" ht="12.75" x14ac:dyDescent="0.35">
      <c r="A42" s="4">
        <v>44641</v>
      </c>
      <c r="B42" s="3" t="s">
        <v>314</v>
      </c>
      <c r="C42" s="3">
        <v>406.83</v>
      </c>
      <c r="D42" s="3">
        <v>5</v>
      </c>
    </row>
    <row r="43" spans="1:4" ht="12.75" x14ac:dyDescent="0.35">
      <c r="A43" s="5">
        <v>44763</v>
      </c>
      <c r="B43" s="3" t="s">
        <v>366</v>
      </c>
      <c r="C43" s="3">
        <v>405.41</v>
      </c>
      <c r="D43" s="3">
        <v>8</v>
      </c>
    </row>
    <row r="44" spans="1:4" ht="12.75" x14ac:dyDescent="0.35">
      <c r="A44" s="5">
        <v>44733</v>
      </c>
      <c r="B44" s="3" t="s">
        <v>128</v>
      </c>
      <c r="C44" s="3">
        <v>404.89</v>
      </c>
      <c r="D44" s="3">
        <v>8</v>
      </c>
    </row>
    <row r="45" spans="1:4" ht="12.75" x14ac:dyDescent="0.35">
      <c r="A45" s="4">
        <v>44886</v>
      </c>
      <c r="B45" s="3" t="s">
        <v>151</v>
      </c>
      <c r="C45" s="3">
        <v>402.19</v>
      </c>
      <c r="D45" s="3">
        <v>3</v>
      </c>
    </row>
    <row r="46" spans="1:4" ht="12.75" x14ac:dyDescent="0.35">
      <c r="A46" s="4">
        <v>44794</v>
      </c>
      <c r="B46" s="3" t="s">
        <v>340</v>
      </c>
      <c r="C46" s="3">
        <v>401.42</v>
      </c>
      <c r="D46" s="3">
        <v>2</v>
      </c>
    </row>
    <row r="47" spans="1:4" ht="12.75" x14ac:dyDescent="0.35">
      <c r="A47" s="4">
        <v>44855</v>
      </c>
      <c r="B47" s="3" t="s">
        <v>366</v>
      </c>
      <c r="C47" s="3">
        <v>392.51</v>
      </c>
      <c r="D47" s="3">
        <v>8</v>
      </c>
    </row>
    <row r="48" spans="1:4" ht="12.75" x14ac:dyDescent="0.35">
      <c r="A48" s="4">
        <v>44763</v>
      </c>
      <c r="B48" s="3" t="s">
        <v>310</v>
      </c>
      <c r="C48" s="3">
        <v>391.47</v>
      </c>
      <c r="D48" s="3">
        <v>1</v>
      </c>
    </row>
    <row r="49" spans="1:4" ht="12.75" x14ac:dyDescent="0.35">
      <c r="A49" s="4">
        <v>44672</v>
      </c>
      <c r="B49" s="3" t="s">
        <v>388</v>
      </c>
      <c r="C49" s="3">
        <v>390.4</v>
      </c>
      <c r="D49" s="3">
        <v>2</v>
      </c>
    </row>
    <row r="50" spans="1:4" ht="12.75" x14ac:dyDescent="0.35">
      <c r="A50" s="4">
        <v>44825</v>
      </c>
      <c r="B50" s="3" t="s">
        <v>24</v>
      </c>
      <c r="C50" s="3">
        <v>389.68</v>
      </c>
      <c r="D50" s="3">
        <v>2</v>
      </c>
    </row>
    <row r="51" spans="1:4" ht="12.75" x14ac:dyDescent="0.35">
      <c r="A51" s="4">
        <v>44825</v>
      </c>
      <c r="B51" s="3" t="s">
        <v>8</v>
      </c>
      <c r="C51" s="3">
        <v>387.94</v>
      </c>
      <c r="D51" s="3">
        <v>2</v>
      </c>
    </row>
    <row r="52" spans="1:4" ht="12.75" x14ac:dyDescent="0.35">
      <c r="A52" s="4">
        <v>44855</v>
      </c>
      <c r="B52" s="3" t="s">
        <v>24</v>
      </c>
      <c r="C52" s="3">
        <v>384.86</v>
      </c>
      <c r="D52" s="3">
        <v>2</v>
      </c>
    </row>
    <row r="53" spans="1:4" ht="12.75" x14ac:dyDescent="0.35">
      <c r="A53" s="4">
        <v>44641</v>
      </c>
      <c r="B53" s="3" t="s">
        <v>401</v>
      </c>
      <c r="C53" s="3">
        <v>383.89</v>
      </c>
      <c r="D53" s="3">
        <v>5</v>
      </c>
    </row>
    <row r="54" spans="1:4" ht="12.75" x14ac:dyDescent="0.35">
      <c r="A54" s="4">
        <v>44613</v>
      </c>
      <c r="B54" s="3" t="s">
        <v>500</v>
      </c>
      <c r="C54" s="3">
        <v>382.86</v>
      </c>
      <c r="D54" s="3">
        <v>7</v>
      </c>
    </row>
    <row r="55" spans="1:4" ht="12.75" x14ac:dyDescent="0.35">
      <c r="A55" s="4">
        <v>44916</v>
      </c>
      <c r="B55" s="3" t="s">
        <v>138</v>
      </c>
      <c r="C55" s="3">
        <v>380.51</v>
      </c>
      <c r="D55" s="3">
        <v>2</v>
      </c>
    </row>
    <row r="56" spans="1:4" ht="12.75" x14ac:dyDescent="0.35">
      <c r="A56" s="4">
        <v>44794</v>
      </c>
      <c r="B56" s="3" t="s">
        <v>336</v>
      </c>
      <c r="C56" s="3">
        <v>373.57</v>
      </c>
      <c r="D56" s="3">
        <v>2</v>
      </c>
    </row>
    <row r="57" spans="1:4" ht="12.75" x14ac:dyDescent="0.35">
      <c r="A57" s="4">
        <v>44794</v>
      </c>
      <c r="B57" s="3" t="s">
        <v>8</v>
      </c>
      <c r="C57" s="3">
        <v>369.21</v>
      </c>
      <c r="D57" s="3">
        <v>2</v>
      </c>
    </row>
    <row r="58" spans="1:4" ht="12.75" x14ac:dyDescent="0.35">
      <c r="A58" s="4">
        <v>44825</v>
      </c>
      <c r="B58" s="3" t="s">
        <v>366</v>
      </c>
      <c r="C58" s="3">
        <v>369.21</v>
      </c>
      <c r="D58" s="3">
        <v>8</v>
      </c>
    </row>
    <row r="59" spans="1:4" ht="12.75" x14ac:dyDescent="0.35">
      <c r="A59" s="4">
        <v>44855</v>
      </c>
      <c r="B59" s="3" t="s">
        <v>414</v>
      </c>
      <c r="C59" s="3">
        <v>367.81</v>
      </c>
      <c r="D59" s="3">
        <v>2</v>
      </c>
    </row>
    <row r="60" spans="1:4" ht="12.75" x14ac:dyDescent="0.35">
      <c r="A60" s="4">
        <v>44825</v>
      </c>
      <c r="B60" s="3" t="s">
        <v>241</v>
      </c>
      <c r="C60" s="3">
        <v>360.15</v>
      </c>
      <c r="D60" s="3">
        <v>9</v>
      </c>
    </row>
    <row r="61" spans="1:4" ht="12.75" x14ac:dyDescent="0.35">
      <c r="A61" s="4">
        <v>44916</v>
      </c>
      <c r="B61" s="3" t="s">
        <v>240</v>
      </c>
      <c r="C61" s="3">
        <v>359.88</v>
      </c>
      <c r="D61" s="3">
        <v>5</v>
      </c>
    </row>
    <row r="62" spans="1:4" ht="12.75" x14ac:dyDescent="0.35">
      <c r="A62" s="4">
        <v>44641</v>
      </c>
      <c r="B62" s="3" t="s">
        <v>241</v>
      </c>
      <c r="C62" s="3">
        <v>359.16</v>
      </c>
      <c r="D62" s="3">
        <v>9</v>
      </c>
    </row>
    <row r="63" spans="1:4" ht="12.75" x14ac:dyDescent="0.35">
      <c r="A63" s="4">
        <v>44916</v>
      </c>
      <c r="B63" s="3" t="s">
        <v>241</v>
      </c>
      <c r="C63" s="3">
        <v>353.43</v>
      </c>
      <c r="D63" s="3">
        <v>9</v>
      </c>
    </row>
    <row r="64" spans="1:4" ht="12.75" x14ac:dyDescent="0.35">
      <c r="A64" s="5">
        <v>44763</v>
      </c>
      <c r="B64" s="3" t="s">
        <v>336</v>
      </c>
      <c r="C64" s="3">
        <v>352.93</v>
      </c>
      <c r="D64" s="3">
        <v>2</v>
      </c>
    </row>
    <row r="65" spans="1:4" ht="12.75" x14ac:dyDescent="0.35">
      <c r="A65" s="4">
        <v>44855</v>
      </c>
      <c r="B65" s="3" t="s">
        <v>241</v>
      </c>
      <c r="C65" s="3">
        <v>351.6</v>
      </c>
      <c r="D65" s="3">
        <v>9</v>
      </c>
    </row>
    <row r="66" spans="1:4" ht="12.75" x14ac:dyDescent="0.35">
      <c r="A66" s="4">
        <v>44916</v>
      </c>
      <c r="B66" s="3" t="s">
        <v>66</v>
      </c>
      <c r="C66" s="3">
        <v>351.54</v>
      </c>
      <c r="D66" s="3">
        <v>3</v>
      </c>
    </row>
    <row r="67" spans="1:4" ht="12.75" x14ac:dyDescent="0.35">
      <c r="A67" s="4">
        <v>44916</v>
      </c>
      <c r="B67" s="3" t="s">
        <v>1931</v>
      </c>
      <c r="C67" s="3">
        <v>242.1</v>
      </c>
      <c r="D67" s="3">
        <v>2</v>
      </c>
    </row>
    <row r="68" spans="1:4" ht="12.75" x14ac:dyDescent="0.35">
      <c r="A68" s="5">
        <v>44733</v>
      </c>
      <c r="B68" s="3" t="s">
        <v>80</v>
      </c>
      <c r="C68" s="3">
        <v>350.17</v>
      </c>
      <c r="D68" s="3">
        <v>5</v>
      </c>
    </row>
    <row r="69" spans="1:4" ht="12.75" x14ac:dyDescent="0.35">
      <c r="A69" s="4">
        <v>44825</v>
      </c>
      <c r="B69" s="3" t="s">
        <v>340</v>
      </c>
      <c r="C69" s="3">
        <v>344.91</v>
      </c>
      <c r="D69" s="3">
        <v>2</v>
      </c>
    </row>
    <row r="70" spans="1:4" ht="12.75" x14ac:dyDescent="0.35">
      <c r="A70" s="4">
        <v>44702</v>
      </c>
      <c r="B70" s="3" t="s">
        <v>21</v>
      </c>
      <c r="C70" s="3">
        <v>342.59</v>
      </c>
      <c r="D70" s="3">
        <v>9</v>
      </c>
    </row>
    <row r="71" spans="1:4" ht="12.75" x14ac:dyDescent="0.35">
      <c r="A71" s="4">
        <v>44763</v>
      </c>
      <c r="B71" s="3" t="s">
        <v>340</v>
      </c>
      <c r="C71" s="3">
        <v>341.71</v>
      </c>
      <c r="D71" s="3">
        <v>2</v>
      </c>
    </row>
    <row r="72" spans="1:4" ht="12.75" x14ac:dyDescent="0.35">
      <c r="A72" s="4">
        <v>44916</v>
      </c>
      <c r="B72" s="3" t="s">
        <v>477</v>
      </c>
      <c r="C72" s="3">
        <v>333.93</v>
      </c>
      <c r="D72" s="3">
        <v>9</v>
      </c>
    </row>
    <row r="73" spans="1:4" ht="12.75" x14ac:dyDescent="0.35">
      <c r="A73" s="4">
        <v>44916</v>
      </c>
      <c r="B73" s="3" t="s">
        <v>24</v>
      </c>
      <c r="C73" s="3">
        <v>333.09</v>
      </c>
      <c r="D73" s="3">
        <v>2</v>
      </c>
    </row>
    <row r="74" spans="1:4" ht="12.75" x14ac:dyDescent="0.35">
      <c r="A74" s="4">
        <v>44916</v>
      </c>
      <c r="B74" s="3" t="s">
        <v>332</v>
      </c>
      <c r="C74" s="3">
        <v>331.49</v>
      </c>
      <c r="D74" s="3">
        <v>6</v>
      </c>
    </row>
    <row r="75" spans="1:4" ht="12.75" x14ac:dyDescent="0.35">
      <c r="A75" s="5">
        <v>44733</v>
      </c>
      <c r="B75" s="3" t="s">
        <v>383</v>
      </c>
      <c r="C75" s="3">
        <v>331.47</v>
      </c>
      <c r="D75" s="3">
        <v>1</v>
      </c>
    </row>
    <row r="76" spans="1:4" ht="12.75" x14ac:dyDescent="0.35">
      <c r="A76" s="4">
        <v>44794</v>
      </c>
      <c r="B76" s="3" t="s">
        <v>606</v>
      </c>
      <c r="C76" s="3">
        <v>328.37</v>
      </c>
      <c r="D76" s="3">
        <v>3</v>
      </c>
    </row>
    <row r="77" spans="1:4" ht="12.75" x14ac:dyDescent="0.35">
      <c r="A77" s="4">
        <v>44886</v>
      </c>
      <c r="B77" s="3" t="s">
        <v>138</v>
      </c>
      <c r="C77" s="3">
        <v>328.3</v>
      </c>
      <c r="D77" s="3">
        <v>2</v>
      </c>
    </row>
    <row r="78" spans="1:4" ht="12.75" x14ac:dyDescent="0.35">
      <c r="A78" s="4">
        <v>44613</v>
      </c>
      <c r="B78" s="3" t="s">
        <v>332</v>
      </c>
      <c r="C78" s="3">
        <v>324.33</v>
      </c>
      <c r="D78" s="3">
        <v>6</v>
      </c>
    </row>
    <row r="79" spans="1:4" ht="12.75" x14ac:dyDescent="0.35">
      <c r="A79" s="4">
        <v>44855</v>
      </c>
      <c r="B79" s="3" t="s">
        <v>337</v>
      </c>
      <c r="C79" s="3">
        <v>323.13</v>
      </c>
      <c r="D79" s="3">
        <v>6</v>
      </c>
    </row>
    <row r="80" spans="1:4" ht="12.75" x14ac:dyDescent="0.35">
      <c r="A80" s="4">
        <v>44641</v>
      </c>
      <c r="B80" s="3" t="s">
        <v>296</v>
      </c>
      <c r="C80" s="3">
        <v>322.08</v>
      </c>
      <c r="D80" s="3">
        <v>4</v>
      </c>
    </row>
    <row r="81" spans="1:4" ht="12.75" x14ac:dyDescent="0.35">
      <c r="A81" s="4">
        <v>44855</v>
      </c>
      <c r="B81" s="3" t="s">
        <v>138</v>
      </c>
      <c r="C81" s="3">
        <v>322.02</v>
      </c>
      <c r="D81" s="3">
        <v>2</v>
      </c>
    </row>
    <row r="82" spans="1:4" ht="12.75" x14ac:dyDescent="0.35">
      <c r="A82" s="4">
        <v>44794</v>
      </c>
      <c r="B82" s="3" t="s">
        <v>477</v>
      </c>
      <c r="C82" s="3">
        <v>320.18</v>
      </c>
      <c r="D82" s="3">
        <v>9</v>
      </c>
    </row>
    <row r="83" spans="1:4" ht="12.75" x14ac:dyDescent="0.35">
      <c r="A83" s="5">
        <v>44763</v>
      </c>
      <c r="B83" s="3" t="s">
        <v>477</v>
      </c>
      <c r="C83" s="3">
        <v>319.97000000000003</v>
      </c>
      <c r="D83" s="3">
        <v>9</v>
      </c>
    </row>
    <row r="84" spans="1:4" ht="12.75" x14ac:dyDescent="0.35">
      <c r="A84" s="4">
        <v>44641</v>
      </c>
      <c r="B84" s="3" t="s">
        <v>8</v>
      </c>
      <c r="C84" s="3">
        <v>319.52</v>
      </c>
      <c r="D84" s="3">
        <v>2</v>
      </c>
    </row>
    <row r="85" spans="1:4" ht="12.75" x14ac:dyDescent="0.35">
      <c r="A85" s="4">
        <v>44672</v>
      </c>
      <c r="B85" s="3" t="s">
        <v>296</v>
      </c>
      <c r="C85" s="3">
        <v>319.38</v>
      </c>
      <c r="D85" s="3">
        <v>4</v>
      </c>
    </row>
    <row r="86" spans="1:4" ht="12.75" x14ac:dyDescent="0.35">
      <c r="A86" s="4">
        <v>44702</v>
      </c>
      <c r="B86" s="3" t="s">
        <v>191</v>
      </c>
      <c r="C86" s="3">
        <v>319.14999999999998</v>
      </c>
      <c r="D86" s="3">
        <v>8</v>
      </c>
    </row>
    <row r="87" spans="1:4" ht="12.75" x14ac:dyDescent="0.35">
      <c r="A87" s="4">
        <v>44613</v>
      </c>
      <c r="B87" s="3" t="s">
        <v>296</v>
      </c>
      <c r="C87" s="3">
        <v>316.49</v>
      </c>
      <c r="D87" s="3">
        <v>4</v>
      </c>
    </row>
    <row r="88" spans="1:4" ht="12.75" x14ac:dyDescent="0.35">
      <c r="A88" s="4">
        <v>44702</v>
      </c>
      <c r="B88" s="3" t="s">
        <v>931</v>
      </c>
      <c r="C88" s="3">
        <v>313.08</v>
      </c>
      <c r="D88" s="3">
        <v>1</v>
      </c>
    </row>
    <row r="89" spans="1:4" ht="12.75" x14ac:dyDescent="0.35">
      <c r="A89" s="4">
        <v>44916</v>
      </c>
      <c r="B89" s="3" t="s">
        <v>1286</v>
      </c>
      <c r="C89" s="3">
        <v>313</v>
      </c>
      <c r="D89" s="3">
        <v>1</v>
      </c>
    </row>
    <row r="90" spans="1:4" ht="12.75" x14ac:dyDescent="0.35">
      <c r="A90" s="4">
        <v>44886</v>
      </c>
      <c r="B90" s="3" t="s">
        <v>8</v>
      </c>
      <c r="C90" s="3">
        <v>312.76</v>
      </c>
      <c r="D90" s="3">
        <v>2</v>
      </c>
    </row>
    <row r="91" spans="1:4" ht="12.75" x14ac:dyDescent="0.35">
      <c r="A91" s="4">
        <v>44613</v>
      </c>
      <c r="B91" s="3" t="s">
        <v>366</v>
      </c>
      <c r="C91" s="3">
        <v>312.52</v>
      </c>
      <c r="D91" s="3">
        <v>8</v>
      </c>
    </row>
    <row r="92" spans="1:4" ht="12.75" x14ac:dyDescent="0.35">
      <c r="A92" s="5">
        <v>44733</v>
      </c>
      <c r="B92" s="3" t="s">
        <v>336</v>
      </c>
      <c r="C92" s="3">
        <v>311.7</v>
      </c>
      <c r="D92" s="3">
        <v>2</v>
      </c>
    </row>
    <row r="93" spans="1:4" ht="12.75" x14ac:dyDescent="0.35">
      <c r="A93" s="4">
        <v>44886</v>
      </c>
      <c r="B93" s="3" t="s">
        <v>240</v>
      </c>
      <c r="C93" s="3">
        <v>311.63</v>
      </c>
      <c r="D93" s="3">
        <v>5</v>
      </c>
    </row>
    <row r="94" spans="1:4" ht="12.75" x14ac:dyDescent="0.35">
      <c r="A94" s="4">
        <v>44613</v>
      </c>
      <c r="B94" s="3" t="s">
        <v>21</v>
      </c>
      <c r="C94" s="3">
        <v>310.47000000000003</v>
      </c>
      <c r="D94" s="3">
        <v>9</v>
      </c>
    </row>
    <row r="95" spans="1:4" ht="12.75" x14ac:dyDescent="0.35">
      <c r="A95" s="4">
        <v>44855</v>
      </c>
      <c r="B95" s="3" t="s">
        <v>80</v>
      </c>
      <c r="C95" s="3">
        <v>309.81</v>
      </c>
      <c r="D95" s="3">
        <v>5</v>
      </c>
    </row>
    <row r="96" spans="1:4" ht="12.75" x14ac:dyDescent="0.35">
      <c r="A96" s="4">
        <v>44886</v>
      </c>
      <c r="B96" s="3" t="s">
        <v>841</v>
      </c>
      <c r="C96" s="3">
        <v>309.29000000000002</v>
      </c>
      <c r="D96" s="3">
        <v>1</v>
      </c>
    </row>
    <row r="97" spans="1:4" ht="12.75" x14ac:dyDescent="0.35">
      <c r="A97" s="4">
        <v>44641</v>
      </c>
      <c r="B97" s="3" t="s">
        <v>21</v>
      </c>
      <c r="C97" s="3">
        <v>308.63</v>
      </c>
      <c r="D97" s="3">
        <v>9</v>
      </c>
    </row>
    <row r="98" spans="1:4" ht="12.75" x14ac:dyDescent="0.35">
      <c r="A98" s="4">
        <v>44582</v>
      </c>
      <c r="B98" s="3" t="s">
        <v>340</v>
      </c>
      <c r="C98" s="3">
        <v>307.45999999999998</v>
      </c>
      <c r="D98" s="3">
        <v>2</v>
      </c>
    </row>
    <row r="99" spans="1:4" ht="12.75" x14ac:dyDescent="0.35">
      <c r="A99" s="4">
        <v>44702</v>
      </c>
      <c r="B99" s="3" t="s">
        <v>61</v>
      </c>
      <c r="C99" s="3">
        <v>305.74</v>
      </c>
      <c r="D99" s="3">
        <v>1</v>
      </c>
    </row>
    <row r="100" spans="1:4" ht="12.75" x14ac:dyDescent="0.35">
      <c r="A100" s="4">
        <v>44916</v>
      </c>
      <c r="B100" s="3" t="s">
        <v>1562</v>
      </c>
      <c r="C100" s="3">
        <v>304.94</v>
      </c>
      <c r="D100" s="3">
        <v>2</v>
      </c>
    </row>
    <row r="101" spans="1:4" ht="12.75" x14ac:dyDescent="0.35">
      <c r="A101" s="5">
        <v>44733</v>
      </c>
      <c r="B101" s="3" t="s">
        <v>20</v>
      </c>
      <c r="C101" s="3">
        <v>302.83</v>
      </c>
      <c r="D101" s="3">
        <v>1</v>
      </c>
    </row>
    <row r="102" spans="1:4" ht="12.75" x14ac:dyDescent="0.35">
      <c r="A102" s="4">
        <v>44886</v>
      </c>
      <c r="B102" s="3" t="s">
        <v>241</v>
      </c>
      <c r="C102" s="3">
        <v>302.52999999999997</v>
      </c>
      <c r="D102" s="3">
        <v>9</v>
      </c>
    </row>
    <row r="103" spans="1:4" ht="12.75" x14ac:dyDescent="0.35">
      <c r="A103" s="4">
        <v>44641</v>
      </c>
      <c r="B103" s="3" t="s">
        <v>377</v>
      </c>
      <c r="C103" s="3">
        <v>300.83</v>
      </c>
      <c r="D103" s="3">
        <v>1</v>
      </c>
    </row>
    <row r="104" spans="1:4" ht="12.75" x14ac:dyDescent="0.35">
      <c r="A104" s="5">
        <v>44733</v>
      </c>
      <c r="B104" s="3" t="s">
        <v>456</v>
      </c>
      <c r="C104" s="3">
        <v>300.48</v>
      </c>
      <c r="D104" s="3">
        <v>4</v>
      </c>
    </row>
    <row r="105" spans="1:4" ht="12.75" x14ac:dyDescent="0.35">
      <c r="A105" s="4">
        <v>44613</v>
      </c>
      <c r="B105" s="3" t="s">
        <v>534</v>
      </c>
      <c r="C105" s="3">
        <v>299.51</v>
      </c>
      <c r="D105" s="3">
        <v>7</v>
      </c>
    </row>
    <row r="106" spans="1:4" ht="12.75" x14ac:dyDescent="0.35">
      <c r="A106" s="4">
        <v>44916</v>
      </c>
      <c r="B106" s="3" t="s">
        <v>314</v>
      </c>
      <c r="C106" s="3">
        <v>299.47000000000003</v>
      </c>
      <c r="D106" s="3">
        <v>5</v>
      </c>
    </row>
    <row r="107" spans="1:4" ht="12.75" x14ac:dyDescent="0.35">
      <c r="A107" s="4">
        <v>44702</v>
      </c>
      <c r="B107" s="3" t="s">
        <v>332</v>
      </c>
      <c r="C107" s="3">
        <v>299.11</v>
      </c>
      <c r="D107" s="3">
        <v>6</v>
      </c>
    </row>
    <row r="108" spans="1:4" ht="12.75" x14ac:dyDescent="0.35">
      <c r="A108" s="4">
        <v>44582</v>
      </c>
      <c r="B108" s="3" t="s">
        <v>230</v>
      </c>
      <c r="C108" s="3">
        <v>298.86</v>
      </c>
      <c r="D108" s="3">
        <v>2</v>
      </c>
    </row>
    <row r="109" spans="1:4" ht="12.75" x14ac:dyDescent="0.35">
      <c r="A109" s="4">
        <v>44825</v>
      </c>
      <c r="B109" s="3" t="s">
        <v>387</v>
      </c>
      <c r="C109" s="3">
        <v>298.55</v>
      </c>
      <c r="D109" s="3">
        <v>7</v>
      </c>
    </row>
    <row r="110" spans="1:4" ht="12.75" x14ac:dyDescent="0.35">
      <c r="A110" s="4">
        <v>44672</v>
      </c>
      <c r="B110" s="3" t="s">
        <v>298</v>
      </c>
      <c r="C110" s="3">
        <v>298.17</v>
      </c>
      <c r="D110" s="3">
        <v>1</v>
      </c>
    </row>
    <row r="111" spans="1:4" ht="12.75" x14ac:dyDescent="0.35">
      <c r="A111" s="4">
        <v>44672</v>
      </c>
      <c r="B111" s="3" t="s">
        <v>23</v>
      </c>
      <c r="C111" s="3">
        <v>296.67</v>
      </c>
      <c r="D111" s="3">
        <v>1</v>
      </c>
    </row>
    <row r="112" spans="1:4" ht="12.75" x14ac:dyDescent="0.35">
      <c r="A112" s="4">
        <v>44916</v>
      </c>
      <c r="B112" s="3" t="s">
        <v>387</v>
      </c>
      <c r="C112" s="3">
        <v>296.27999999999997</v>
      </c>
      <c r="D112" s="3">
        <v>7</v>
      </c>
    </row>
    <row r="113" spans="1:4" ht="12.75" x14ac:dyDescent="0.35">
      <c r="A113" s="5">
        <v>44733</v>
      </c>
      <c r="B113" s="3" t="s">
        <v>45</v>
      </c>
      <c r="C113" s="3">
        <v>295.8</v>
      </c>
      <c r="D113" s="3">
        <v>1</v>
      </c>
    </row>
    <row r="114" spans="1:4" ht="12.75" x14ac:dyDescent="0.35">
      <c r="A114" s="4">
        <v>44886</v>
      </c>
      <c r="B114" s="3" t="s">
        <v>1798</v>
      </c>
      <c r="C114" s="3">
        <v>350.37</v>
      </c>
      <c r="D114" s="3">
        <v>1</v>
      </c>
    </row>
    <row r="115" spans="1:4" ht="12.75" x14ac:dyDescent="0.35">
      <c r="A115" s="4">
        <v>44613</v>
      </c>
      <c r="B115" s="3" t="s">
        <v>558</v>
      </c>
      <c r="C115" s="3">
        <v>294.58999999999997</v>
      </c>
      <c r="D115" s="3">
        <v>1</v>
      </c>
    </row>
    <row r="116" spans="1:4" ht="12.75" x14ac:dyDescent="0.35">
      <c r="A116" s="5">
        <v>44733</v>
      </c>
      <c r="B116" s="3" t="s">
        <v>274</v>
      </c>
      <c r="C116" s="3">
        <v>293.82</v>
      </c>
      <c r="D116" s="3">
        <v>1</v>
      </c>
    </row>
    <row r="117" spans="1:4" ht="12.75" x14ac:dyDescent="0.35">
      <c r="A117" s="4">
        <v>44702</v>
      </c>
      <c r="B117" s="3" t="s">
        <v>336</v>
      </c>
      <c r="C117" s="3">
        <v>293.60000000000002</v>
      </c>
      <c r="D117" s="3">
        <v>2</v>
      </c>
    </row>
    <row r="118" spans="1:4" ht="12.75" x14ac:dyDescent="0.35">
      <c r="A118" s="4">
        <v>44702</v>
      </c>
      <c r="B118" s="3" t="s">
        <v>203</v>
      </c>
      <c r="C118" s="3">
        <v>293.17</v>
      </c>
      <c r="D118" s="3">
        <v>6</v>
      </c>
    </row>
    <row r="119" spans="1:4" ht="12.75" x14ac:dyDescent="0.35">
      <c r="A119" s="4">
        <v>44672</v>
      </c>
      <c r="B119" s="3" t="s">
        <v>163</v>
      </c>
      <c r="C119" s="3">
        <v>293.16000000000003</v>
      </c>
      <c r="D119" s="3">
        <v>3</v>
      </c>
    </row>
    <row r="120" spans="1:4" ht="12.75" x14ac:dyDescent="0.35">
      <c r="A120" s="4">
        <v>44582</v>
      </c>
      <c r="B120" s="3" t="s">
        <v>366</v>
      </c>
      <c r="C120" s="3">
        <v>292.89999999999998</v>
      </c>
      <c r="D120" s="3">
        <v>8</v>
      </c>
    </row>
    <row r="121" spans="1:4" ht="12.75" x14ac:dyDescent="0.35">
      <c r="A121" s="5">
        <v>44733</v>
      </c>
      <c r="B121" s="3" t="s">
        <v>340</v>
      </c>
      <c r="C121" s="3">
        <v>292.39999999999998</v>
      </c>
      <c r="D121" s="3">
        <v>2</v>
      </c>
    </row>
    <row r="122" spans="1:4" ht="12.75" x14ac:dyDescent="0.35">
      <c r="A122" s="4">
        <v>44672</v>
      </c>
      <c r="B122" s="3" t="s">
        <v>191</v>
      </c>
      <c r="C122" s="3">
        <v>291.39</v>
      </c>
      <c r="D122" s="3">
        <v>8</v>
      </c>
    </row>
    <row r="123" spans="1:4" ht="12.75" x14ac:dyDescent="0.35">
      <c r="A123" s="5">
        <v>44733</v>
      </c>
      <c r="B123" s="3" t="s">
        <v>96</v>
      </c>
      <c r="C123" s="3">
        <v>289.89</v>
      </c>
      <c r="D123" s="3">
        <v>1</v>
      </c>
    </row>
    <row r="124" spans="1:4" ht="12.75" x14ac:dyDescent="0.35">
      <c r="A124" s="4">
        <v>44886</v>
      </c>
      <c r="B124" s="3" t="s">
        <v>80</v>
      </c>
      <c r="C124" s="3">
        <v>289.81</v>
      </c>
      <c r="D124" s="3">
        <v>5</v>
      </c>
    </row>
    <row r="125" spans="1:4" ht="12.75" x14ac:dyDescent="0.35">
      <c r="A125" s="4">
        <v>44794</v>
      </c>
      <c r="B125" s="3" t="s">
        <v>487</v>
      </c>
      <c r="C125" s="3">
        <v>287.92</v>
      </c>
      <c r="D125" s="3">
        <v>2</v>
      </c>
    </row>
    <row r="126" spans="1:4" ht="12.75" x14ac:dyDescent="0.35">
      <c r="A126" s="4">
        <v>44916</v>
      </c>
      <c r="B126" s="3" t="s">
        <v>337</v>
      </c>
      <c r="C126" s="3">
        <v>287.54000000000002</v>
      </c>
      <c r="D126" s="3">
        <v>6</v>
      </c>
    </row>
    <row r="127" spans="1:4" ht="12.75" x14ac:dyDescent="0.35">
      <c r="A127" s="4">
        <v>44763</v>
      </c>
      <c r="B127" s="3" t="s">
        <v>128</v>
      </c>
      <c r="C127" s="3">
        <v>282.26</v>
      </c>
      <c r="D127" s="3">
        <v>8</v>
      </c>
    </row>
    <row r="128" spans="1:4" ht="12.75" x14ac:dyDescent="0.35">
      <c r="A128" s="4">
        <v>44825</v>
      </c>
      <c r="B128" s="3" t="s">
        <v>414</v>
      </c>
      <c r="C128" s="3">
        <v>282.02</v>
      </c>
      <c r="D128" s="3">
        <v>2</v>
      </c>
    </row>
    <row r="129" spans="1:4" ht="12.75" x14ac:dyDescent="0.35">
      <c r="A129" s="4">
        <v>44613</v>
      </c>
      <c r="B129" s="3" t="s">
        <v>139</v>
      </c>
      <c r="C129" s="3">
        <v>281.89</v>
      </c>
      <c r="D129" s="3">
        <v>2</v>
      </c>
    </row>
    <row r="130" spans="1:4" ht="12.75" x14ac:dyDescent="0.35">
      <c r="A130" s="4">
        <v>44916</v>
      </c>
      <c r="B130" s="3" t="s">
        <v>1481</v>
      </c>
      <c r="C130" s="3">
        <v>281.70999999999998</v>
      </c>
      <c r="D130" s="3">
        <v>2</v>
      </c>
    </row>
    <row r="131" spans="1:4" ht="12.75" x14ac:dyDescent="0.35">
      <c r="A131" s="5">
        <v>44733</v>
      </c>
      <c r="B131" s="3" t="s">
        <v>366</v>
      </c>
      <c r="C131" s="3">
        <v>280.05</v>
      </c>
      <c r="D131" s="3">
        <v>8</v>
      </c>
    </row>
    <row r="132" spans="1:4" ht="12.75" x14ac:dyDescent="0.35">
      <c r="A132" s="4">
        <v>44825</v>
      </c>
      <c r="B132" s="3" t="s">
        <v>138</v>
      </c>
      <c r="C132" s="3">
        <v>279.99</v>
      </c>
      <c r="D132" s="3">
        <v>2</v>
      </c>
    </row>
    <row r="133" spans="1:4" ht="12.75" x14ac:dyDescent="0.35">
      <c r="A133" s="5">
        <v>44733</v>
      </c>
      <c r="B133" s="3" t="s">
        <v>404</v>
      </c>
      <c r="C133" s="3">
        <v>279.60000000000002</v>
      </c>
      <c r="D133" s="3">
        <v>1</v>
      </c>
    </row>
    <row r="134" spans="1:4" ht="12.75" x14ac:dyDescent="0.35">
      <c r="A134" s="4">
        <v>44613</v>
      </c>
      <c r="B134" s="3" t="s">
        <v>195</v>
      </c>
      <c r="C134" s="3">
        <v>279.41000000000003</v>
      </c>
      <c r="D134" s="3">
        <v>5</v>
      </c>
    </row>
    <row r="135" spans="1:4" ht="12.75" x14ac:dyDescent="0.35">
      <c r="A135" s="4">
        <v>44702</v>
      </c>
      <c r="B135" s="3" t="s">
        <v>477</v>
      </c>
      <c r="C135" s="3">
        <v>277.95999999999998</v>
      </c>
      <c r="D135" s="3">
        <v>9</v>
      </c>
    </row>
    <row r="136" spans="1:4" ht="12.75" x14ac:dyDescent="0.35">
      <c r="A136" s="4">
        <v>44641</v>
      </c>
      <c r="B136" s="3" t="s">
        <v>340</v>
      </c>
      <c r="C136" s="3">
        <v>274.8</v>
      </c>
      <c r="D136" s="3">
        <v>2</v>
      </c>
    </row>
    <row r="137" spans="1:4" ht="12.75" x14ac:dyDescent="0.35">
      <c r="A137" s="4">
        <v>44613</v>
      </c>
      <c r="B137" s="3" t="s">
        <v>293</v>
      </c>
      <c r="C137" s="3">
        <v>273.64999999999998</v>
      </c>
      <c r="D137" s="3">
        <v>4</v>
      </c>
    </row>
    <row r="138" spans="1:4" ht="12.75" x14ac:dyDescent="0.35">
      <c r="A138" s="4">
        <v>44582</v>
      </c>
      <c r="B138" s="3" t="s">
        <v>296</v>
      </c>
      <c r="C138" s="3">
        <v>272.89999999999998</v>
      </c>
      <c r="D138" s="3">
        <v>4</v>
      </c>
    </row>
    <row r="139" spans="1:4" ht="12.75" x14ac:dyDescent="0.35">
      <c r="A139" s="4">
        <v>44702</v>
      </c>
      <c r="B139" s="3" t="s">
        <v>298</v>
      </c>
      <c r="C139" s="3">
        <v>272.33999999999997</v>
      </c>
      <c r="D139" s="3">
        <v>1</v>
      </c>
    </row>
    <row r="140" spans="1:4" ht="12.75" x14ac:dyDescent="0.35">
      <c r="A140" s="4">
        <v>44916</v>
      </c>
      <c r="B140" s="3" t="s">
        <v>1031</v>
      </c>
      <c r="C140" s="3">
        <v>272.20999999999998</v>
      </c>
      <c r="D140" s="3">
        <v>1</v>
      </c>
    </row>
    <row r="141" spans="1:4" ht="12.75" x14ac:dyDescent="0.35">
      <c r="A141" s="4">
        <v>44702</v>
      </c>
      <c r="B141" s="3" t="s">
        <v>340</v>
      </c>
      <c r="C141" s="3">
        <v>271.72000000000003</v>
      </c>
      <c r="D141" s="3">
        <v>2</v>
      </c>
    </row>
    <row r="142" spans="1:4" ht="12.75" x14ac:dyDescent="0.35">
      <c r="A142" s="4">
        <v>44672</v>
      </c>
      <c r="B142" s="3" t="s">
        <v>195</v>
      </c>
      <c r="C142" s="3">
        <v>269.81</v>
      </c>
      <c r="D142" s="3">
        <v>5</v>
      </c>
    </row>
    <row r="143" spans="1:4" ht="12.75" x14ac:dyDescent="0.35">
      <c r="A143" s="4">
        <v>44916</v>
      </c>
      <c r="B143" s="3" t="s">
        <v>841</v>
      </c>
      <c r="C143" s="3">
        <v>269.20999999999998</v>
      </c>
      <c r="D143" s="3">
        <v>1</v>
      </c>
    </row>
    <row r="144" spans="1:4" ht="12.75" x14ac:dyDescent="0.35">
      <c r="A144" s="4">
        <v>44886</v>
      </c>
      <c r="B144" s="3" t="s">
        <v>55</v>
      </c>
      <c r="C144" s="3">
        <v>268.85000000000002</v>
      </c>
      <c r="D144" s="3">
        <v>5</v>
      </c>
    </row>
    <row r="145" spans="1:4" ht="12.75" x14ac:dyDescent="0.35">
      <c r="A145" s="4">
        <v>44886</v>
      </c>
      <c r="B145" s="3" t="s">
        <v>1562</v>
      </c>
      <c r="C145" s="3">
        <v>268.14</v>
      </c>
      <c r="D145" s="3">
        <v>2</v>
      </c>
    </row>
    <row r="146" spans="1:4" ht="12.75" x14ac:dyDescent="0.35">
      <c r="A146" s="4">
        <v>44916</v>
      </c>
      <c r="B146" s="3" t="s">
        <v>1798</v>
      </c>
      <c r="C146" s="3">
        <v>267.68</v>
      </c>
      <c r="D146" s="3">
        <v>1</v>
      </c>
    </row>
    <row r="147" spans="1:4" ht="12.75" x14ac:dyDescent="0.35">
      <c r="A147" s="4">
        <v>44613</v>
      </c>
      <c r="B147" s="3" t="s">
        <v>65</v>
      </c>
      <c r="C147" s="3">
        <v>266.76</v>
      </c>
      <c r="D147" s="3">
        <v>2</v>
      </c>
    </row>
    <row r="148" spans="1:4" ht="12.75" x14ac:dyDescent="0.35">
      <c r="A148" s="4">
        <v>44672</v>
      </c>
      <c r="B148" s="3" t="s">
        <v>340</v>
      </c>
      <c r="C148" s="3">
        <v>266.08999999999997</v>
      </c>
      <c r="D148" s="3">
        <v>2</v>
      </c>
    </row>
    <row r="149" spans="1:4" ht="12.75" x14ac:dyDescent="0.35">
      <c r="A149" s="4">
        <v>44702</v>
      </c>
      <c r="B149" s="3" t="s">
        <v>388</v>
      </c>
      <c r="C149" s="3">
        <v>266</v>
      </c>
      <c r="D149" s="3">
        <v>2</v>
      </c>
    </row>
    <row r="150" spans="1:4" ht="12.75" x14ac:dyDescent="0.35">
      <c r="A150" s="4">
        <v>44641</v>
      </c>
      <c r="B150" s="3" t="s">
        <v>80</v>
      </c>
      <c r="C150" s="3">
        <v>264.44</v>
      </c>
      <c r="D150" s="3">
        <v>5</v>
      </c>
    </row>
    <row r="151" spans="1:4" ht="12.75" x14ac:dyDescent="0.35">
      <c r="A151" s="4">
        <v>44886</v>
      </c>
      <c r="B151" s="3" t="s">
        <v>65</v>
      </c>
      <c r="C151" s="3">
        <v>264.33999999999997</v>
      </c>
      <c r="D151" s="3">
        <v>2</v>
      </c>
    </row>
    <row r="152" spans="1:4" ht="12.75" x14ac:dyDescent="0.35">
      <c r="A152" s="4">
        <v>44582</v>
      </c>
      <c r="B152" s="3" t="s">
        <v>138</v>
      </c>
      <c r="C152" s="3">
        <v>263.95</v>
      </c>
      <c r="D152" s="3">
        <v>2</v>
      </c>
    </row>
    <row r="153" spans="1:4" ht="12.75" x14ac:dyDescent="0.35">
      <c r="A153" s="4">
        <v>44672</v>
      </c>
      <c r="B153" s="3" t="s">
        <v>80</v>
      </c>
      <c r="C153" s="3">
        <v>263.08999999999997</v>
      </c>
      <c r="D153" s="3">
        <v>5</v>
      </c>
    </row>
    <row r="154" spans="1:4" ht="12.75" x14ac:dyDescent="0.35">
      <c r="A154" s="4">
        <v>44855</v>
      </c>
      <c r="B154" s="3" t="s">
        <v>296</v>
      </c>
      <c r="C154" s="3">
        <v>262.89999999999998</v>
      </c>
      <c r="D154" s="3">
        <v>4</v>
      </c>
    </row>
    <row r="155" spans="1:4" ht="12.75" x14ac:dyDescent="0.35">
      <c r="A155" s="4">
        <v>44702</v>
      </c>
      <c r="B155" s="3" t="s">
        <v>195</v>
      </c>
      <c r="C155" s="3">
        <v>262.27</v>
      </c>
      <c r="D155" s="3">
        <v>5</v>
      </c>
    </row>
    <row r="156" spans="1:4" ht="12.75" x14ac:dyDescent="0.35">
      <c r="A156" s="4">
        <v>44641</v>
      </c>
      <c r="B156" s="3" t="s">
        <v>387</v>
      </c>
      <c r="C156" s="3">
        <v>259.69</v>
      </c>
      <c r="D156" s="3">
        <v>7</v>
      </c>
    </row>
    <row r="157" spans="1:4" ht="12.75" x14ac:dyDescent="0.35">
      <c r="A157" s="4">
        <v>44855</v>
      </c>
      <c r="B157" s="3" t="s">
        <v>340</v>
      </c>
      <c r="C157" s="3">
        <v>259.64999999999998</v>
      </c>
      <c r="D157" s="3">
        <v>2</v>
      </c>
    </row>
    <row r="158" spans="1:4" ht="12.75" x14ac:dyDescent="0.35">
      <c r="A158" s="4">
        <v>44582</v>
      </c>
      <c r="B158" s="3" t="s">
        <v>65</v>
      </c>
      <c r="C158" s="3">
        <v>259.41000000000003</v>
      </c>
      <c r="D158" s="3">
        <v>2</v>
      </c>
    </row>
    <row r="159" spans="1:4" ht="12.75" x14ac:dyDescent="0.35">
      <c r="A159" s="4">
        <v>44886</v>
      </c>
      <c r="B159" s="3" t="s">
        <v>66</v>
      </c>
      <c r="C159" s="3">
        <v>259.06</v>
      </c>
      <c r="D159" s="3">
        <v>3</v>
      </c>
    </row>
    <row r="160" spans="1:4" ht="12.75" x14ac:dyDescent="0.35">
      <c r="A160" s="5">
        <v>44733</v>
      </c>
      <c r="B160" s="3" t="s">
        <v>1031</v>
      </c>
      <c r="C160" s="3">
        <v>258.82</v>
      </c>
      <c r="D160" s="3">
        <v>1</v>
      </c>
    </row>
    <row r="161" spans="1:4" ht="12.75" x14ac:dyDescent="0.35">
      <c r="A161" s="4">
        <v>44916</v>
      </c>
      <c r="B161" s="3" t="s">
        <v>296</v>
      </c>
      <c r="C161" s="3">
        <v>258.5</v>
      </c>
      <c r="D161" s="3">
        <v>4</v>
      </c>
    </row>
    <row r="162" spans="1:4" ht="12.75" x14ac:dyDescent="0.35">
      <c r="A162" s="4">
        <v>44582</v>
      </c>
      <c r="B162" s="3" t="s">
        <v>240</v>
      </c>
      <c r="C162" s="3">
        <v>257.77</v>
      </c>
      <c r="D162" s="3">
        <v>5</v>
      </c>
    </row>
    <row r="163" spans="1:4" ht="12.75" x14ac:dyDescent="0.35">
      <c r="A163" s="4">
        <v>44916</v>
      </c>
      <c r="B163" s="3" t="s">
        <v>414</v>
      </c>
      <c r="C163" s="3">
        <v>257.55</v>
      </c>
      <c r="D163" s="3">
        <v>2</v>
      </c>
    </row>
    <row r="164" spans="1:4" ht="12.75" x14ac:dyDescent="0.35">
      <c r="A164" s="4">
        <v>44582</v>
      </c>
      <c r="B164" s="3" t="s">
        <v>269</v>
      </c>
      <c r="C164" s="3">
        <v>256.95999999999998</v>
      </c>
      <c r="D164" s="3">
        <v>3</v>
      </c>
    </row>
    <row r="165" spans="1:4" ht="12.75" x14ac:dyDescent="0.35">
      <c r="A165" s="4">
        <v>44855</v>
      </c>
      <c r="B165" s="3" t="s">
        <v>240</v>
      </c>
      <c r="C165" s="3">
        <v>256.52999999999997</v>
      </c>
      <c r="D165" s="3">
        <v>5</v>
      </c>
    </row>
    <row r="166" spans="1:4" ht="12.75" x14ac:dyDescent="0.35">
      <c r="A166" s="4">
        <v>44613</v>
      </c>
      <c r="B166" s="3" t="s">
        <v>8</v>
      </c>
      <c r="C166" s="3">
        <v>256.17</v>
      </c>
      <c r="D166" s="3">
        <v>2</v>
      </c>
    </row>
    <row r="167" spans="1:4" ht="12.75" x14ac:dyDescent="0.35">
      <c r="A167" s="4">
        <v>44886</v>
      </c>
      <c r="B167" s="3" t="s">
        <v>310</v>
      </c>
      <c r="C167" s="3">
        <v>254.2</v>
      </c>
      <c r="D167" s="3">
        <v>1</v>
      </c>
    </row>
    <row r="168" spans="1:4" ht="12.75" x14ac:dyDescent="0.35">
      <c r="A168" s="4">
        <v>44641</v>
      </c>
      <c r="B168" s="3" t="s">
        <v>782</v>
      </c>
      <c r="C168" s="3">
        <v>253.63</v>
      </c>
      <c r="D168" s="3">
        <v>4</v>
      </c>
    </row>
    <row r="169" spans="1:4" ht="12.75" x14ac:dyDescent="0.35">
      <c r="A169" s="4">
        <v>44855</v>
      </c>
      <c r="B169" s="3" t="s">
        <v>799</v>
      </c>
      <c r="C169" s="3">
        <v>253.36</v>
      </c>
      <c r="D169" s="3">
        <v>2</v>
      </c>
    </row>
    <row r="170" spans="1:4" ht="12.75" x14ac:dyDescent="0.35">
      <c r="A170" s="4">
        <v>44582</v>
      </c>
      <c r="B170" s="3" t="s">
        <v>8</v>
      </c>
      <c r="C170" s="3">
        <v>252.57</v>
      </c>
      <c r="D170" s="3">
        <v>2</v>
      </c>
    </row>
    <row r="171" spans="1:4" ht="12.75" x14ac:dyDescent="0.35">
      <c r="A171" s="4">
        <v>44886</v>
      </c>
      <c r="B171" s="3" t="s">
        <v>1286</v>
      </c>
      <c r="C171" s="3">
        <v>252.32</v>
      </c>
      <c r="D171" s="3">
        <v>1</v>
      </c>
    </row>
    <row r="172" spans="1:4" ht="12.75" x14ac:dyDescent="0.35">
      <c r="A172" s="4">
        <v>44794</v>
      </c>
      <c r="B172" s="3" t="s">
        <v>459</v>
      </c>
      <c r="C172" s="3">
        <v>252.19</v>
      </c>
      <c r="D172" s="3">
        <v>2</v>
      </c>
    </row>
    <row r="173" spans="1:4" ht="12.75" x14ac:dyDescent="0.35">
      <c r="A173" s="4">
        <v>44825</v>
      </c>
      <c r="B173" s="3" t="s">
        <v>310</v>
      </c>
      <c r="C173" s="3">
        <v>252.05</v>
      </c>
      <c r="D173" s="3">
        <v>1</v>
      </c>
    </row>
    <row r="174" spans="1:4" ht="12.75" x14ac:dyDescent="0.35">
      <c r="A174" s="4">
        <v>44916</v>
      </c>
      <c r="B174" s="3" t="s">
        <v>65</v>
      </c>
      <c r="C174" s="3">
        <v>251.92</v>
      </c>
      <c r="D174" s="3">
        <v>2</v>
      </c>
    </row>
    <row r="175" spans="1:4" ht="12.75" x14ac:dyDescent="0.35">
      <c r="A175" s="4">
        <v>44613</v>
      </c>
      <c r="B175" s="3" t="s">
        <v>230</v>
      </c>
      <c r="C175" s="3">
        <v>250.16</v>
      </c>
      <c r="D175" s="3">
        <v>2</v>
      </c>
    </row>
    <row r="176" spans="1:4" ht="12.75" x14ac:dyDescent="0.35">
      <c r="A176" s="4">
        <v>44886</v>
      </c>
      <c r="B176" s="3" t="s">
        <v>296</v>
      </c>
      <c r="C176" s="3">
        <v>250.15</v>
      </c>
      <c r="D176" s="3">
        <v>4</v>
      </c>
    </row>
    <row r="177" spans="1:4" ht="12.75" x14ac:dyDescent="0.35">
      <c r="A177" s="4">
        <v>44855</v>
      </c>
      <c r="B177" s="3" t="s">
        <v>1798</v>
      </c>
      <c r="C177" s="3">
        <v>57.08</v>
      </c>
      <c r="D177" s="3">
        <v>1</v>
      </c>
    </row>
    <row r="178" spans="1:4" ht="12.75" x14ac:dyDescent="0.35">
      <c r="A178" s="4">
        <v>44825</v>
      </c>
      <c r="B178" s="3" t="s">
        <v>151</v>
      </c>
      <c r="C178" s="3">
        <v>247.78</v>
      </c>
      <c r="D178" s="3">
        <v>3</v>
      </c>
    </row>
    <row r="179" spans="1:4" ht="12.75" x14ac:dyDescent="0.35">
      <c r="A179" s="4">
        <v>44672</v>
      </c>
      <c r="B179" s="3" t="s">
        <v>459</v>
      </c>
      <c r="C179" s="3">
        <v>247.63</v>
      </c>
      <c r="D179" s="3">
        <v>2</v>
      </c>
    </row>
    <row r="180" spans="1:4" ht="12.75" x14ac:dyDescent="0.35">
      <c r="A180" s="4">
        <v>44582</v>
      </c>
      <c r="B180" s="3" t="s">
        <v>55</v>
      </c>
      <c r="C180" s="3">
        <v>245.92</v>
      </c>
      <c r="D180" s="3">
        <v>5</v>
      </c>
    </row>
    <row r="181" spans="1:4" ht="12.75" x14ac:dyDescent="0.35">
      <c r="A181" s="4">
        <v>44855</v>
      </c>
      <c r="B181" s="3" t="s">
        <v>183</v>
      </c>
      <c r="C181" s="3">
        <v>245.65</v>
      </c>
      <c r="D181" s="3">
        <v>1</v>
      </c>
    </row>
    <row r="182" spans="1:4" ht="12.75" x14ac:dyDescent="0.35">
      <c r="A182" s="4">
        <v>44702</v>
      </c>
      <c r="B182" s="3" t="s">
        <v>80</v>
      </c>
      <c r="C182" s="3">
        <v>245.5</v>
      </c>
      <c r="D182" s="3">
        <v>5</v>
      </c>
    </row>
    <row r="183" spans="1:4" ht="12.75" x14ac:dyDescent="0.35">
      <c r="A183" s="4">
        <v>44613</v>
      </c>
      <c r="B183" s="3" t="s">
        <v>377</v>
      </c>
      <c r="C183" s="3">
        <v>245.48</v>
      </c>
      <c r="D183" s="3">
        <v>1</v>
      </c>
    </row>
    <row r="184" spans="1:4" ht="12.75" x14ac:dyDescent="0.35">
      <c r="A184" s="4">
        <v>44855</v>
      </c>
      <c r="B184" s="3" t="s">
        <v>151</v>
      </c>
      <c r="C184" s="3">
        <v>245.31</v>
      </c>
      <c r="D184" s="3">
        <v>3</v>
      </c>
    </row>
    <row r="185" spans="1:4" ht="12.75" x14ac:dyDescent="0.35">
      <c r="A185" s="4">
        <v>44613</v>
      </c>
      <c r="B185" s="3" t="s">
        <v>138</v>
      </c>
      <c r="C185" s="3">
        <v>244.03</v>
      </c>
      <c r="D185" s="3">
        <v>2</v>
      </c>
    </row>
    <row r="186" spans="1:4" ht="12.75" x14ac:dyDescent="0.35">
      <c r="A186" s="4">
        <v>44916</v>
      </c>
      <c r="B186" s="3" t="s">
        <v>151</v>
      </c>
      <c r="C186" s="3">
        <v>244.01</v>
      </c>
      <c r="D186" s="3">
        <v>3</v>
      </c>
    </row>
    <row r="187" spans="1:4" ht="12.75" x14ac:dyDescent="0.35">
      <c r="A187" s="5">
        <v>44733</v>
      </c>
      <c r="B187" s="3" t="s">
        <v>277</v>
      </c>
      <c r="C187" s="3">
        <v>242.6</v>
      </c>
      <c r="D187" s="3">
        <v>1</v>
      </c>
    </row>
    <row r="188" spans="1:4" ht="12.75" x14ac:dyDescent="0.35">
      <c r="A188" s="4">
        <v>44702</v>
      </c>
      <c r="B188" s="3" t="s">
        <v>404</v>
      </c>
      <c r="C188" s="3">
        <v>242.56</v>
      </c>
      <c r="D188" s="3">
        <v>1</v>
      </c>
    </row>
    <row r="189" spans="1:4" ht="12.75" x14ac:dyDescent="0.35">
      <c r="A189" s="4">
        <v>44613</v>
      </c>
      <c r="B189" s="3" t="s">
        <v>94</v>
      </c>
      <c r="C189" s="3">
        <v>242.33</v>
      </c>
      <c r="D189" s="3">
        <v>4</v>
      </c>
    </row>
    <row r="190" spans="1:4" ht="12.75" x14ac:dyDescent="0.35">
      <c r="A190" s="4">
        <v>44825</v>
      </c>
      <c r="B190" s="3" t="s">
        <v>1798</v>
      </c>
      <c r="C190" s="3">
        <v>11.41</v>
      </c>
      <c r="D190" s="3">
        <v>1</v>
      </c>
    </row>
    <row r="191" spans="1:4" ht="12.75" x14ac:dyDescent="0.35">
      <c r="A191" s="5">
        <v>44733</v>
      </c>
      <c r="B191" s="3" t="s">
        <v>65</v>
      </c>
      <c r="C191" s="3">
        <v>241.51</v>
      </c>
      <c r="D191" s="3">
        <v>2</v>
      </c>
    </row>
    <row r="192" spans="1:4" ht="12.75" x14ac:dyDescent="0.35">
      <c r="A192" s="4">
        <v>44916</v>
      </c>
      <c r="B192" s="3" t="s">
        <v>8</v>
      </c>
      <c r="C192" s="3">
        <v>241.41</v>
      </c>
      <c r="D192" s="3">
        <v>2</v>
      </c>
    </row>
    <row r="193" spans="1:4" ht="12.75" x14ac:dyDescent="0.35">
      <c r="A193" s="4">
        <v>44702</v>
      </c>
      <c r="B193" s="3" t="s">
        <v>377</v>
      </c>
      <c r="C193" s="3">
        <v>241.18</v>
      </c>
      <c r="D193" s="3">
        <v>1</v>
      </c>
    </row>
    <row r="194" spans="1:4" ht="12.75" x14ac:dyDescent="0.35">
      <c r="A194" s="4">
        <v>44672</v>
      </c>
      <c r="B194" s="3" t="s">
        <v>240</v>
      </c>
      <c r="C194" s="3">
        <v>240.62</v>
      </c>
      <c r="D194" s="3">
        <v>5</v>
      </c>
    </row>
    <row r="195" spans="1:4" ht="12.75" x14ac:dyDescent="0.35">
      <c r="A195" s="4">
        <v>44825</v>
      </c>
      <c r="B195" s="3" t="s">
        <v>1481</v>
      </c>
      <c r="C195" s="3">
        <v>239.64</v>
      </c>
      <c r="D195" s="3">
        <v>2</v>
      </c>
    </row>
    <row r="196" spans="1:4" ht="12.75" x14ac:dyDescent="0.35">
      <c r="A196" s="4">
        <v>44916</v>
      </c>
      <c r="B196" s="3" t="s">
        <v>388</v>
      </c>
      <c r="C196" s="3">
        <v>239.55</v>
      </c>
      <c r="D196" s="3">
        <v>2</v>
      </c>
    </row>
    <row r="197" spans="1:4" ht="12.75" x14ac:dyDescent="0.35">
      <c r="A197" s="4">
        <v>44613</v>
      </c>
      <c r="B197" s="3" t="s">
        <v>203</v>
      </c>
      <c r="C197" s="3">
        <v>239.39</v>
      </c>
      <c r="D197" s="3">
        <v>6</v>
      </c>
    </row>
    <row r="198" spans="1:4" ht="12.75" x14ac:dyDescent="0.35">
      <c r="A198" s="4">
        <v>44794</v>
      </c>
      <c r="B198" s="3" t="s">
        <v>138</v>
      </c>
      <c r="C198" s="3">
        <v>238.23</v>
      </c>
      <c r="D198" s="3">
        <v>2</v>
      </c>
    </row>
    <row r="199" spans="1:4" ht="12.75" x14ac:dyDescent="0.35">
      <c r="A199" s="4">
        <v>44582</v>
      </c>
      <c r="B199" s="3" t="s">
        <v>377</v>
      </c>
      <c r="C199" s="3">
        <v>237.93</v>
      </c>
      <c r="D199" s="3">
        <v>1</v>
      </c>
    </row>
    <row r="200" spans="1:4" ht="12.75" x14ac:dyDescent="0.35">
      <c r="A200" s="4">
        <v>44702</v>
      </c>
      <c r="B200" s="3" t="s">
        <v>296</v>
      </c>
      <c r="C200" s="3">
        <v>237.9</v>
      </c>
      <c r="D200" s="3">
        <v>4</v>
      </c>
    </row>
    <row r="201" spans="1:4" ht="12.75" x14ac:dyDescent="0.35">
      <c r="A201" s="4">
        <v>44855</v>
      </c>
      <c r="B201" s="3" t="s">
        <v>606</v>
      </c>
      <c r="C201" s="3">
        <v>237.76</v>
      </c>
      <c r="D201" s="3">
        <v>3</v>
      </c>
    </row>
    <row r="202" spans="1:4" ht="12.75" x14ac:dyDescent="0.35">
      <c r="A202" s="4">
        <v>44613</v>
      </c>
      <c r="B202" s="3" t="s">
        <v>340</v>
      </c>
      <c r="C202" s="3">
        <v>237.61</v>
      </c>
      <c r="D202" s="3">
        <v>2</v>
      </c>
    </row>
    <row r="203" spans="1:4" ht="12.75" x14ac:dyDescent="0.35">
      <c r="A203" s="4">
        <v>44641</v>
      </c>
      <c r="B203" s="3" t="s">
        <v>736</v>
      </c>
      <c r="C203" s="3">
        <v>237.5</v>
      </c>
      <c r="D203" s="3">
        <v>2</v>
      </c>
    </row>
    <row r="204" spans="1:4" ht="12.75" x14ac:dyDescent="0.35">
      <c r="A204" s="4">
        <v>44916</v>
      </c>
      <c r="B204" s="3" t="s">
        <v>310</v>
      </c>
      <c r="C204" s="3">
        <v>236.4</v>
      </c>
      <c r="D204" s="3">
        <v>1</v>
      </c>
    </row>
    <row r="205" spans="1:4" ht="12.75" x14ac:dyDescent="0.35">
      <c r="A205" s="5">
        <v>44733</v>
      </c>
      <c r="B205" s="3" t="s">
        <v>270</v>
      </c>
      <c r="C205" s="3">
        <v>236.18</v>
      </c>
      <c r="D205" s="3">
        <v>6</v>
      </c>
    </row>
    <row r="206" spans="1:4" ht="12.75" x14ac:dyDescent="0.35">
      <c r="A206" s="4">
        <v>44825</v>
      </c>
      <c r="B206" s="3" t="s">
        <v>682</v>
      </c>
      <c r="C206" s="3">
        <v>235.76</v>
      </c>
      <c r="D206" s="3">
        <v>9</v>
      </c>
    </row>
    <row r="207" spans="1:4" ht="12.75" x14ac:dyDescent="0.35">
      <c r="A207" s="4">
        <v>44825</v>
      </c>
      <c r="B207" s="3" t="s">
        <v>477</v>
      </c>
      <c r="C207" s="3">
        <v>235.25</v>
      </c>
      <c r="D207" s="3">
        <v>9</v>
      </c>
    </row>
    <row r="208" spans="1:4" ht="12.75" x14ac:dyDescent="0.35">
      <c r="A208" s="4">
        <v>44641</v>
      </c>
      <c r="B208" s="3" t="s">
        <v>191</v>
      </c>
      <c r="C208" s="3">
        <v>234.41</v>
      </c>
      <c r="D208" s="3">
        <v>8</v>
      </c>
    </row>
    <row r="209" spans="1:4" ht="12.75" x14ac:dyDescent="0.35">
      <c r="A209" s="4">
        <v>44582</v>
      </c>
      <c r="B209" s="3" t="s">
        <v>227</v>
      </c>
      <c r="C209" s="3">
        <v>233.99</v>
      </c>
      <c r="D209" s="3">
        <v>3</v>
      </c>
    </row>
    <row r="210" spans="1:4" ht="12.75" x14ac:dyDescent="0.35">
      <c r="A210" s="4">
        <v>44916</v>
      </c>
      <c r="B210" s="3" t="s">
        <v>1134</v>
      </c>
      <c r="C210" s="3">
        <v>233.98</v>
      </c>
      <c r="D210" s="3">
        <v>1</v>
      </c>
    </row>
    <row r="211" spans="1:4" ht="12.75" x14ac:dyDescent="0.35">
      <c r="A211" s="4">
        <v>44702</v>
      </c>
      <c r="B211" s="3" t="s">
        <v>366</v>
      </c>
      <c r="C211" s="3">
        <v>233.97</v>
      </c>
      <c r="D211" s="3">
        <v>8</v>
      </c>
    </row>
    <row r="212" spans="1:4" ht="12.75" x14ac:dyDescent="0.35">
      <c r="A212" s="4">
        <v>44613</v>
      </c>
      <c r="B212" s="3" t="s">
        <v>240</v>
      </c>
      <c r="C212" s="3">
        <v>233.8</v>
      </c>
      <c r="D212" s="3">
        <v>5</v>
      </c>
    </row>
    <row r="213" spans="1:4" ht="12.75" x14ac:dyDescent="0.35">
      <c r="A213" s="4">
        <v>44794</v>
      </c>
      <c r="B213" s="3" t="s">
        <v>195</v>
      </c>
      <c r="C213" s="3">
        <v>233.29</v>
      </c>
      <c r="D213" s="3">
        <v>5</v>
      </c>
    </row>
    <row r="214" spans="1:4" ht="12.75" x14ac:dyDescent="0.35">
      <c r="A214" s="4">
        <v>44886</v>
      </c>
      <c r="B214" s="3" t="s">
        <v>1677</v>
      </c>
      <c r="C214" s="3">
        <v>232.93</v>
      </c>
      <c r="D214" s="3">
        <v>1</v>
      </c>
    </row>
    <row r="215" spans="1:4" ht="12.75" x14ac:dyDescent="0.35">
      <c r="A215" s="4">
        <v>44672</v>
      </c>
      <c r="B215" s="3" t="s">
        <v>270</v>
      </c>
      <c r="C215" s="3">
        <v>232.57</v>
      </c>
      <c r="D215" s="3">
        <v>6</v>
      </c>
    </row>
    <row r="216" spans="1:4" ht="12.75" x14ac:dyDescent="0.35">
      <c r="A216" s="4">
        <v>44916</v>
      </c>
      <c r="B216" s="3" t="s">
        <v>21</v>
      </c>
      <c r="C216" s="3">
        <v>232.19</v>
      </c>
      <c r="D216" s="3">
        <v>9</v>
      </c>
    </row>
    <row r="217" spans="1:4" ht="12.75" x14ac:dyDescent="0.35">
      <c r="A217" s="4">
        <v>44825</v>
      </c>
      <c r="B217" s="3" t="s">
        <v>332</v>
      </c>
      <c r="C217" s="3">
        <v>230.84</v>
      </c>
      <c r="D217" s="3">
        <v>6</v>
      </c>
    </row>
    <row r="218" spans="1:4" ht="12.75" x14ac:dyDescent="0.35">
      <c r="A218" s="5">
        <v>44733</v>
      </c>
      <c r="B218" s="3" t="s">
        <v>135</v>
      </c>
      <c r="C218" s="3">
        <v>230.62</v>
      </c>
      <c r="D218" s="3">
        <v>4</v>
      </c>
    </row>
    <row r="219" spans="1:4" ht="12.75" x14ac:dyDescent="0.35">
      <c r="A219" s="4">
        <v>44582</v>
      </c>
      <c r="B219" s="3" t="s">
        <v>94</v>
      </c>
      <c r="C219" s="3">
        <v>230.61</v>
      </c>
      <c r="D219" s="3">
        <v>4</v>
      </c>
    </row>
    <row r="220" spans="1:4" ht="12.75" x14ac:dyDescent="0.35">
      <c r="A220" s="4">
        <v>44672</v>
      </c>
      <c r="B220" s="3" t="s">
        <v>65</v>
      </c>
      <c r="C220" s="3">
        <v>229.35</v>
      </c>
      <c r="D220" s="3">
        <v>2</v>
      </c>
    </row>
    <row r="221" spans="1:4" ht="12.75" x14ac:dyDescent="0.35">
      <c r="A221" s="4">
        <v>44794</v>
      </c>
      <c r="B221" s="3" t="s">
        <v>387</v>
      </c>
      <c r="C221" s="3">
        <v>229.32</v>
      </c>
      <c r="D221" s="3">
        <v>7</v>
      </c>
    </row>
    <row r="222" spans="1:4" ht="12.75" x14ac:dyDescent="0.35">
      <c r="A222" s="4">
        <v>44672</v>
      </c>
      <c r="B222" s="3" t="s">
        <v>94</v>
      </c>
      <c r="C222" s="3">
        <v>228.97</v>
      </c>
      <c r="D222" s="3">
        <v>4</v>
      </c>
    </row>
    <row r="223" spans="1:4" ht="12.75" x14ac:dyDescent="0.35">
      <c r="A223" s="4">
        <v>44794</v>
      </c>
      <c r="B223" s="3" t="s">
        <v>296</v>
      </c>
      <c r="C223" s="3">
        <v>228.96</v>
      </c>
      <c r="D223" s="3">
        <v>4</v>
      </c>
    </row>
    <row r="224" spans="1:4" ht="12.75" x14ac:dyDescent="0.35">
      <c r="A224" s="4">
        <v>44886</v>
      </c>
      <c r="B224" s="3" t="s">
        <v>1031</v>
      </c>
      <c r="C224" s="3">
        <v>226.94</v>
      </c>
      <c r="D224" s="3">
        <v>1</v>
      </c>
    </row>
    <row r="225" spans="1:4" ht="12.75" x14ac:dyDescent="0.35">
      <c r="A225" s="4">
        <v>44886</v>
      </c>
      <c r="B225" s="3" t="s">
        <v>1481</v>
      </c>
      <c r="C225" s="3">
        <v>226.62</v>
      </c>
      <c r="D225" s="3">
        <v>2</v>
      </c>
    </row>
    <row r="226" spans="1:4" ht="12.75" x14ac:dyDescent="0.35">
      <c r="A226" s="4">
        <v>44794</v>
      </c>
      <c r="B226" s="3" t="s">
        <v>80</v>
      </c>
      <c r="C226" s="3">
        <v>226.5</v>
      </c>
      <c r="D226" s="3">
        <v>5</v>
      </c>
    </row>
    <row r="227" spans="1:4" ht="12.75" x14ac:dyDescent="0.35">
      <c r="A227" s="4">
        <v>44641</v>
      </c>
      <c r="B227" s="3" t="s">
        <v>404</v>
      </c>
      <c r="C227" s="3">
        <v>226.24</v>
      </c>
      <c r="D227" s="3">
        <v>1</v>
      </c>
    </row>
    <row r="228" spans="1:4" ht="12.75" x14ac:dyDescent="0.35">
      <c r="A228" s="5">
        <v>44733</v>
      </c>
      <c r="B228" s="3" t="s">
        <v>8</v>
      </c>
      <c r="C228" s="3">
        <v>225.52</v>
      </c>
      <c r="D228" s="3">
        <v>2</v>
      </c>
    </row>
    <row r="229" spans="1:4" ht="12.75" x14ac:dyDescent="0.35">
      <c r="A229" s="4">
        <v>44794</v>
      </c>
      <c r="B229" s="3" t="s">
        <v>21</v>
      </c>
      <c r="C229" s="3">
        <v>225.12</v>
      </c>
      <c r="D229" s="3">
        <v>9</v>
      </c>
    </row>
    <row r="230" spans="1:4" ht="12.75" x14ac:dyDescent="0.35">
      <c r="A230" s="4">
        <v>44886</v>
      </c>
      <c r="B230" s="3" t="s">
        <v>414</v>
      </c>
      <c r="C230" s="3">
        <v>222.9</v>
      </c>
      <c r="D230" s="3">
        <v>2</v>
      </c>
    </row>
    <row r="231" spans="1:4" ht="12.75" x14ac:dyDescent="0.35">
      <c r="A231" s="4">
        <v>44886</v>
      </c>
      <c r="B231" s="3" t="s">
        <v>1838</v>
      </c>
      <c r="C231" s="3">
        <v>222.4</v>
      </c>
      <c r="D231" s="3">
        <v>1</v>
      </c>
    </row>
    <row r="232" spans="1:4" ht="12.75" x14ac:dyDescent="0.35">
      <c r="A232" s="4">
        <v>44582</v>
      </c>
      <c r="B232" s="3" t="s">
        <v>151</v>
      </c>
      <c r="C232" s="3">
        <v>221.26</v>
      </c>
      <c r="D232" s="3">
        <v>3</v>
      </c>
    </row>
    <row r="233" spans="1:4" ht="12.75" x14ac:dyDescent="0.35">
      <c r="A233" s="4">
        <v>44916</v>
      </c>
      <c r="B233" s="3" t="s">
        <v>183</v>
      </c>
      <c r="C233" s="3">
        <v>221.24</v>
      </c>
      <c r="D233" s="3">
        <v>1</v>
      </c>
    </row>
    <row r="234" spans="1:4" ht="12.75" x14ac:dyDescent="0.35">
      <c r="A234" s="4">
        <v>44855</v>
      </c>
      <c r="B234" s="3" t="s">
        <v>1562</v>
      </c>
      <c r="C234" s="3">
        <v>221.22</v>
      </c>
      <c r="D234" s="3">
        <v>2</v>
      </c>
    </row>
    <row r="235" spans="1:4" ht="12.75" x14ac:dyDescent="0.35">
      <c r="A235" s="4">
        <v>44702</v>
      </c>
      <c r="B235" s="3" t="s">
        <v>1135</v>
      </c>
      <c r="C235" s="3">
        <v>221.11</v>
      </c>
      <c r="D235" s="3">
        <v>1</v>
      </c>
    </row>
    <row r="236" spans="1:4" ht="12.75" x14ac:dyDescent="0.35">
      <c r="A236" s="5">
        <v>44733</v>
      </c>
      <c r="B236" s="3" t="s">
        <v>21</v>
      </c>
      <c r="C236" s="3">
        <v>220.81</v>
      </c>
      <c r="D236" s="3">
        <v>9</v>
      </c>
    </row>
    <row r="237" spans="1:4" ht="12.75" x14ac:dyDescent="0.35">
      <c r="A237" s="4">
        <v>44702</v>
      </c>
      <c r="B237" s="3" t="s">
        <v>152</v>
      </c>
      <c r="C237" s="3">
        <v>217.96</v>
      </c>
      <c r="D237" s="3">
        <v>3</v>
      </c>
    </row>
    <row r="238" spans="1:4" ht="12.75" x14ac:dyDescent="0.35">
      <c r="A238" s="4">
        <v>44702</v>
      </c>
      <c r="B238" s="3" t="s">
        <v>69</v>
      </c>
      <c r="C238" s="3">
        <v>216.36</v>
      </c>
      <c r="D238" s="3">
        <v>10</v>
      </c>
    </row>
    <row r="239" spans="1:4" ht="12.75" x14ac:dyDescent="0.35">
      <c r="A239" s="4">
        <v>44794</v>
      </c>
      <c r="B239" s="3" t="s">
        <v>799</v>
      </c>
      <c r="C239" s="3">
        <v>216.32</v>
      </c>
      <c r="D239" s="3">
        <v>2</v>
      </c>
    </row>
    <row r="240" spans="1:4" ht="12.75" x14ac:dyDescent="0.35">
      <c r="A240" s="4">
        <v>44855</v>
      </c>
      <c r="B240" s="3" t="s">
        <v>8</v>
      </c>
      <c r="C240" s="3">
        <v>216.08</v>
      </c>
      <c r="D240" s="3">
        <v>2</v>
      </c>
    </row>
    <row r="241" spans="1:4" ht="12.75" x14ac:dyDescent="0.35">
      <c r="A241" s="4">
        <v>44886</v>
      </c>
      <c r="B241" s="3" t="s">
        <v>388</v>
      </c>
      <c r="C241" s="3">
        <v>215.93</v>
      </c>
      <c r="D241" s="3">
        <v>2</v>
      </c>
    </row>
    <row r="242" spans="1:4" ht="12.75" x14ac:dyDescent="0.35">
      <c r="A242" s="4">
        <v>44672</v>
      </c>
      <c r="B242" s="3" t="s">
        <v>230</v>
      </c>
      <c r="C242" s="3">
        <v>215.89</v>
      </c>
      <c r="D242" s="3">
        <v>2</v>
      </c>
    </row>
    <row r="243" spans="1:4" ht="12.75" x14ac:dyDescent="0.35">
      <c r="A243" s="4">
        <v>44855</v>
      </c>
      <c r="B243" s="3" t="s">
        <v>1537</v>
      </c>
      <c r="C243" s="3">
        <v>215.77</v>
      </c>
      <c r="D243" s="3">
        <v>1</v>
      </c>
    </row>
    <row r="244" spans="1:4" ht="12.75" x14ac:dyDescent="0.35">
      <c r="A244" s="4">
        <v>44582</v>
      </c>
      <c r="B244" s="3" t="s">
        <v>66</v>
      </c>
      <c r="C244" s="3">
        <v>214.38</v>
      </c>
      <c r="D244" s="3">
        <v>3</v>
      </c>
    </row>
    <row r="245" spans="1:4" ht="12.75" x14ac:dyDescent="0.35">
      <c r="A245" s="4">
        <v>44794</v>
      </c>
      <c r="B245" s="3" t="s">
        <v>94</v>
      </c>
      <c r="C245" s="3">
        <v>213.96</v>
      </c>
      <c r="D245" s="3">
        <v>4</v>
      </c>
    </row>
    <row r="246" spans="1:4" ht="12.75" x14ac:dyDescent="0.35">
      <c r="A246" s="4">
        <v>44794</v>
      </c>
      <c r="B246" s="3" t="s">
        <v>1481</v>
      </c>
      <c r="C246" s="3">
        <v>213.67</v>
      </c>
      <c r="D246" s="3">
        <v>2</v>
      </c>
    </row>
    <row r="247" spans="1:4" ht="12.75" x14ac:dyDescent="0.35">
      <c r="A247" s="4">
        <v>44855</v>
      </c>
      <c r="B247" s="3" t="s">
        <v>388</v>
      </c>
      <c r="C247" s="3">
        <v>212.77</v>
      </c>
      <c r="D247" s="3">
        <v>2</v>
      </c>
    </row>
    <row r="248" spans="1:4" ht="12.75" x14ac:dyDescent="0.35">
      <c r="A248" s="4">
        <v>44672</v>
      </c>
      <c r="B248" s="3" t="s">
        <v>404</v>
      </c>
      <c r="C248" s="3">
        <v>212.44</v>
      </c>
      <c r="D248" s="3">
        <v>1</v>
      </c>
    </row>
    <row r="249" spans="1:4" ht="12.75" x14ac:dyDescent="0.35">
      <c r="A249" s="5">
        <v>44763</v>
      </c>
      <c r="B249" s="3" t="s">
        <v>80</v>
      </c>
      <c r="C249" s="3">
        <v>212.21</v>
      </c>
      <c r="D249" s="3">
        <v>5</v>
      </c>
    </row>
    <row r="250" spans="1:4" ht="12.75" x14ac:dyDescent="0.35">
      <c r="A250" s="4">
        <v>44702</v>
      </c>
      <c r="B250" s="3" t="s">
        <v>138</v>
      </c>
      <c r="C250" s="3">
        <v>212.15</v>
      </c>
      <c r="D250" s="3">
        <v>2</v>
      </c>
    </row>
    <row r="251" spans="1:4" ht="12.75" x14ac:dyDescent="0.35">
      <c r="A251" s="4">
        <v>44641</v>
      </c>
      <c r="B251" s="3" t="s">
        <v>270</v>
      </c>
      <c r="C251" s="3">
        <v>211.93</v>
      </c>
      <c r="D251" s="3">
        <v>6</v>
      </c>
    </row>
    <row r="252" spans="1:4" ht="12.75" x14ac:dyDescent="0.35">
      <c r="A252" s="5">
        <v>44733</v>
      </c>
      <c r="B252" s="3" t="s">
        <v>1131</v>
      </c>
      <c r="C252" s="3">
        <v>211.9</v>
      </c>
      <c r="D252" s="3">
        <v>2</v>
      </c>
    </row>
    <row r="253" spans="1:4" ht="12.75" x14ac:dyDescent="0.35">
      <c r="A253" s="4">
        <v>44613</v>
      </c>
      <c r="B253" s="3" t="s">
        <v>66</v>
      </c>
      <c r="C253" s="3">
        <v>211.82</v>
      </c>
      <c r="D253" s="3">
        <v>3</v>
      </c>
    </row>
    <row r="254" spans="1:4" ht="12.75" x14ac:dyDescent="0.35">
      <c r="A254" s="4">
        <v>44702</v>
      </c>
      <c r="B254" s="3" t="s">
        <v>55</v>
      </c>
      <c r="C254" s="3">
        <v>211.44</v>
      </c>
      <c r="D254" s="3">
        <v>5</v>
      </c>
    </row>
    <row r="255" spans="1:4" ht="12.75" x14ac:dyDescent="0.35">
      <c r="A255" s="4">
        <v>44855</v>
      </c>
      <c r="B255" s="3" t="s">
        <v>332</v>
      </c>
      <c r="C255" s="3">
        <v>210.14</v>
      </c>
      <c r="D255" s="3">
        <v>6</v>
      </c>
    </row>
    <row r="256" spans="1:4" ht="12.75" x14ac:dyDescent="0.35">
      <c r="A256" s="4">
        <v>44886</v>
      </c>
      <c r="B256" s="3" t="s">
        <v>212</v>
      </c>
      <c r="C256" s="3">
        <v>209.84</v>
      </c>
      <c r="D256" s="3">
        <v>2</v>
      </c>
    </row>
    <row r="257" spans="1:4" ht="12.75" x14ac:dyDescent="0.35">
      <c r="A257" s="4">
        <v>44672</v>
      </c>
      <c r="B257" s="3" t="s">
        <v>269</v>
      </c>
      <c r="C257" s="3">
        <v>209.78</v>
      </c>
      <c r="D257" s="3">
        <v>3</v>
      </c>
    </row>
    <row r="258" spans="1:4" ht="12.75" x14ac:dyDescent="0.35">
      <c r="A258" s="4">
        <v>44855</v>
      </c>
      <c r="B258" s="3" t="s">
        <v>1677</v>
      </c>
      <c r="C258" s="3">
        <v>41.67</v>
      </c>
      <c r="D258" s="3">
        <v>1</v>
      </c>
    </row>
    <row r="259" spans="1:4" ht="12.75" x14ac:dyDescent="0.35">
      <c r="A259" s="4">
        <v>44855</v>
      </c>
      <c r="B259" s="3" t="s">
        <v>66</v>
      </c>
      <c r="C259" s="3">
        <v>208.9</v>
      </c>
      <c r="D259" s="3">
        <v>3</v>
      </c>
    </row>
    <row r="260" spans="1:4" ht="12.75" x14ac:dyDescent="0.35">
      <c r="A260" s="5">
        <v>44733</v>
      </c>
      <c r="B260" s="3" t="s">
        <v>310</v>
      </c>
      <c r="C260" s="3">
        <v>208.58</v>
      </c>
      <c r="D260" s="3">
        <v>1</v>
      </c>
    </row>
    <row r="261" spans="1:4" ht="12.75" x14ac:dyDescent="0.35">
      <c r="A261" s="4">
        <v>44582</v>
      </c>
      <c r="B261" s="3" t="s">
        <v>388</v>
      </c>
      <c r="C261" s="3">
        <v>207.93</v>
      </c>
      <c r="D261" s="3">
        <v>2</v>
      </c>
    </row>
    <row r="262" spans="1:4" ht="12.75" x14ac:dyDescent="0.35">
      <c r="A262" s="5">
        <v>44733</v>
      </c>
      <c r="B262" s="3" t="s">
        <v>377</v>
      </c>
      <c r="C262" s="3">
        <v>207.75</v>
      </c>
      <c r="D262" s="3">
        <v>1</v>
      </c>
    </row>
    <row r="263" spans="1:4" ht="12.75" x14ac:dyDescent="0.35">
      <c r="A263" s="4">
        <v>44886</v>
      </c>
      <c r="B263" s="3" t="s">
        <v>337</v>
      </c>
      <c r="C263" s="3">
        <v>207.54</v>
      </c>
      <c r="D263" s="3">
        <v>6</v>
      </c>
    </row>
    <row r="264" spans="1:4" ht="12.75" x14ac:dyDescent="0.35">
      <c r="A264" s="4">
        <v>44613</v>
      </c>
      <c r="B264" s="3" t="s">
        <v>435</v>
      </c>
      <c r="C264" s="3">
        <v>207.43</v>
      </c>
      <c r="D264" s="3">
        <v>3</v>
      </c>
    </row>
    <row r="265" spans="1:4" ht="12.75" x14ac:dyDescent="0.35">
      <c r="A265" s="5">
        <v>44733</v>
      </c>
      <c r="B265" s="3" t="s">
        <v>226</v>
      </c>
      <c r="C265" s="3">
        <v>207.29</v>
      </c>
      <c r="D265" s="3">
        <v>1</v>
      </c>
    </row>
    <row r="266" spans="1:4" ht="12.75" x14ac:dyDescent="0.35">
      <c r="A266" s="4">
        <v>44886</v>
      </c>
      <c r="B266" s="3" t="s">
        <v>103</v>
      </c>
      <c r="C266" s="3">
        <v>206.95</v>
      </c>
      <c r="D266" s="3">
        <v>6</v>
      </c>
    </row>
    <row r="267" spans="1:4" ht="12.75" x14ac:dyDescent="0.35">
      <c r="A267" s="4">
        <v>44763</v>
      </c>
      <c r="B267" s="3" t="s">
        <v>459</v>
      </c>
      <c r="C267" s="3">
        <v>206.64</v>
      </c>
      <c r="D267" s="3">
        <v>2</v>
      </c>
    </row>
    <row r="268" spans="1:4" ht="12.75" x14ac:dyDescent="0.35">
      <c r="A268" s="4">
        <v>44702</v>
      </c>
      <c r="B268" s="3" t="s">
        <v>270</v>
      </c>
      <c r="C268" s="3">
        <v>205.95</v>
      </c>
      <c r="D268" s="3">
        <v>6</v>
      </c>
    </row>
    <row r="269" spans="1:4" ht="12.75" x14ac:dyDescent="0.35">
      <c r="A269" s="4">
        <v>44613</v>
      </c>
      <c r="B269" s="3" t="s">
        <v>555</v>
      </c>
      <c r="C269" s="3">
        <v>204.24</v>
      </c>
      <c r="D269" s="3">
        <v>2</v>
      </c>
    </row>
    <row r="270" spans="1:4" ht="12.75" x14ac:dyDescent="0.35">
      <c r="A270" s="4">
        <v>44672</v>
      </c>
      <c r="B270" s="3" t="s">
        <v>414</v>
      </c>
      <c r="C270" s="3">
        <v>203.94</v>
      </c>
      <c r="D270" s="3">
        <v>2</v>
      </c>
    </row>
    <row r="271" spans="1:4" ht="12.75" x14ac:dyDescent="0.35">
      <c r="A271" s="4">
        <v>44916</v>
      </c>
      <c r="B271" s="3" t="s">
        <v>1557</v>
      </c>
      <c r="C271" s="3">
        <v>202.04</v>
      </c>
      <c r="D271" s="3">
        <v>2</v>
      </c>
    </row>
    <row r="272" spans="1:4" ht="12.75" x14ac:dyDescent="0.35">
      <c r="A272" s="5">
        <v>44733</v>
      </c>
      <c r="B272" s="3" t="s">
        <v>477</v>
      </c>
      <c r="C272" s="3">
        <v>201.32</v>
      </c>
      <c r="D272" s="3">
        <v>9</v>
      </c>
    </row>
    <row r="273" spans="1:4" ht="12.75" x14ac:dyDescent="0.35">
      <c r="A273" s="4">
        <v>44641</v>
      </c>
      <c r="B273" s="3" t="s">
        <v>336</v>
      </c>
      <c r="C273" s="3">
        <v>201.02</v>
      </c>
      <c r="D273" s="3">
        <v>2</v>
      </c>
    </row>
    <row r="274" spans="1:4" ht="12.75" x14ac:dyDescent="0.35">
      <c r="A274" s="5">
        <v>44763</v>
      </c>
      <c r="B274" s="3" t="s">
        <v>606</v>
      </c>
      <c r="C274" s="3">
        <v>200.96</v>
      </c>
      <c r="D274" s="3">
        <v>3</v>
      </c>
    </row>
    <row r="275" spans="1:4" ht="12.75" x14ac:dyDescent="0.35">
      <c r="A275" s="4">
        <v>44763</v>
      </c>
      <c r="B275" s="3" t="s">
        <v>94</v>
      </c>
      <c r="C275" s="3">
        <v>200.62</v>
      </c>
      <c r="D275" s="3">
        <v>4</v>
      </c>
    </row>
    <row r="276" spans="1:4" ht="12.75" x14ac:dyDescent="0.35">
      <c r="A276" s="4">
        <v>44825</v>
      </c>
      <c r="B276" s="3" t="s">
        <v>337</v>
      </c>
      <c r="C276" s="3">
        <v>200.13</v>
      </c>
      <c r="D276" s="3">
        <v>6</v>
      </c>
    </row>
    <row r="277" spans="1:4" ht="12.75" x14ac:dyDescent="0.35">
      <c r="A277" s="4">
        <v>44794</v>
      </c>
      <c r="B277" s="3" t="s">
        <v>392</v>
      </c>
      <c r="C277" s="3">
        <v>199.99</v>
      </c>
      <c r="D277" s="3">
        <v>1</v>
      </c>
    </row>
    <row r="278" spans="1:4" ht="12.75" x14ac:dyDescent="0.35">
      <c r="A278" s="4">
        <v>44641</v>
      </c>
      <c r="B278" s="3" t="s">
        <v>332</v>
      </c>
      <c r="C278" s="3">
        <v>199.78</v>
      </c>
      <c r="D278" s="3">
        <v>6</v>
      </c>
    </row>
    <row r="279" spans="1:4" ht="12.75" x14ac:dyDescent="0.35">
      <c r="A279" s="5">
        <v>44733</v>
      </c>
      <c r="B279" s="3" t="s">
        <v>230</v>
      </c>
      <c r="C279" s="3">
        <v>199.6</v>
      </c>
      <c r="D279" s="3">
        <v>2</v>
      </c>
    </row>
    <row r="280" spans="1:4" ht="12.75" x14ac:dyDescent="0.35">
      <c r="A280" s="4">
        <v>44582</v>
      </c>
      <c r="B280" s="3" t="s">
        <v>270</v>
      </c>
      <c r="C280" s="3">
        <v>199.02</v>
      </c>
      <c r="D280" s="3">
        <v>6</v>
      </c>
    </row>
    <row r="281" spans="1:4" ht="12.75" x14ac:dyDescent="0.35">
      <c r="A281" s="5">
        <v>44733</v>
      </c>
      <c r="B281" s="3" t="s">
        <v>332</v>
      </c>
      <c r="C281" s="3">
        <v>198.99</v>
      </c>
      <c r="D281" s="3">
        <v>6</v>
      </c>
    </row>
    <row r="282" spans="1:4" ht="12.75" x14ac:dyDescent="0.35">
      <c r="A282" s="4">
        <v>44672</v>
      </c>
      <c r="B282" s="3" t="s">
        <v>21</v>
      </c>
      <c r="C282" s="3">
        <v>198.88</v>
      </c>
      <c r="D282" s="3">
        <v>9</v>
      </c>
    </row>
    <row r="283" spans="1:4" ht="12.75" x14ac:dyDescent="0.35">
      <c r="A283" s="4">
        <v>44825</v>
      </c>
      <c r="B283" s="3" t="s">
        <v>853</v>
      </c>
      <c r="C283" s="3">
        <v>198.76</v>
      </c>
      <c r="D283" s="3">
        <v>1</v>
      </c>
    </row>
    <row r="284" spans="1:4" ht="12.75" x14ac:dyDescent="0.35">
      <c r="A284" s="4">
        <v>44613</v>
      </c>
      <c r="B284" s="3" t="s">
        <v>314</v>
      </c>
      <c r="C284" s="3">
        <v>198.59</v>
      </c>
      <c r="D284" s="3">
        <v>5</v>
      </c>
    </row>
    <row r="285" spans="1:4" ht="12.75" x14ac:dyDescent="0.35">
      <c r="A285" s="4">
        <v>44702</v>
      </c>
      <c r="B285" s="3" t="s">
        <v>277</v>
      </c>
      <c r="C285" s="3">
        <v>198.24</v>
      </c>
      <c r="D285" s="3">
        <v>1</v>
      </c>
    </row>
    <row r="286" spans="1:4" ht="12.75" x14ac:dyDescent="0.35">
      <c r="A286" s="4">
        <v>44855</v>
      </c>
      <c r="B286" s="3" t="s">
        <v>336</v>
      </c>
      <c r="C286" s="3">
        <v>196.56</v>
      </c>
      <c r="D286" s="3">
        <v>2</v>
      </c>
    </row>
    <row r="287" spans="1:4" ht="12.75" x14ac:dyDescent="0.35">
      <c r="A287" s="5">
        <v>44763</v>
      </c>
      <c r="B287" s="3" t="s">
        <v>138</v>
      </c>
      <c r="C287" s="3">
        <v>196.33</v>
      </c>
      <c r="D287" s="3">
        <v>2</v>
      </c>
    </row>
    <row r="288" spans="1:4" ht="12.75" x14ac:dyDescent="0.35">
      <c r="A288" s="4">
        <v>44613</v>
      </c>
      <c r="B288" s="3" t="s">
        <v>55</v>
      </c>
      <c r="C288" s="3">
        <v>196.24</v>
      </c>
      <c r="D288" s="3">
        <v>5</v>
      </c>
    </row>
    <row r="289" spans="1:4" ht="12.75" x14ac:dyDescent="0.35">
      <c r="A289" s="4">
        <v>44886</v>
      </c>
      <c r="B289" s="3" t="s">
        <v>314</v>
      </c>
      <c r="C289" s="3">
        <v>196.24</v>
      </c>
      <c r="D289" s="3">
        <v>5</v>
      </c>
    </row>
    <row r="290" spans="1:4" ht="12.75" x14ac:dyDescent="0.35">
      <c r="A290" s="4">
        <v>44825</v>
      </c>
      <c r="B290" s="3" t="s">
        <v>21</v>
      </c>
      <c r="C290" s="3">
        <v>196.13</v>
      </c>
      <c r="D290" s="3">
        <v>9</v>
      </c>
    </row>
    <row r="291" spans="1:4" ht="12.75" x14ac:dyDescent="0.35">
      <c r="A291" s="4">
        <v>44582</v>
      </c>
      <c r="B291" s="3" t="s">
        <v>80</v>
      </c>
      <c r="C291" s="3">
        <v>195.66</v>
      </c>
      <c r="D291" s="3">
        <v>5</v>
      </c>
    </row>
    <row r="292" spans="1:4" ht="12.75" x14ac:dyDescent="0.35">
      <c r="A292" s="4">
        <v>44582</v>
      </c>
      <c r="B292" s="3" t="s">
        <v>203</v>
      </c>
      <c r="C292" s="3">
        <v>195.45</v>
      </c>
      <c r="D292" s="3">
        <v>6</v>
      </c>
    </row>
    <row r="293" spans="1:4" ht="12.75" x14ac:dyDescent="0.35">
      <c r="A293" s="4">
        <v>44763</v>
      </c>
      <c r="B293" s="3" t="s">
        <v>8</v>
      </c>
      <c r="C293" s="3">
        <v>194.21</v>
      </c>
      <c r="D293" s="3">
        <v>2</v>
      </c>
    </row>
    <row r="294" spans="1:4" ht="12.75" x14ac:dyDescent="0.35">
      <c r="A294" s="4">
        <v>44794</v>
      </c>
      <c r="B294" s="3" t="s">
        <v>337</v>
      </c>
      <c r="C294" s="3">
        <v>193.5</v>
      </c>
      <c r="D294" s="3">
        <v>6</v>
      </c>
    </row>
    <row r="295" spans="1:4" ht="12.75" x14ac:dyDescent="0.35">
      <c r="A295" s="4">
        <v>44825</v>
      </c>
      <c r="B295" s="3" t="s">
        <v>296</v>
      </c>
      <c r="C295" s="3">
        <v>193.29</v>
      </c>
      <c r="D295" s="3">
        <v>4</v>
      </c>
    </row>
    <row r="296" spans="1:4" ht="12.75" x14ac:dyDescent="0.35">
      <c r="A296" s="4">
        <v>44613</v>
      </c>
      <c r="B296" s="3" t="s">
        <v>404</v>
      </c>
      <c r="C296" s="3">
        <v>193.21</v>
      </c>
      <c r="D296" s="3">
        <v>1</v>
      </c>
    </row>
    <row r="297" spans="1:4" ht="12.75" x14ac:dyDescent="0.35">
      <c r="A297" s="4">
        <v>44916</v>
      </c>
      <c r="B297" s="3" t="s">
        <v>135</v>
      </c>
      <c r="C297" s="3">
        <v>191.96</v>
      </c>
      <c r="D297" s="3">
        <v>4</v>
      </c>
    </row>
    <row r="298" spans="1:4" ht="12.75" x14ac:dyDescent="0.35">
      <c r="A298" s="4">
        <v>44641</v>
      </c>
      <c r="B298" s="3" t="s">
        <v>337</v>
      </c>
      <c r="C298" s="3">
        <v>191.6</v>
      </c>
      <c r="D298" s="3">
        <v>6</v>
      </c>
    </row>
    <row r="299" spans="1:4" ht="12.75" x14ac:dyDescent="0.35">
      <c r="A299" s="4">
        <v>44672</v>
      </c>
      <c r="B299" s="3" t="s">
        <v>347</v>
      </c>
      <c r="C299" s="3">
        <v>190.95</v>
      </c>
      <c r="D299" s="3">
        <v>1</v>
      </c>
    </row>
    <row r="300" spans="1:4" ht="12.75" x14ac:dyDescent="0.35">
      <c r="A300" s="4">
        <v>44916</v>
      </c>
      <c r="B300" s="3" t="s">
        <v>270</v>
      </c>
      <c r="C300" s="3">
        <v>190.89</v>
      </c>
      <c r="D300" s="3">
        <v>6</v>
      </c>
    </row>
    <row r="301" spans="1:4" ht="12.75" x14ac:dyDescent="0.35">
      <c r="A301" s="4">
        <v>44582</v>
      </c>
      <c r="B301" s="3" t="s">
        <v>191</v>
      </c>
      <c r="C301" s="3">
        <v>190.52</v>
      </c>
      <c r="D301" s="3">
        <v>8</v>
      </c>
    </row>
    <row r="302" spans="1:4" ht="12.75" x14ac:dyDescent="0.35">
      <c r="A302" s="4">
        <v>44825</v>
      </c>
      <c r="B302" s="3" t="s">
        <v>388</v>
      </c>
      <c r="C302" s="3">
        <v>189.93</v>
      </c>
      <c r="D302" s="3">
        <v>2</v>
      </c>
    </row>
    <row r="303" spans="1:4" ht="12.75" x14ac:dyDescent="0.35">
      <c r="A303" s="4">
        <v>44613</v>
      </c>
      <c r="B303" s="3" t="s">
        <v>388</v>
      </c>
      <c r="C303" s="3">
        <v>189.9</v>
      </c>
      <c r="D303" s="3">
        <v>2</v>
      </c>
    </row>
    <row r="304" spans="1:4" ht="12.75" x14ac:dyDescent="0.35">
      <c r="A304" s="5">
        <v>44733</v>
      </c>
      <c r="B304" s="3" t="s">
        <v>191</v>
      </c>
      <c r="C304" s="3">
        <v>189.46</v>
      </c>
      <c r="D304" s="3">
        <v>8</v>
      </c>
    </row>
    <row r="305" spans="1:4" ht="12.75" x14ac:dyDescent="0.35">
      <c r="A305" s="4">
        <v>44582</v>
      </c>
      <c r="B305" s="3" t="s">
        <v>264</v>
      </c>
      <c r="C305" s="3">
        <v>188.69</v>
      </c>
      <c r="D305" s="3">
        <v>1</v>
      </c>
    </row>
    <row r="306" spans="1:4" ht="12.75" x14ac:dyDescent="0.35">
      <c r="A306" s="4">
        <v>44672</v>
      </c>
      <c r="B306" s="3" t="s">
        <v>151</v>
      </c>
      <c r="C306" s="3">
        <v>188.25</v>
      </c>
      <c r="D306" s="3">
        <v>3</v>
      </c>
    </row>
    <row r="307" spans="1:4" ht="12.75" x14ac:dyDescent="0.35">
      <c r="A307" s="5">
        <v>44733</v>
      </c>
      <c r="B307" s="3" t="s">
        <v>195</v>
      </c>
      <c r="C307" s="3">
        <v>188.17</v>
      </c>
      <c r="D307" s="3">
        <v>5</v>
      </c>
    </row>
    <row r="308" spans="1:4" ht="12.75" x14ac:dyDescent="0.35">
      <c r="A308" s="4">
        <v>44886</v>
      </c>
      <c r="B308" s="3" t="s">
        <v>16</v>
      </c>
      <c r="C308" s="3">
        <v>187.23</v>
      </c>
      <c r="D308" s="3">
        <v>7</v>
      </c>
    </row>
    <row r="309" spans="1:4" ht="12.75" x14ac:dyDescent="0.35">
      <c r="A309" s="4">
        <v>44641</v>
      </c>
      <c r="B309" s="3" t="s">
        <v>23</v>
      </c>
      <c r="C309" s="3">
        <v>187.12</v>
      </c>
      <c r="D309" s="3">
        <v>1</v>
      </c>
    </row>
    <row r="310" spans="1:4" ht="12.75" x14ac:dyDescent="0.35">
      <c r="A310" s="4">
        <v>44702</v>
      </c>
      <c r="B310" s="3" t="s">
        <v>230</v>
      </c>
      <c r="C310" s="3">
        <v>186.35</v>
      </c>
      <c r="D310" s="3">
        <v>2</v>
      </c>
    </row>
    <row r="311" spans="1:4" ht="12.75" x14ac:dyDescent="0.35">
      <c r="A311" s="4">
        <v>44613</v>
      </c>
      <c r="B311" s="3" t="s">
        <v>270</v>
      </c>
      <c r="C311" s="3">
        <v>186.25</v>
      </c>
      <c r="D311" s="3">
        <v>6</v>
      </c>
    </row>
    <row r="312" spans="1:4" ht="12.75" x14ac:dyDescent="0.35">
      <c r="A312" s="5">
        <v>44763</v>
      </c>
      <c r="B312" s="3" t="s">
        <v>296</v>
      </c>
      <c r="C312" s="3">
        <v>185.43</v>
      </c>
      <c r="D312" s="3">
        <v>4</v>
      </c>
    </row>
    <row r="313" spans="1:4" ht="12.75" x14ac:dyDescent="0.35">
      <c r="A313" s="4">
        <v>44794</v>
      </c>
      <c r="B313" s="3" t="s">
        <v>332</v>
      </c>
      <c r="C313" s="3">
        <v>185.41</v>
      </c>
      <c r="D313" s="3">
        <v>6</v>
      </c>
    </row>
    <row r="314" spans="1:4" ht="12.75" x14ac:dyDescent="0.35">
      <c r="A314" s="4">
        <v>44916</v>
      </c>
      <c r="B314" s="3" t="s">
        <v>16</v>
      </c>
      <c r="C314" s="3">
        <v>185.36</v>
      </c>
      <c r="D314" s="3">
        <v>7</v>
      </c>
    </row>
    <row r="315" spans="1:4" ht="12.75" x14ac:dyDescent="0.35">
      <c r="A315" s="5">
        <v>44733</v>
      </c>
      <c r="B315" s="3" t="s">
        <v>296</v>
      </c>
      <c r="C315" s="3">
        <v>185.3</v>
      </c>
      <c r="D315" s="3">
        <v>4</v>
      </c>
    </row>
    <row r="316" spans="1:4" ht="12.75" x14ac:dyDescent="0.35">
      <c r="A316" s="4">
        <v>44672</v>
      </c>
      <c r="B316" s="3" t="s">
        <v>8</v>
      </c>
      <c r="C316" s="3">
        <v>185.13</v>
      </c>
      <c r="D316" s="3">
        <v>2</v>
      </c>
    </row>
    <row r="317" spans="1:4" ht="12.75" x14ac:dyDescent="0.35">
      <c r="A317" s="4">
        <v>44672</v>
      </c>
      <c r="B317" s="3" t="s">
        <v>332</v>
      </c>
      <c r="C317" s="3">
        <v>185.09</v>
      </c>
      <c r="D317" s="3">
        <v>6</v>
      </c>
    </row>
    <row r="318" spans="1:4" ht="12.75" x14ac:dyDescent="0.35">
      <c r="A318" s="4">
        <v>44825</v>
      </c>
      <c r="B318" s="3" t="s">
        <v>240</v>
      </c>
      <c r="C318" s="3">
        <v>184.7</v>
      </c>
      <c r="D318" s="3">
        <v>5</v>
      </c>
    </row>
    <row r="319" spans="1:4" ht="12.75" x14ac:dyDescent="0.35">
      <c r="A319" s="5">
        <v>44733</v>
      </c>
      <c r="B319" s="3" t="s">
        <v>331</v>
      </c>
      <c r="C319" s="3">
        <v>183.69</v>
      </c>
      <c r="D319" s="3">
        <v>2</v>
      </c>
    </row>
    <row r="320" spans="1:4" ht="12.75" x14ac:dyDescent="0.35">
      <c r="A320" s="4">
        <v>44855</v>
      </c>
      <c r="B320" s="3" t="s">
        <v>502</v>
      </c>
      <c r="C320" s="3">
        <v>183.68</v>
      </c>
      <c r="D320" s="3">
        <v>1</v>
      </c>
    </row>
    <row r="321" spans="1:4" ht="12.75" x14ac:dyDescent="0.35">
      <c r="A321" s="4">
        <v>44855</v>
      </c>
      <c r="B321" s="3" t="s">
        <v>65</v>
      </c>
      <c r="C321" s="3">
        <v>183.5</v>
      </c>
      <c r="D321" s="3">
        <v>2</v>
      </c>
    </row>
    <row r="322" spans="1:4" ht="12.75" x14ac:dyDescent="0.35">
      <c r="A322" s="4">
        <v>44613</v>
      </c>
      <c r="B322" s="3" t="s">
        <v>191</v>
      </c>
      <c r="C322" s="3">
        <v>183.29</v>
      </c>
      <c r="D322" s="3">
        <v>8</v>
      </c>
    </row>
    <row r="323" spans="1:4" ht="12.75" x14ac:dyDescent="0.35">
      <c r="A323" s="4">
        <v>44825</v>
      </c>
      <c r="B323" s="3" t="s">
        <v>16</v>
      </c>
      <c r="C323" s="3">
        <v>183.03</v>
      </c>
      <c r="D323" s="3">
        <v>7</v>
      </c>
    </row>
    <row r="324" spans="1:4" ht="12.75" x14ac:dyDescent="0.35">
      <c r="A324" s="4">
        <v>44855</v>
      </c>
      <c r="B324" s="3" t="s">
        <v>16</v>
      </c>
      <c r="C324" s="3">
        <v>182.84</v>
      </c>
      <c r="D324" s="3">
        <v>7</v>
      </c>
    </row>
    <row r="325" spans="1:4" ht="12.75" x14ac:dyDescent="0.35">
      <c r="A325" s="4">
        <v>44763</v>
      </c>
      <c r="B325" s="3" t="s">
        <v>195</v>
      </c>
      <c r="C325" s="3">
        <v>182.35</v>
      </c>
      <c r="D325" s="3">
        <v>5</v>
      </c>
    </row>
    <row r="326" spans="1:4" ht="12.75" x14ac:dyDescent="0.35">
      <c r="A326" s="5">
        <v>44733</v>
      </c>
      <c r="B326" s="3" t="s">
        <v>682</v>
      </c>
      <c r="C326" s="3">
        <v>182.07</v>
      </c>
      <c r="D326" s="3">
        <v>9</v>
      </c>
    </row>
    <row r="327" spans="1:4" ht="12.75" x14ac:dyDescent="0.35">
      <c r="A327" s="5">
        <v>44763</v>
      </c>
      <c r="B327" s="3" t="s">
        <v>226</v>
      </c>
      <c r="C327" s="3">
        <v>181.51</v>
      </c>
      <c r="D327" s="3">
        <v>1</v>
      </c>
    </row>
    <row r="328" spans="1:4" ht="12.75" x14ac:dyDescent="0.35">
      <c r="A328" s="4">
        <v>44855</v>
      </c>
      <c r="B328" s="3" t="s">
        <v>500</v>
      </c>
      <c r="C328" s="3">
        <v>180.26</v>
      </c>
      <c r="D328" s="3">
        <v>7</v>
      </c>
    </row>
    <row r="329" spans="1:4" ht="12.75" x14ac:dyDescent="0.35">
      <c r="A329" s="4">
        <v>44702</v>
      </c>
      <c r="B329" s="3" t="s">
        <v>606</v>
      </c>
      <c r="C329" s="3">
        <v>179.44</v>
      </c>
      <c r="D329" s="3">
        <v>3</v>
      </c>
    </row>
    <row r="330" spans="1:4" ht="12.75" x14ac:dyDescent="0.35">
      <c r="A330" s="4">
        <v>44763</v>
      </c>
      <c r="B330" s="3" t="s">
        <v>337</v>
      </c>
      <c r="C330" s="3">
        <v>179.34</v>
      </c>
      <c r="D330" s="3">
        <v>6</v>
      </c>
    </row>
    <row r="331" spans="1:4" ht="12.75" x14ac:dyDescent="0.35">
      <c r="A331" s="4">
        <v>44641</v>
      </c>
      <c r="B331" s="3" t="s">
        <v>74</v>
      </c>
      <c r="C331" s="3">
        <v>178.63</v>
      </c>
      <c r="D331" s="3">
        <v>2</v>
      </c>
    </row>
    <row r="332" spans="1:4" ht="12.75" x14ac:dyDescent="0.35">
      <c r="A332" s="4">
        <v>44582</v>
      </c>
      <c r="B332" s="3" t="s">
        <v>337</v>
      </c>
      <c r="C332" s="3">
        <v>177.95</v>
      </c>
      <c r="D332" s="3">
        <v>6</v>
      </c>
    </row>
    <row r="333" spans="1:4" ht="12.75" x14ac:dyDescent="0.35">
      <c r="A333" s="4">
        <v>44613</v>
      </c>
      <c r="B333" s="3" t="s">
        <v>350</v>
      </c>
      <c r="C333" s="3">
        <v>177.79</v>
      </c>
      <c r="D333" s="3">
        <v>1</v>
      </c>
    </row>
    <row r="334" spans="1:4" ht="12.75" x14ac:dyDescent="0.35">
      <c r="A334" s="4">
        <v>44702</v>
      </c>
      <c r="B334" s="3" t="s">
        <v>135</v>
      </c>
      <c r="C334" s="3">
        <v>177.74</v>
      </c>
      <c r="D334" s="3">
        <v>4</v>
      </c>
    </row>
    <row r="335" spans="1:4" ht="12.75" x14ac:dyDescent="0.35">
      <c r="A335" s="4">
        <v>44702</v>
      </c>
      <c r="B335" s="3" t="s">
        <v>456</v>
      </c>
      <c r="C335" s="3">
        <v>177.42</v>
      </c>
      <c r="D335" s="3">
        <v>4</v>
      </c>
    </row>
    <row r="336" spans="1:4" ht="12.75" x14ac:dyDescent="0.35">
      <c r="A336" s="4">
        <v>44582</v>
      </c>
      <c r="B336" s="3" t="s">
        <v>392</v>
      </c>
      <c r="C336" s="3">
        <v>177.37</v>
      </c>
      <c r="D336" s="3">
        <v>1</v>
      </c>
    </row>
    <row r="337" spans="1:4" ht="12.75" x14ac:dyDescent="0.35">
      <c r="A337" s="4">
        <v>44855</v>
      </c>
      <c r="B337" s="3" t="s">
        <v>94</v>
      </c>
      <c r="C337" s="3">
        <v>175.74</v>
      </c>
      <c r="D337" s="3">
        <v>4</v>
      </c>
    </row>
    <row r="338" spans="1:4" ht="12.75" x14ac:dyDescent="0.35">
      <c r="A338" s="4">
        <v>44886</v>
      </c>
      <c r="B338" s="3" t="s">
        <v>500</v>
      </c>
      <c r="C338" s="3">
        <v>175.32</v>
      </c>
      <c r="D338" s="3">
        <v>7</v>
      </c>
    </row>
    <row r="339" spans="1:4" ht="12.75" x14ac:dyDescent="0.35">
      <c r="A339" s="4">
        <v>44794</v>
      </c>
      <c r="B339" s="3" t="s">
        <v>66</v>
      </c>
      <c r="C339" s="3">
        <v>174.05</v>
      </c>
      <c r="D339" s="3">
        <v>3</v>
      </c>
    </row>
    <row r="340" spans="1:4" ht="12.75" x14ac:dyDescent="0.35">
      <c r="A340" s="5">
        <v>44733</v>
      </c>
      <c r="B340" s="3" t="s">
        <v>180</v>
      </c>
      <c r="C340" s="3">
        <v>173.92</v>
      </c>
      <c r="D340" s="3">
        <v>1</v>
      </c>
    </row>
    <row r="341" spans="1:4" ht="12.75" x14ac:dyDescent="0.35">
      <c r="A341" s="4">
        <v>44672</v>
      </c>
      <c r="B341" s="3" t="s">
        <v>477</v>
      </c>
      <c r="C341" s="3">
        <v>173.6</v>
      </c>
      <c r="D341" s="3">
        <v>9</v>
      </c>
    </row>
    <row r="342" spans="1:4" ht="12.75" x14ac:dyDescent="0.35">
      <c r="A342" s="4">
        <v>44613</v>
      </c>
      <c r="B342" s="3" t="s">
        <v>347</v>
      </c>
      <c r="C342" s="3">
        <v>173.53</v>
      </c>
      <c r="D342" s="3">
        <v>1</v>
      </c>
    </row>
    <row r="343" spans="1:4" ht="12.75" x14ac:dyDescent="0.35">
      <c r="A343" s="4">
        <v>44886</v>
      </c>
      <c r="B343" s="3" t="s">
        <v>183</v>
      </c>
      <c r="C343" s="3">
        <v>172.87</v>
      </c>
      <c r="D343" s="3">
        <v>1</v>
      </c>
    </row>
    <row r="344" spans="1:4" ht="12.75" x14ac:dyDescent="0.35">
      <c r="A344" s="4">
        <v>44672</v>
      </c>
      <c r="B344" s="3" t="s">
        <v>74</v>
      </c>
      <c r="C344" s="3">
        <v>172</v>
      </c>
      <c r="D344" s="3">
        <v>2</v>
      </c>
    </row>
    <row r="345" spans="1:4" ht="12.75" x14ac:dyDescent="0.35">
      <c r="A345" s="4">
        <v>44825</v>
      </c>
      <c r="B345" s="3" t="s">
        <v>65</v>
      </c>
      <c r="C345" s="3">
        <v>171.92</v>
      </c>
      <c r="D345" s="3">
        <v>2</v>
      </c>
    </row>
    <row r="346" spans="1:4" ht="12.75" x14ac:dyDescent="0.35">
      <c r="A346" s="5">
        <v>44733</v>
      </c>
      <c r="B346" s="3" t="s">
        <v>777</v>
      </c>
      <c r="C346" s="3">
        <v>171.7</v>
      </c>
      <c r="D346" s="3">
        <v>3</v>
      </c>
    </row>
    <row r="347" spans="1:4" ht="12.75" x14ac:dyDescent="0.35">
      <c r="A347" s="4">
        <v>44641</v>
      </c>
      <c r="B347" s="3" t="s">
        <v>360</v>
      </c>
      <c r="C347" s="3">
        <v>171.19</v>
      </c>
      <c r="D347" s="3">
        <v>1</v>
      </c>
    </row>
    <row r="348" spans="1:4" ht="12.75" x14ac:dyDescent="0.35">
      <c r="A348" s="4">
        <v>44672</v>
      </c>
      <c r="B348" s="3" t="s">
        <v>343</v>
      </c>
      <c r="C348" s="3">
        <v>171.1</v>
      </c>
      <c r="D348" s="3">
        <v>3</v>
      </c>
    </row>
    <row r="349" spans="1:4" ht="12.75" x14ac:dyDescent="0.35">
      <c r="A349" s="4">
        <v>44672</v>
      </c>
      <c r="B349" s="3" t="s">
        <v>55</v>
      </c>
      <c r="C349" s="3">
        <v>170.99</v>
      </c>
      <c r="D349" s="3">
        <v>5</v>
      </c>
    </row>
    <row r="350" spans="1:4" ht="12.75" x14ac:dyDescent="0.35">
      <c r="A350" s="4">
        <v>44582</v>
      </c>
      <c r="B350" s="3" t="s">
        <v>48</v>
      </c>
      <c r="C350" s="3">
        <v>170.72</v>
      </c>
      <c r="D350" s="3">
        <v>4</v>
      </c>
    </row>
    <row r="351" spans="1:4" ht="12.75" x14ac:dyDescent="0.35">
      <c r="A351" s="5">
        <v>44763</v>
      </c>
      <c r="B351" s="3" t="s">
        <v>332</v>
      </c>
      <c r="C351" s="3">
        <v>170.65</v>
      </c>
      <c r="D351" s="3">
        <v>6</v>
      </c>
    </row>
    <row r="352" spans="1:4" ht="12.75" x14ac:dyDescent="0.35">
      <c r="A352" s="4">
        <v>44613</v>
      </c>
      <c r="B352" s="3" t="s">
        <v>531</v>
      </c>
      <c r="C352" s="3">
        <v>170.41</v>
      </c>
      <c r="D352" s="3">
        <v>3</v>
      </c>
    </row>
    <row r="353" spans="1:4" ht="12.75" x14ac:dyDescent="0.35">
      <c r="A353" s="4">
        <v>44794</v>
      </c>
      <c r="B353" s="3" t="s">
        <v>55</v>
      </c>
      <c r="C353" s="3">
        <v>169.54</v>
      </c>
      <c r="D353" s="3">
        <v>5</v>
      </c>
    </row>
    <row r="354" spans="1:4" ht="12.75" x14ac:dyDescent="0.35">
      <c r="A354" s="4">
        <v>44825</v>
      </c>
      <c r="B354" s="3" t="s">
        <v>94</v>
      </c>
      <c r="C354" s="3">
        <v>169.25</v>
      </c>
      <c r="D354" s="3">
        <v>4</v>
      </c>
    </row>
    <row r="355" spans="1:4" ht="12.75" x14ac:dyDescent="0.35">
      <c r="A355" s="4">
        <v>44613</v>
      </c>
      <c r="B355" s="3" t="s">
        <v>180</v>
      </c>
      <c r="C355" s="3">
        <v>168.73</v>
      </c>
      <c r="D355" s="3">
        <v>1</v>
      </c>
    </row>
    <row r="356" spans="1:4" ht="12.75" x14ac:dyDescent="0.35">
      <c r="A356" s="4">
        <v>44582</v>
      </c>
      <c r="B356" s="3" t="s">
        <v>347</v>
      </c>
      <c r="C356" s="3">
        <v>168.49</v>
      </c>
      <c r="D356" s="3">
        <v>1</v>
      </c>
    </row>
    <row r="357" spans="1:4" ht="12.75" x14ac:dyDescent="0.35">
      <c r="A357" s="4">
        <v>44702</v>
      </c>
      <c r="B357" s="3" t="s">
        <v>109</v>
      </c>
      <c r="C357" s="3">
        <v>168.3</v>
      </c>
      <c r="D357" s="3">
        <v>1</v>
      </c>
    </row>
    <row r="358" spans="1:4" ht="12.75" x14ac:dyDescent="0.35">
      <c r="A358" s="4">
        <v>44794</v>
      </c>
      <c r="B358" s="3" t="s">
        <v>45</v>
      </c>
      <c r="C358" s="3">
        <v>168.18</v>
      </c>
      <c r="D358" s="3">
        <v>1</v>
      </c>
    </row>
    <row r="359" spans="1:4" ht="12.75" x14ac:dyDescent="0.35">
      <c r="A359" s="4">
        <v>44582</v>
      </c>
      <c r="B359" s="3" t="s">
        <v>11</v>
      </c>
      <c r="C359" s="3">
        <v>167.97</v>
      </c>
      <c r="D359" s="3">
        <v>2</v>
      </c>
    </row>
    <row r="360" spans="1:4" ht="12.75" x14ac:dyDescent="0.35">
      <c r="A360" s="4">
        <v>44763</v>
      </c>
      <c r="B360" s="3" t="s">
        <v>240</v>
      </c>
      <c r="C360" s="3">
        <v>167.9</v>
      </c>
      <c r="D360" s="3">
        <v>5</v>
      </c>
    </row>
    <row r="361" spans="1:4" ht="12.75" x14ac:dyDescent="0.35">
      <c r="A361" s="4">
        <v>44702</v>
      </c>
      <c r="B361" s="3" t="s">
        <v>500</v>
      </c>
      <c r="C361" s="3">
        <v>167.62</v>
      </c>
      <c r="D361" s="3">
        <v>7</v>
      </c>
    </row>
    <row r="362" spans="1:4" ht="12.75" x14ac:dyDescent="0.35">
      <c r="A362" s="4">
        <v>44672</v>
      </c>
      <c r="B362" s="3" t="s">
        <v>500</v>
      </c>
      <c r="C362" s="3">
        <v>166.95</v>
      </c>
      <c r="D362" s="3">
        <v>7</v>
      </c>
    </row>
    <row r="363" spans="1:4" ht="12.75" x14ac:dyDescent="0.35">
      <c r="A363" s="4">
        <v>44855</v>
      </c>
      <c r="B363" s="3" t="s">
        <v>1115</v>
      </c>
      <c r="C363" s="3">
        <v>166.87</v>
      </c>
      <c r="D363" s="3">
        <v>1</v>
      </c>
    </row>
    <row r="364" spans="1:4" ht="12.75" x14ac:dyDescent="0.35">
      <c r="A364" s="4">
        <v>44582</v>
      </c>
      <c r="B364" s="3" t="s">
        <v>314</v>
      </c>
      <c r="C364" s="3">
        <v>166.37</v>
      </c>
      <c r="D364" s="3">
        <v>5</v>
      </c>
    </row>
    <row r="365" spans="1:4" ht="12.75" x14ac:dyDescent="0.35">
      <c r="A365" s="4">
        <v>44702</v>
      </c>
      <c r="B365" s="3" t="s">
        <v>23</v>
      </c>
      <c r="C365" s="3">
        <v>166.3</v>
      </c>
      <c r="D365" s="3">
        <v>1</v>
      </c>
    </row>
    <row r="366" spans="1:4" ht="12.75" x14ac:dyDescent="0.35">
      <c r="A366" s="5">
        <v>44733</v>
      </c>
      <c r="B366" s="3" t="s">
        <v>567</v>
      </c>
      <c r="C366" s="3">
        <v>165.9</v>
      </c>
      <c r="D366" s="3">
        <v>1</v>
      </c>
    </row>
    <row r="367" spans="1:4" ht="12.75" x14ac:dyDescent="0.35">
      <c r="A367" s="4">
        <v>44613</v>
      </c>
      <c r="B367" s="3" t="s">
        <v>215</v>
      </c>
      <c r="C367" s="3">
        <v>165.76</v>
      </c>
      <c r="D367" s="3">
        <v>7</v>
      </c>
    </row>
    <row r="368" spans="1:4" ht="12.75" x14ac:dyDescent="0.35">
      <c r="A368" s="4">
        <v>44641</v>
      </c>
      <c r="B368" s="3" t="s">
        <v>218</v>
      </c>
      <c r="C368" s="3">
        <v>165.75</v>
      </c>
      <c r="D368" s="3">
        <v>1</v>
      </c>
    </row>
    <row r="369" spans="1:4" ht="12.75" x14ac:dyDescent="0.35">
      <c r="A369" s="4">
        <v>44672</v>
      </c>
      <c r="B369" s="3" t="s">
        <v>135</v>
      </c>
      <c r="C369" s="3">
        <v>165.52</v>
      </c>
      <c r="D369" s="3">
        <v>4</v>
      </c>
    </row>
    <row r="370" spans="1:4" ht="12.75" x14ac:dyDescent="0.35">
      <c r="A370" s="4">
        <v>44582</v>
      </c>
      <c r="B370" s="3" t="s">
        <v>69</v>
      </c>
      <c r="C370" s="3">
        <v>165.2</v>
      </c>
      <c r="D370" s="3">
        <v>10</v>
      </c>
    </row>
    <row r="371" spans="1:4" ht="12.75" x14ac:dyDescent="0.35">
      <c r="A371" s="4">
        <v>44794</v>
      </c>
      <c r="B371" s="3" t="s">
        <v>675</v>
      </c>
      <c r="C371" s="3">
        <v>165.2</v>
      </c>
      <c r="D371" s="3">
        <v>5</v>
      </c>
    </row>
    <row r="372" spans="1:4" ht="12.75" x14ac:dyDescent="0.35">
      <c r="A372" s="4">
        <v>44855</v>
      </c>
      <c r="B372" s="3" t="s">
        <v>1557</v>
      </c>
      <c r="C372" s="3">
        <v>165.05</v>
      </c>
      <c r="D372" s="3">
        <v>2</v>
      </c>
    </row>
    <row r="373" spans="1:4" ht="12.75" x14ac:dyDescent="0.35">
      <c r="A373" s="4">
        <v>44613</v>
      </c>
      <c r="B373" s="3" t="s">
        <v>459</v>
      </c>
      <c r="C373" s="3">
        <v>164.53</v>
      </c>
      <c r="D373" s="3">
        <v>2</v>
      </c>
    </row>
    <row r="374" spans="1:4" ht="12.75" x14ac:dyDescent="0.35">
      <c r="A374" s="5">
        <v>44733</v>
      </c>
      <c r="B374" s="3" t="s">
        <v>931</v>
      </c>
      <c r="C374" s="3">
        <v>164.29</v>
      </c>
      <c r="D374" s="3">
        <v>1</v>
      </c>
    </row>
    <row r="375" spans="1:4" ht="12.75" x14ac:dyDescent="0.35">
      <c r="A375" s="4">
        <v>44886</v>
      </c>
      <c r="B375" s="3" t="s">
        <v>10</v>
      </c>
      <c r="C375" s="3">
        <v>164.23</v>
      </c>
      <c r="D375" s="3">
        <v>1</v>
      </c>
    </row>
    <row r="376" spans="1:4" ht="12.75" x14ac:dyDescent="0.35">
      <c r="A376" s="4">
        <v>44672</v>
      </c>
      <c r="B376" s="3" t="s">
        <v>237</v>
      </c>
      <c r="C376" s="3">
        <v>164.06</v>
      </c>
      <c r="D376" s="3">
        <v>3</v>
      </c>
    </row>
    <row r="377" spans="1:4" ht="12.75" x14ac:dyDescent="0.35">
      <c r="A377" s="4">
        <v>44672</v>
      </c>
      <c r="B377" s="3" t="s">
        <v>337</v>
      </c>
      <c r="C377" s="3">
        <v>163.89</v>
      </c>
      <c r="D377" s="3">
        <v>6</v>
      </c>
    </row>
    <row r="378" spans="1:4" ht="12.75" x14ac:dyDescent="0.35">
      <c r="A378" s="4">
        <v>44672</v>
      </c>
      <c r="B378" s="3" t="s">
        <v>218</v>
      </c>
      <c r="C378" s="3">
        <v>163.84</v>
      </c>
      <c r="D378" s="3">
        <v>1</v>
      </c>
    </row>
    <row r="379" spans="1:4" ht="12.75" x14ac:dyDescent="0.35">
      <c r="A379" s="4">
        <v>44613</v>
      </c>
      <c r="B379" s="3" t="s">
        <v>135</v>
      </c>
      <c r="C379" s="3">
        <v>163.69999999999999</v>
      </c>
      <c r="D379" s="3">
        <v>4</v>
      </c>
    </row>
    <row r="380" spans="1:4" ht="12.75" x14ac:dyDescent="0.35">
      <c r="A380" s="4">
        <v>44702</v>
      </c>
      <c r="B380" s="3" t="s">
        <v>459</v>
      </c>
      <c r="C380" s="3">
        <v>163.69</v>
      </c>
      <c r="D380" s="3">
        <v>2</v>
      </c>
    </row>
    <row r="381" spans="1:4" ht="12.75" x14ac:dyDescent="0.35">
      <c r="A381" s="4">
        <v>44702</v>
      </c>
      <c r="B381" s="3" t="s">
        <v>715</v>
      </c>
      <c r="C381" s="3">
        <v>163.59</v>
      </c>
      <c r="D381" s="3">
        <v>1</v>
      </c>
    </row>
    <row r="382" spans="1:4" ht="12.75" x14ac:dyDescent="0.35">
      <c r="A382" s="4">
        <v>44641</v>
      </c>
      <c r="B382" s="3" t="s">
        <v>180</v>
      </c>
      <c r="C382" s="3">
        <v>163.12</v>
      </c>
      <c r="D382" s="3">
        <v>1</v>
      </c>
    </row>
    <row r="383" spans="1:4" ht="12.75" x14ac:dyDescent="0.35">
      <c r="A383" s="5">
        <v>44763</v>
      </c>
      <c r="B383" s="3" t="s">
        <v>377</v>
      </c>
      <c r="C383" s="3">
        <v>163.02000000000001</v>
      </c>
      <c r="D383" s="3">
        <v>1</v>
      </c>
    </row>
    <row r="384" spans="1:4" ht="12.75" x14ac:dyDescent="0.35">
      <c r="A384" s="4">
        <v>44582</v>
      </c>
      <c r="B384" s="3" t="s">
        <v>10</v>
      </c>
      <c r="C384" s="3">
        <v>162.97999999999999</v>
      </c>
      <c r="D384" s="3">
        <v>1</v>
      </c>
    </row>
    <row r="385" spans="1:4" ht="12.75" x14ac:dyDescent="0.35">
      <c r="A385" s="4">
        <v>44613</v>
      </c>
      <c r="B385" s="3" t="s">
        <v>594</v>
      </c>
      <c r="C385" s="3">
        <v>162.56</v>
      </c>
      <c r="D385" s="3">
        <v>4</v>
      </c>
    </row>
    <row r="386" spans="1:4" ht="12.75" x14ac:dyDescent="0.35">
      <c r="A386" s="4">
        <v>44702</v>
      </c>
      <c r="B386" s="3" t="s">
        <v>453</v>
      </c>
      <c r="C386" s="3">
        <v>162.31</v>
      </c>
      <c r="D386" s="3">
        <v>1</v>
      </c>
    </row>
    <row r="387" spans="1:4" ht="12.75" x14ac:dyDescent="0.35">
      <c r="A387" s="4">
        <v>44916</v>
      </c>
      <c r="B387" s="3" t="s">
        <v>55</v>
      </c>
      <c r="C387" s="3">
        <v>162.29</v>
      </c>
      <c r="D387" s="3">
        <v>5</v>
      </c>
    </row>
    <row r="388" spans="1:4" ht="12.75" x14ac:dyDescent="0.35">
      <c r="A388" s="4">
        <v>44855</v>
      </c>
      <c r="B388" s="3" t="s">
        <v>387</v>
      </c>
      <c r="C388" s="3">
        <v>162.19999999999999</v>
      </c>
      <c r="D388" s="3">
        <v>7</v>
      </c>
    </row>
    <row r="389" spans="1:4" ht="12.75" x14ac:dyDescent="0.35">
      <c r="A389" s="4">
        <v>44825</v>
      </c>
      <c r="B389" s="3" t="s">
        <v>336</v>
      </c>
      <c r="C389" s="3">
        <v>161.97</v>
      </c>
      <c r="D389" s="3">
        <v>2</v>
      </c>
    </row>
    <row r="390" spans="1:4" ht="12.75" x14ac:dyDescent="0.35">
      <c r="A390" s="4">
        <v>44672</v>
      </c>
      <c r="B390" s="3" t="s">
        <v>203</v>
      </c>
      <c r="C390" s="3">
        <v>161.34</v>
      </c>
      <c r="D390" s="3">
        <v>6</v>
      </c>
    </row>
    <row r="391" spans="1:4" ht="12.75" x14ac:dyDescent="0.35">
      <c r="A391" s="4">
        <v>44794</v>
      </c>
      <c r="B391" s="3" t="s">
        <v>931</v>
      </c>
      <c r="C391" s="3">
        <v>161.11000000000001</v>
      </c>
      <c r="D391" s="3">
        <v>1</v>
      </c>
    </row>
    <row r="392" spans="1:4" ht="12.75" x14ac:dyDescent="0.35">
      <c r="A392" s="4">
        <v>44886</v>
      </c>
      <c r="B392" s="3" t="s">
        <v>392</v>
      </c>
      <c r="C392" s="3">
        <v>160.88999999999999</v>
      </c>
      <c r="D392" s="3">
        <v>1</v>
      </c>
    </row>
    <row r="393" spans="1:4" ht="12.75" x14ac:dyDescent="0.35">
      <c r="A393" s="4">
        <v>44702</v>
      </c>
      <c r="B393" s="3" t="s">
        <v>139</v>
      </c>
      <c r="C393" s="3">
        <v>160.79</v>
      </c>
      <c r="D393" s="3">
        <v>2</v>
      </c>
    </row>
    <row r="394" spans="1:4" ht="12.75" x14ac:dyDescent="0.35">
      <c r="A394" s="4">
        <v>44702</v>
      </c>
      <c r="B394" s="3" t="s">
        <v>226</v>
      </c>
      <c r="C394" s="3">
        <v>160.37</v>
      </c>
      <c r="D394" s="3">
        <v>1</v>
      </c>
    </row>
    <row r="395" spans="1:4" ht="12.75" x14ac:dyDescent="0.35">
      <c r="A395" s="4">
        <v>44763</v>
      </c>
      <c r="B395" s="3" t="s">
        <v>55</v>
      </c>
      <c r="C395" s="3">
        <v>160.35</v>
      </c>
      <c r="D395" s="3">
        <v>5</v>
      </c>
    </row>
    <row r="396" spans="1:4" ht="12.75" x14ac:dyDescent="0.35">
      <c r="A396" s="4">
        <v>44641</v>
      </c>
      <c r="B396" s="3" t="s">
        <v>14</v>
      </c>
      <c r="C396" s="3">
        <v>160.16999999999999</v>
      </c>
      <c r="D396" s="3">
        <v>2</v>
      </c>
    </row>
    <row r="397" spans="1:4" ht="12.75" x14ac:dyDescent="0.35">
      <c r="A397" s="4">
        <v>44582</v>
      </c>
      <c r="B397" s="3" t="s">
        <v>135</v>
      </c>
      <c r="C397" s="3">
        <v>159.88999999999999</v>
      </c>
      <c r="D397" s="3">
        <v>4</v>
      </c>
    </row>
    <row r="398" spans="1:4" ht="12.75" x14ac:dyDescent="0.35">
      <c r="A398" s="4">
        <v>44825</v>
      </c>
      <c r="B398" s="3" t="s">
        <v>487</v>
      </c>
      <c r="C398" s="3">
        <v>159.71</v>
      </c>
      <c r="D398" s="3">
        <v>2</v>
      </c>
    </row>
    <row r="399" spans="1:4" ht="12.75" x14ac:dyDescent="0.35">
      <c r="A399" s="4">
        <v>44794</v>
      </c>
      <c r="B399" s="3" t="s">
        <v>191</v>
      </c>
      <c r="C399" s="3">
        <v>159.69999999999999</v>
      </c>
      <c r="D399" s="3">
        <v>8</v>
      </c>
    </row>
    <row r="400" spans="1:4" ht="12.75" x14ac:dyDescent="0.35">
      <c r="A400" s="4">
        <v>44794</v>
      </c>
      <c r="B400" s="3" t="s">
        <v>65</v>
      </c>
      <c r="C400" s="3">
        <v>158.33000000000001</v>
      </c>
      <c r="D400" s="3">
        <v>2</v>
      </c>
    </row>
    <row r="401" spans="1:4" ht="12.75" x14ac:dyDescent="0.35">
      <c r="A401" s="4">
        <v>44702</v>
      </c>
      <c r="B401" s="3" t="s">
        <v>237</v>
      </c>
      <c r="C401" s="3">
        <v>158.32</v>
      </c>
      <c r="D401" s="3">
        <v>3</v>
      </c>
    </row>
    <row r="402" spans="1:4" ht="12.75" x14ac:dyDescent="0.35">
      <c r="A402" s="4">
        <v>44825</v>
      </c>
      <c r="B402" s="3" t="s">
        <v>10</v>
      </c>
      <c r="C402" s="3">
        <v>158.03</v>
      </c>
      <c r="D402" s="3">
        <v>1</v>
      </c>
    </row>
    <row r="403" spans="1:4" ht="12.75" x14ac:dyDescent="0.35">
      <c r="A403" s="4">
        <v>44794</v>
      </c>
      <c r="B403" s="3" t="s">
        <v>16</v>
      </c>
      <c r="C403" s="3">
        <v>157.91999999999999</v>
      </c>
      <c r="D403" s="3">
        <v>7</v>
      </c>
    </row>
    <row r="404" spans="1:4" ht="12.75" x14ac:dyDescent="0.35">
      <c r="A404" s="4">
        <v>44702</v>
      </c>
      <c r="B404" s="3" t="s">
        <v>274</v>
      </c>
      <c r="C404" s="3">
        <v>157.91</v>
      </c>
      <c r="D404" s="3">
        <v>1</v>
      </c>
    </row>
    <row r="405" spans="1:4" ht="12.75" x14ac:dyDescent="0.35">
      <c r="A405" s="5">
        <v>44733</v>
      </c>
      <c r="B405" s="3" t="s">
        <v>55</v>
      </c>
      <c r="C405" s="3">
        <v>157.80000000000001</v>
      </c>
      <c r="D405" s="3">
        <v>5</v>
      </c>
    </row>
    <row r="406" spans="1:4" ht="12.75" x14ac:dyDescent="0.35">
      <c r="A406" s="5">
        <v>44733</v>
      </c>
      <c r="B406" s="3" t="s">
        <v>306</v>
      </c>
      <c r="C406" s="3">
        <v>157.51</v>
      </c>
      <c r="D406" s="3">
        <v>1</v>
      </c>
    </row>
    <row r="407" spans="1:4" ht="12.75" x14ac:dyDescent="0.35">
      <c r="A407" s="5">
        <v>44763</v>
      </c>
      <c r="B407" s="3" t="s">
        <v>86</v>
      </c>
      <c r="C407" s="3">
        <v>156.94999999999999</v>
      </c>
      <c r="D407" s="3">
        <v>2</v>
      </c>
    </row>
    <row r="408" spans="1:4" ht="12.75" x14ac:dyDescent="0.35">
      <c r="A408" s="4">
        <v>44672</v>
      </c>
      <c r="B408" s="3" t="s">
        <v>10</v>
      </c>
      <c r="C408" s="3">
        <v>156.68</v>
      </c>
      <c r="D408" s="3">
        <v>1</v>
      </c>
    </row>
    <row r="409" spans="1:4" ht="12.75" x14ac:dyDescent="0.35">
      <c r="A409" s="4">
        <v>44855</v>
      </c>
      <c r="B409" s="3" t="s">
        <v>10</v>
      </c>
      <c r="C409" s="3">
        <v>156.46</v>
      </c>
      <c r="D409" s="3">
        <v>1</v>
      </c>
    </row>
    <row r="410" spans="1:4" ht="12.75" x14ac:dyDescent="0.35">
      <c r="A410" s="4">
        <v>44582</v>
      </c>
      <c r="B410" s="3" t="s">
        <v>343</v>
      </c>
      <c r="C410" s="3">
        <v>156.41</v>
      </c>
      <c r="D410" s="3">
        <v>3</v>
      </c>
    </row>
    <row r="411" spans="1:4" ht="12.75" x14ac:dyDescent="0.35">
      <c r="A411" s="4">
        <v>44702</v>
      </c>
      <c r="B411" s="3" t="s">
        <v>20</v>
      </c>
      <c r="C411" s="3">
        <v>156.36000000000001</v>
      </c>
      <c r="D411" s="3">
        <v>1</v>
      </c>
    </row>
    <row r="412" spans="1:4" ht="12.75" x14ac:dyDescent="0.35">
      <c r="A412" s="4">
        <v>44672</v>
      </c>
      <c r="B412" s="3" t="s">
        <v>190</v>
      </c>
      <c r="C412" s="3">
        <v>155.63999999999999</v>
      </c>
      <c r="D412" s="3">
        <v>1</v>
      </c>
    </row>
    <row r="413" spans="1:4" ht="12.75" x14ac:dyDescent="0.35">
      <c r="A413" s="4">
        <v>44702</v>
      </c>
      <c r="B413" s="3" t="s">
        <v>240</v>
      </c>
      <c r="C413" s="3">
        <v>155.6</v>
      </c>
      <c r="D413" s="3">
        <v>5</v>
      </c>
    </row>
    <row r="414" spans="1:4" ht="12.75" x14ac:dyDescent="0.35">
      <c r="A414" s="4">
        <v>44916</v>
      </c>
      <c r="B414" s="3" t="s">
        <v>86</v>
      </c>
      <c r="C414" s="3">
        <v>155.57</v>
      </c>
      <c r="D414" s="3">
        <v>2</v>
      </c>
    </row>
    <row r="415" spans="1:4" ht="12.75" x14ac:dyDescent="0.35">
      <c r="A415" s="4">
        <v>44763</v>
      </c>
      <c r="B415" s="3" t="s">
        <v>799</v>
      </c>
      <c r="C415" s="3">
        <v>155.44</v>
      </c>
      <c r="D415" s="3">
        <v>2</v>
      </c>
    </row>
    <row r="416" spans="1:4" ht="12.75" x14ac:dyDescent="0.35">
      <c r="A416" s="4">
        <v>44702</v>
      </c>
      <c r="B416" s="3" t="s">
        <v>10</v>
      </c>
      <c r="C416" s="3">
        <v>155.08000000000001</v>
      </c>
      <c r="D416" s="3">
        <v>1</v>
      </c>
    </row>
    <row r="417" spans="1:4" ht="12.75" x14ac:dyDescent="0.35">
      <c r="A417" s="4">
        <v>44641</v>
      </c>
      <c r="B417" s="3" t="s">
        <v>12</v>
      </c>
      <c r="C417" s="3">
        <v>154.61000000000001</v>
      </c>
      <c r="D417" s="3">
        <v>1</v>
      </c>
    </row>
    <row r="418" spans="1:4" ht="12.75" x14ac:dyDescent="0.35">
      <c r="A418" s="4">
        <v>44794</v>
      </c>
      <c r="B418" s="3" t="s">
        <v>183</v>
      </c>
      <c r="C418" s="3">
        <v>154.47999999999999</v>
      </c>
      <c r="D418" s="3">
        <v>1</v>
      </c>
    </row>
    <row r="419" spans="1:4" ht="12.75" x14ac:dyDescent="0.35">
      <c r="A419" s="4">
        <v>44916</v>
      </c>
      <c r="B419" s="3" t="s">
        <v>799</v>
      </c>
      <c r="C419" s="3">
        <v>153.97999999999999</v>
      </c>
      <c r="D419" s="3">
        <v>2</v>
      </c>
    </row>
    <row r="420" spans="1:4" ht="12.75" x14ac:dyDescent="0.35">
      <c r="A420" s="4">
        <v>44702</v>
      </c>
      <c r="B420" s="3" t="s">
        <v>347</v>
      </c>
      <c r="C420" s="3">
        <v>153.75</v>
      </c>
      <c r="D420" s="3">
        <v>1</v>
      </c>
    </row>
    <row r="421" spans="1:4" ht="12.75" x14ac:dyDescent="0.35">
      <c r="A421" s="4">
        <v>44702</v>
      </c>
      <c r="B421" s="3" t="s">
        <v>94</v>
      </c>
      <c r="C421" s="3">
        <v>153.38</v>
      </c>
      <c r="D421" s="3">
        <v>4</v>
      </c>
    </row>
    <row r="422" spans="1:4" ht="12.75" x14ac:dyDescent="0.35">
      <c r="A422" s="4">
        <v>44825</v>
      </c>
      <c r="B422" s="3" t="s">
        <v>139</v>
      </c>
      <c r="C422" s="3">
        <v>153.09</v>
      </c>
      <c r="D422" s="3">
        <v>2</v>
      </c>
    </row>
    <row r="423" spans="1:4" ht="12.75" x14ac:dyDescent="0.35">
      <c r="A423" s="5">
        <v>44733</v>
      </c>
      <c r="B423" s="3" t="s">
        <v>223</v>
      </c>
      <c r="C423" s="3">
        <v>152.77000000000001</v>
      </c>
      <c r="D423" s="3">
        <v>1</v>
      </c>
    </row>
    <row r="424" spans="1:4" ht="12.75" x14ac:dyDescent="0.35">
      <c r="A424" s="4">
        <v>44672</v>
      </c>
      <c r="B424" s="3" t="s">
        <v>12</v>
      </c>
      <c r="C424" s="3">
        <v>152.33000000000001</v>
      </c>
      <c r="D424" s="3">
        <v>1</v>
      </c>
    </row>
    <row r="425" spans="1:4" ht="12.75" x14ac:dyDescent="0.35">
      <c r="A425" s="4">
        <v>44855</v>
      </c>
      <c r="B425" s="3" t="s">
        <v>558</v>
      </c>
      <c r="C425" s="3">
        <v>152.16999999999999</v>
      </c>
      <c r="D425" s="3">
        <v>1</v>
      </c>
    </row>
    <row r="426" spans="1:4" ht="12.75" x14ac:dyDescent="0.35">
      <c r="A426" s="4">
        <v>44613</v>
      </c>
      <c r="B426" s="3" t="s">
        <v>298</v>
      </c>
      <c r="C426" s="3">
        <v>151.78</v>
      </c>
      <c r="D426" s="3">
        <v>1</v>
      </c>
    </row>
    <row r="427" spans="1:4" ht="12.75" x14ac:dyDescent="0.35">
      <c r="A427" s="4">
        <v>44582</v>
      </c>
      <c r="B427" s="3" t="s">
        <v>175</v>
      </c>
      <c r="C427" s="3">
        <v>150.88</v>
      </c>
      <c r="D427" s="3">
        <v>11</v>
      </c>
    </row>
    <row r="428" spans="1:4" ht="12.75" x14ac:dyDescent="0.35">
      <c r="A428" s="4">
        <v>44613</v>
      </c>
      <c r="B428" s="3" t="s">
        <v>336</v>
      </c>
      <c r="C428" s="3">
        <v>150.44999999999999</v>
      </c>
      <c r="D428" s="3">
        <v>2</v>
      </c>
    </row>
    <row r="429" spans="1:4" ht="12.75" x14ac:dyDescent="0.35">
      <c r="A429" s="4">
        <v>44855</v>
      </c>
      <c r="B429" s="3" t="s">
        <v>135</v>
      </c>
      <c r="C429" s="3">
        <v>150.41</v>
      </c>
      <c r="D429" s="3">
        <v>4</v>
      </c>
    </row>
    <row r="430" spans="1:4" ht="12.75" x14ac:dyDescent="0.35">
      <c r="A430" s="4">
        <v>44702</v>
      </c>
      <c r="B430" s="3" t="s">
        <v>675</v>
      </c>
      <c r="C430" s="3">
        <v>150.25</v>
      </c>
      <c r="D430" s="3">
        <v>5</v>
      </c>
    </row>
    <row r="431" spans="1:4" ht="12.75" x14ac:dyDescent="0.35">
      <c r="A431" s="4">
        <v>44855</v>
      </c>
      <c r="B431" s="3" t="s">
        <v>21</v>
      </c>
      <c r="C431" s="3">
        <v>149.72999999999999</v>
      </c>
      <c r="D431" s="3">
        <v>9</v>
      </c>
    </row>
    <row r="432" spans="1:4" ht="12.75" x14ac:dyDescent="0.35">
      <c r="A432" s="4">
        <v>44641</v>
      </c>
      <c r="B432" s="3" t="s">
        <v>343</v>
      </c>
      <c r="C432" s="3">
        <v>149.46</v>
      </c>
      <c r="D432" s="3">
        <v>3</v>
      </c>
    </row>
    <row r="433" spans="1:4" ht="12.75" x14ac:dyDescent="0.35">
      <c r="A433" s="4">
        <v>44672</v>
      </c>
      <c r="B433" s="3" t="s">
        <v>251</v>
      </c>
      <c r="C433" s="3">
        <v>149.08000000000001</v>
      </c>
      <c r="D433" s="3">
        <v>4</v>
      </c>
    </row>
    <row r="434" spans="1:4" ht="12.75" x14ac:dyDescent="0.35">
      <c r="A434" s="5">
        <v>44763</v>
      </c>
      <c r="B434" s="3" t="s">
        <v>135</v>
      </c>
      <c r="C434" s="3">
        <v>147.72</v>
      </c>
      <c r="D434" s="3">
        <v>4</v>
      </c>
    </row>
    <row r="435" spans="1:4" ht="12.75" x14ac:dyDescent="0.35">
      <c r="A435" s="4">
        <v>44825</v>
      </c>
      <c r="B435" s="3" t="s">
        <v>606</v>
      </c>
      <c r="C435" s="3">
        <v>147.06</v>
      </c>
      <c r="D435" s="3">
        <v>3</v>
      </c>
    </row>
    <row r="436" spans="1:4" ht="12.75" x14ac:dyDescent="0.35">
      <c r="A436" s="4">
        <v>44855</v>
      </c>
      <c r="B436" s="3" t="s">
        <v>555</v>
      </c>
      <c r="C436" s="3">
        <v>146.9</v>
      </c>
      <c r="D436" s="3">
        <v>2</v>
      </c>
    </row>
    <row r="437" spans="1:4" ht="12.75" x14ac:dyDescent="0.35">
      <c r="A437" s="4">
        <v>44672</v>
      </c>
      <c r="B437" s="3" t="s">
        <v>331</v>
      </c>
      <c r="C437" s="3">
        <v>146.69</v>
      </c>
      <c r="D437" s="3">
        <v>2</v>
      </c>
    </row>
    <row r="438" spans="1:4" ht="12.75" x14ac:dyDescent="0.35">
      <c r="A438" s="4">
        <v>44613</v>
      </c>
      <c r="B438" s="3" t="s">
        <v>371</v>
      </c>
      <c r="C438" s="3">
        <v>146.58000000000001</v>
      </c>
      <c r="D438" s="3">
        <v>1</v>
      </c>
    </row>
    <row r="439" spans="1:4" ht="12.75" x14ac:dyDescent="0.35">
      <c r="A439" s="4">
        <v>44825</v>
      </c>
      <c r="B439" s="3" t="s">
        <v>154</v>
      </c>
      <c r="C439" s="3">
        <v>146.5</v>
      </c>
      <c r="D439" s="3">
        <v>2</v>
      </c>
    </row>
    <row r="440" spans="1:4" ht="12.75" x14ac:dyDescent="0.35">
      <c r="A440" s="4">
        <v>44702</v>
      </c>
      <c r="B440" s="3" t="s">
        <v>343</v>
      </c>
      <c r="C440" s="3">
        <v>146.28</v>
      </c>
      <c r="D440" s="3">
        <v>3</v>
      </c>
    </row>
    <row r="441" spans="1:4" ht="12.75" x14ac:dyDescent="0.35">
      <c r="A441" s="4">
        <v>44886</v>
      </c>
      <c r="B441" s="3" t="s">
        <v>1806</v>
      </c>
      <c r="C441" s="3">
        <v>146.22</v>
      </c>
      <c r="D441" s="3">
        <v>1</v>
      </c>
    </row>
    <row r="442" spans="1:4" ht="12.75" x14ac:dyDescent="0.35">
      <c r="A442" s="4">
        <v>44855</v>
      </c>
      <c r="B442" s="3" t="s">
        <v>270</v>
      </c>
      <c r="C442" s="3">
        <v>145.86000000000001</v>
      </c>
      <c r="D442" s="3">
        <v>6</v>
      </c>
    </row>
    <row r="443" spans="1:4" ht="12.75" x14ac:dyDescent="0.35">
      <c r="A443" s="4">
        <v>44672</v>
      </c>
      <c r="B443" s="3" t="s">
        <v>587</v>
      </c>
      <c r="C443" s="3">
        <v>145.71</v>
      </c>
      <c r="D443" s="3">
        <v>2</v>
      </c>
    </row>
    <row r="444" spans="1:4" ht="12.75" x14ac:dyDescent="0.35">
      <c r="A444" s="4">
        <v>44582</v>
      </c>
      <c r="B444" s="3" t="s">
        <v>180</v>
      </c>
      <c r="C444" s="3">
        <v>145.56</v>
      </c>
      <c r="D444" s="3">
        <v>1</v>
      </c>
    </row>
    <row r="445" spans="1:4" ht="12.75" x14ac:dyDescent="0.35">
      <c r="A445" s="4">
        <v>44702</v>
      </c>
      <c r="B445" s="3" t="s">
        <v>1056</v>
      </c>
      <c r="C445" s="3">
        <v>145.36000000000001</v>
      </c>
      <c r="D445" s="3">
        <v>1</v>
      </c>
    </row>
    <row r="446" spans="1:4" ht="12.75" x14ac:dyDescent="0.35">
      <c r="A446" s="5">
        <v>44733</v>
      </c>
      <c r="B446" s="3" t="s">
        <v>240</v>
      </c>
      <c r="C446" s="3">
        <v>144.61000000000001</v>
      </c>
      <c r="D446" s="3">
        <v>5</v>
      </c>
    </row>
    <row r="447" spans="1:4" ht="12.75" x14ac:dyDescent="0.35">
      <c r="A447" s="4">
        <v>44825</v>
      </c>
      <c r="B447" s="3" t="s">
        <v>453</v>
      </c>
      <c r="C447" s="3">
        <v>143.61000000000001</v>
      </c>
      <c r="D447" s="3">
        <v>1</v>
      </c>
    </row>
    <row r="448" spans="1:4" ht="12.75" x14ac:dyDescent="0.35">
      <c r="A448" s="4">
        <v>44582</v>
      </c>
      <c r="B448" s="3" t="s">
        <v>331</v>
      </c>
      <c r="C448" s="3">
        <v>143.41999999999999</v>
      </c>
      <c r="D448" s="3">
        <v>2</v>
      </c>
    </row>
    <row r="449" spans="1:4" ht="12.75" x14ac:dyDescent="0.35">
      <c r="A449" s="4">
        <v>44613</v>
      </c>
      <c r="B449" s="3" t="s">
        <v>412</v>
      </c>
      <c r="C449" s="3">
        <v>143.21</v>
      </c>
      <c r="D449" s="3">
        <v>4</v>
      </c>
    </row>
    <row r="450" spans="1:4" ht="12.75" x14ac:dyDescent="0.35">
      <c r="A450" s="4">
        <v>44916</v>
      </c>
      <c r="B450" s="3" t="s">
        <v>347</v>
      </c>
      <c r="C450" s="3">
        <v>143.15</v>
      </c>
      <c r="D450" s="3">
        <v>1</v>
      </c>
    </row>
    <row r="451" spans="1:4" ht="12.75" x14ac:dyDescent="0.35">
      <c r="A451" s="4">
        <v>44613</v>
      </c>
      <c r="B451" s="3" t="s">
        <v>382</v>
      </c>
      <c r="C451" s="3">
        <v>142.31</v>
      </c>
      <c r="D451" s="3">
        <v>2</v>
      </c>
    </row>
    <row r="452" spans="1:4" ht="12.75" x14ac:dyDescent="0.35">
      <c r="A452" s="4">
        <v>44582</v>
      </c>
      <c r="B452" s="3" t="s">
        <v>332</v>
      </c>
      <c r="C452" s="3">
        <v>142.19</v>
      </c>
      <c r="D452" s="3">
        <v>6</v>
      </c>
    </row>
    <row r="453" spans="1:4" ht="12.75" x14ac:dyDescent="0.35">
      <c r="A453" s="4">
        <v>44613</v>
      </c>
      <c r="B453" s="3" t="s">
        <v>343</v>
      </c>
      <c r="C453" s="3">
        <v>141.91</v>
      </c>
      <c r="D453" s="3">
        <v>3</v>
      </c>
    </row>
    <row r="454" spans="1:4" ht="12.75" x14ac:dyDescent="0.35">
      <c r="A454" s="4">
        <v>44641</v>
      </c>
      <c r="B454" s="3" t="s">
        <v>331</v>
      </c>
      <c r="C454" s="3">
        <v>141.88999999999999</v>
      </c>
      <c r="D454" s="3">
        <v>2</v>
      </c>
    </row>
    <row r="455" spans="1:4" ht="12.75" x14ac:dyDescent="0.35">
      <c r="A455" s="4">
        <v>44794</v>
      </c>
      <c r="B455" s="3" t="s">
        <v>135</v>
      </c>
      <c r="C455" s="3">
        <v>141.53</v>
      </c>
      <c r="D455" s="3">
        <v>4</v>
      </c>
    </row>
    <row r="456" spans="1:4" ht="12.75" x14ac:dyDescent="0.35">
      <c r="A456" s="4">
        <v>44672</v>
      </c>
      <c r="B456" s="3" t="s">
        <v>277</v>
      </c>
      <c r="C456" s="3">
        <v>141.5</v>
      </c>
      <c r="D456" s="3">
        <v>1</v>
      </c>
    </row>
    <row r="457" spans="1:4" ht="12.75" x14ac:dyDescent="0.35">
      <c r="A457" s="4">
        <v>44613</v>
      </c>
      <c r="B457" s="3" t="s">
        <v>477</v>
      </c>
      <c r="C457" s="3">
        <v>141.36000000000001</v>
      </c>
      <c r="D457" s="3">
        <v>9</v>
      </c>
    </row>
    <row r="458" spans="1:4" ht="12.75" x14ac:dyDescent="0.35">
      <c r="A458" s="5">
        <v>44733</v>
      </c>
      <c r="B458" s="3" t="s">
        <v>343</v>
      </c>
      <c r="C458" s="3">
        <v>140.94</v>
      </c>
      <c r="D458" s="3">
        <v>3</v>
      </c>
    </row>
    <row r="459" spans="1:4" ht="12.75" x14ac:dyDescent="0.35">
      <c r="A459" s="4">
        <v>44825</v>
      </c>
      <c r="B459" s="3" t="s">
        <v>459</v>
      </c>
      <c r="C459" s="3">
        <v>140.61000000000001</v>
      </c>
      <c r="D459" s="3">
        <v>2</v>
      </c>
    </row>
    <row r="460" spans="1:4" ht="12.75" x14ac:dyDescent="0.35">
      <c r="A460" s="4">
        <v>44613</v>
      </c>
      <c r="B460" s="3" t="s">
        <v>23</v>
      </c>
      <c r="C460" s="3">
        <v>140.21</v>
      </c>
      <c r="D460" s="3">
        <v>1</v>
      </c>
    </row>
    <row r="461" spans="1:4" ht="12.75" x14ac:dyDescent="0.35">
      <c r="A461" s="4">
        <v>44825</v>
      </c>
      <c r="B461" s="3" t="s">
        <v>686</v>
      </c>
      <c r="C461" s="3">
        <v>140</v>
      </c>
      <c r="D461" s="3">
        <v>1</v>
      </c>
    </row>
    <row r="462" spans="1:4" ht="12.75" x14ac:dyDescent="0.35">
      <c r="A462" s="4">
        <v>44613</v>
      </c>
      <c r="B462" s="3" t="s">
        <v>98</v>
      </c>
      <c r="C462" s="3">
        <v>139.88999999999999</v>
      </c>
      <c r="D462" s="3">
        <v>1</v>
      </c>
    </row>
    <row r="463" spans="1:4" ht="12.75" x14ac:dyDescent="0.35">
      <c r="A463" s="4">
        <v>44613</v>
      </c>
      <c r="B463" s="3" t="s">
        <v>183</v>
      </c>
      <c r="C463" s="3">
        <v>139.86000000000001</v>
      </c>
      <c r="D463" s="3">
        <v>1</v>
      </c>
    </row>
    <row r="464" spans="1:4" ht="12.75" x14ac:dyDescent="0.35">
      <c r="A464" s="4">
        <v>44794</v>
      </c>
      <c r="B464" s="3" t="s">
        <v>502</v>
      </c>
      <c r="C464" s="3">
        <v>139.5</v>
      </c>
      <c r="D464" s="3">
        <v>1</v>
      </c>
    </row>
    <row r="465" spans="1:4" ht="12.75" x14ac:dyDescent="0.35">
      <c r="A465" s="4">
        <v>44916</v>
      </c>
      <c r="B465" s="3" t="s">
        <v>191</v>
      </c>
      <c r="C465" s="3">
        <v>139.25</v>
      </c>
      <c r="D465" s="3">
        <v>8</v>
      </c>
    </row>
    <row r="466" spans="1:4" ht="12.75" x14ac:dyDescent="0.35">
      <c r="A466" s="4">
        <v>44582</v>
      </c>
      <c r="B466" s="3" t="s">
        <v>387</v>
      </c>
      <c r="C466" s="3">
        <v>138.96</v>
      </c>
      <c r="D466" s="3">
        <v>7</v>
      </c>
    </row>
    <row r="467" spans="1:4" ht="12.75" x14ac:dyDescent="0.35">
      <c r="A467" s="4">
        <v>44702</v>
      </c>
      <c r="B467" s="3" t="s">
        <v>549</v>
      </c>
      <c r="C467" s="3">
        <v>138.5</v>
      </c>
      <c r="D467" s="3">
        <v>1</v>
      </c>
    </row>
    <row r="468" spans="1:4" ht="12.75" x14ac:dyDescent="0.35">
      <c r="A468" s="4">
        <v>44855</v>
      </c>
      <c r="B468" s="3" t="s">
        <v>55</v>
      </c>
      <c r="C468" s="3">
        <v>138.5</v>
      </c>
      <c r="D468" s="3">
        <v>5</v>
      </c>
    </row>
    <row r="469" spans="1:4" ht="12.75" x14ac:dyDescent="0.35">
      <c r="A469" s="4">
        <v>44763</v>
      </c>
      <c r="B469" s="3" t="s">
        <v>203</v>
      </c>
      <c r="C469" s="3">
        <v>138.37</v>
      </c>
      <c r="D469" s="3">
        <v>6</v>
      </c>
    </row>
    <row r="470" spans="1:4" ht="12.75" x14ac:dyDescent="0.35">
      <c r="A470" s="4">
        <v>44825</v>
      </c>
      <c r="B470" s="3" t="s">
        <v>66</v>
      </c>
      <c r="C470" s="3">
        <v>138.31</v>
      </c>
      <c r="D470" s="3">
        <v>3</v>
      </c>
    </row>
    <row r="471" spans="1:4" ht="12.75" x14ac:dyDescent="0.35">
      <c r="A471" s="5">
        <v>44733</v>
      </c>
      <c r="B471" s="3" t="s">
        <v>142</v>
      </c>
      <c r="C471" s="3">
        <v>137.74</v>
      </c>
      <c r="D471" s="3">
        <v>1</v>
      </c>
    </row>
    <row r="472" spans="1:4" ht="12.75" x14ac:dyDescent="0.35">
      <c r="A472" s="4">
        <v>44702</v>
      </c>
      <c r="B472" s="3" t="s">
        <v>1029</v>
      </c>
      <c r="C472" s="3">
        <v>137.18</v>
      </c>
      <c r="D472" s="3">
        <v>1</v>
      </c>
    </row>
    <row r="473" spans="1:4" ht="12.75" x14ac:dyDescent="0.35">
      <c r="A473" s="4">
        <v>44672</v>
      </c>
      <c r="B473" s="3" t="s">
        <v>66</v>
      </c>
      <c r="C473" s="3">
        <v>136.80000000000001</v>
      </c>
      <c r="D473" s="3">
        <v>3</v>
      </c>
    </row>
    <row r="474" spans="1:4" ht="12.75" x14ac:dyDescent="0.35">
      <c r="A474" s="5">
        <v>44763</v>
      </c>
      <c r="B474" s="3" t="s">
        <v>65</v>
      </c>
      <c r="C474" s="3">
        <v>136.78</v>
      </c>
      <c r="D474" s="3">
        <v>2</v>
      </c>
    </row>
    <row r="475" spans="1:4" ht="12.75" x14ac:dyDescent="0.35">
      <c r="A475" s="4">
        <v>44702</v>
      </c>
      <c r="B475" s="3" t="s">
        <v>98</v>
      </c>
      <c r="C475" s="3">
        <v>136.43</v>
      </c>
      <c r="D475" s="3">
        <v>1</v>
      </c>
    </row>
    <row r="476" spans="1:4" ht="12.75" x14ac:dyDescent="0.35">
      <c r="A476" s="4">
        <v>44702</v>
      </c>
      <c r="B476" s="3" t="s">
        <v>45</v>
      </c>
      <c r="C476" s="3">
        <v>136.22</v>
      </c>
      <c r="D476" s="3">
        <v>1</v>
      </c>
    </row>
    <row r="477" spans="1:4" ht="12.75" x14ac:dyDescent="0.35">
      <c r="A477" s="4">
        <v>44825</v>
      </c>
      <c r="B477" s="3" t="s">
        <v>55</v>
      </c>
      <c r="C477" s="3">
        <v>136.11000000000001</v>
      </c>
      <c r="D477" s="3">
        <v>5</v>
      </c>
    </row>
    <row r="478" spans="1:4" ht="12.75" x14ac:dyDescent="0.35">
      <c r="A478" s="4">
        <v>44613</v>
      </c>
      <c r="B478" s="3" t="s">
        <v>125</v>
      </c>
      <c r="C478" s="3">
        <v>135.99</v>
      </c>
      <c r="D478" s="3">
        <v>5</v>
      </c>
    </row>
    <row r="479" spans="1:4" ht="12.75" x14ac:dyDescent="0.35">
      <c r="A479" s="4">
        <v>44794</v>
      </c>
      <c r="B479" s="3" t="s">
        <v>10</v>
      </c>
      <c r="C479" s="3">
        <v>135.69</v>
      </c>
      <c r="D479" s="3">
        <v>1</v>
      </c>
    </row>
    <row r="480" spans="1:4" ht="12.75" x14ac:dyDescent="0.35">
      <c r="A480" s="4">
        <v>44702</v>
      </c>
      <c r="B480" s="3" t="s">
        <v>97</v>
      </c>
      <c r="C480" s="3">
        <v>135.6</v>
      </c>
      <c r="D480" s="3">
        <v>2</v>
      </c>
    </row>
    <row r="481" spans="1:4" ht="12.75" x14ac:dyDescent="0.35">
      <c r="A481" s="4">
        <v>44763</v>
      </c>
      <c r="B481" s="3" t="s">
        <v>388</v>
      </c>
      <c r="C481" s="3">
        <v>135.37</v>
      </c>
      <c r="D481" s="3">
        <v>2</v>
      </c>
    </row>
    <row r="482" spans="1:4" ht="12.75" x14ac:dyDescent="0.35">
      <c r="A482" s="4">
        <v>44794</v>
      </c>
      <c r="B482" s="3" t="s">
        <v>388</v>
      </c>
      <c r="C482" s="3">
        <v>135.36000000000001</v>
      </c>
      <c r="D482" s="3">
        <v>2</v>
      </c>
    </row>
    <row r="483" spans="1:4" ht="12.75" x14ac:dyDescent="0.35">
      <c r="A483" s="4">
        <v>44794</v>
      </c>
      <c r="B483" s="3" t="s">
        <v>240</v>
      </c>
      <c r="C483" s="3">
        <v>135.25</v>
      </c>
      <c r="D483" s="3">
        <v>5</v>
      </c>
    </row>
    <row r="484" spans="1:4" ht="12.75" x14ac:dyDescent="0.35">
      <c r="A484" s="4">
        <v>44641</v>
      </c>
      <c r="B484" s="3" t="s">
        <v>382</v>
      </c>
      <c r="C484" s="3">
        <v>135.22999999999999</v>
      </c>
      <c r="D484" s="3">
        <v>2</v>
      </c>
    </row>
    <row r="485" spans="1:4" ht="12.75" x14ac:dyDescent="0.35">
      <c r="A485" s="5">
        <v>44733</v>
      </c>
      <c r="B485" s="3" t="s">
        <v>686</v>
      </c>
      <c r="C485" s="3">
        <v>135.19999999999999</v>
      </c>
      <c r="D485" s="3">
        <v>1</v>
      </c>
    </row>
    <row r="486" spans="1:4" ht="12.75" x14ac:dyDescent="0.35">
      <c r="A486" s="4">
        <v>44613</v>
      </c>
      <c r="B486" s="3" t="s">
        <v>331</v>
      </c>
      <c r="C486" s="3">
        <v>134.96</v>
      </c>
      <c r="D486" s="3">
        <v>2</v>
      </c>
    </row>
    <row r="487" spans="1:4" ht="12.75" x14ac:dyDescent="0.35">
      <c r="A487" s="4">
        <v>44886</v>
      </c>
      <c r="B487" s="3" t="s">
        <v>387</v>
      </c>
      <c r="C487" s="3">
        <v>134.86000000000001</v>
      </c>
      <c r="D487" s="3">
        <v>7</v>
      </c>
    </row>
    <row r="488" spans="1:4" ht="12.75" x14ac:dyDescent="0.35">
      <c r="A488" s="5">
        <v>44763</v>
      </c>
      <c r="B488" s="3" t="s">
        <v>139</v>
      </c>
      <c r="C488" s="3">
        <v>134.56</v>
      </c>
      <c r="D488" s="3">
        <v>2</v>
      </c>
    </row>
    <row r="489" spans="1:4" ht="12.75" x14ac:dyDescent="0.35">
      <c r="A489" s="4">
        <v>44641</v>
      </c>
      <c r="B489" s="3" t="s">
        <v>11</v>
      </c>
      <c r="C489" s="3">
        <v>134.38</v>
      </c>
      <c r="D489" s="3">
        <v>2</v>
      </c>
    </row>
    <row r="490" spans="1:4" ht="12.75" x14ac:dyDescent="0.35">
      <c r="A490" s="4">
        <v>44702</v>
      </c>
      <c r="B490" s="3" t="s">
        <v>337</v>
      </c>
      <c r="C490" s="3">
        <v>134.19999999999999</v>
      </c>
      <c r="D490" s="3">
        <v>6</v>
      </c>
    </row>
    <row r="491" spans="1:4" ht="12.75" x14ac:dyDescent="0.35">
      <c r="A491" s="4">
        <v>44672</v>
      </c>
      <c r="B491" s="3" t="s">
        <v>456</v>
      </c>
      <c r="C491" s="3">
        <v>134.13999999999999</v>
      </c>
      <c r="D491" s="3">
        <v>4</v>
      </c>
    </row>
    <row r="492" spans="1:4" ht="12.75" x14ac:dyDescent="0.35">
      <c r="A492" s="4">
        <v>44672</v>
      </c>
      <c r="B492" s="3" t="s">
        <v>102</v>
      </c>
      <c r="C492" s="3">
        <v>134.1</v>
      </c>
      <c r="D492" s="3">
        <v>3</v>
      </c>
    </row>
    <row r="493" spans="1:4" ht="12.75" x14ac:dyDescent="0.35">
      <c r="A493" s="4">
        <v>44825</v>
      </c>
      <c r="B493" s="3" t="s">
        <v>135</v>
      </c>
      <c r="C493" s="3">
        <v>134.1</v>
      </c>
      <c r="D493" s="3">
        <v>4</v>
      </c>
    </row>
    <row r="494" spans="1:4" ht="12.75" x14ac:dyDescent="0.35">
      <c r="A494" s="4">
        <v>44613</v>
      </c>
      <c r="B494" s="3" t="s">
        <v>306</v>
      </c>
      <c r="C494" s="3">
        <v>134.09</v>
      </c>
      <c r="D494" s="3">
        <v>1</v>
      </c>
    </row>
    <row r="495" spans="1:4" ht="12.75" x14ac:dyDescent="0.35">
      <c r="A495" s="4">
        <v>44702</v>
      </c>
      <c r="B495" s="3" t="s">
        <v>1132</v>
      </c>
      <c r="C495" s="3">
        <v>133.99</v>
      </c>
      <c r="D495" s="3">
        <v>1</v>
      </c>
    </row>
    <row r="496" spans="1:4" ht="12.75" x14ac:dyDescent="0.35">
      <c r="A496" s="4">
        <v>44794</v>
      </c>
      <c r="B496" s="3" t="s">
        <v>203</v>
      </c>
      <c r="C496" s="3">
        <v>133.80000000000001</v>
      </c>
      <c r="D496" s="3">
        <v>6</v>
      </c>
    </row>
    <row r="497" spans="1:4" ht="12.75" x14ac:dyDescent="0.35">
      <c r="A497" s="4">
        <v>44613</v>
      </c>
      <c r="B497" s="3" t="s">
        <v>549</v>
      </c>
      <c r="C497" s="3">
        <v>133.75</v>
      </c>
      <c r="D497" s="3">
        <v>1</v>
      </c>
    </row>
    <row r="498" spans="1:4" ht="12.75" x14ac:dyDescent="0.35">
      <c r="A498" s="4">
        <v>44613</v>
      </c>
      <c r="B498" s="3" t="s">
        <v>414</v>
      </c>
      <c r="C498" s="3">
        <v>133.72</v>
      </c>
      <c r="D498" s="3">
        <v>2</v>
      </c>
    </row>
    <row r="499" spans="1:4" ht="12.75" x14ac:dyDescent="0.35">
      <c r="A499" s="4">
        <v>44641</v>
      </c>
      <c r="B499" s="3" t="s">
        <v>686</v>
      </c>
      <c r="C499" s="3">
        <v>133.6</v>
      </c>
      <c r="D499" s="3">
        <v>1</v>
      </c>
    </row>
    <row r="500" spans="1:4" ht="12.75" x14ac:dyDescent="0.35">
      <c r="A500" s="4">
        <v>44702</v>
      </c>
      <c r="B500" s="3" t="s">
        <v>8</v>
      </c>
      <c r="C500" s="3">
        <v>133.47</v>
      </c>
      <c r="D500" s="3">
        <v>2</v>
      </c>
    </row>
    <row r="501" spans="1:4" ht="12.75" x14ac:dyDescent="0.35">
      <c r="A501" s="4">
        <v>44672</v>
      </c>
      <c r="B501" s="3" t="s">
        <v>97</v>
      </c>
      <c r="C501" s="3">
        <v>133.11000000000001</v>
      </c>
      <c r="D501" s="3">
        <v>2</v>
      </c>
    </row>
    <row r="502" spans="1:4" ht="12.75" x14ac:dyDescent="0.35">
      <c r="A502" s="4">
        <v>44855</v>
      </c>
      <c r="B502" s="3" t="s">
        <v>487</v>
      </c>
      <c r="C502" s="3">
        <v>133.07</v>
      </c>
      <c r="D502" s="3">
        <v>2</v>
      </c>
    </row>
    <row r="503" spans="1:4" ht="12.75" x14ac:dyDescent="0.35">
      <c r="A503" s="4">
        <v>44825</v>
      </c>
      <c r="B503" s="3" t="s">
        <v>1562</v>
      </c>
      <c r="C503" s="3">
        <v>133.06</v>
      </c>
      <c r="D503" s="3">
        <v>2</v>
      </c>
    </row>
    <row r="504" spans="1:4" ht="12.75" x14ac:dyDescent="0.35">
      <c r="A504" s="4">
        <v>44702</v>
      </c>
      <c r="B504" s="3" t="s">
        <v>306</v>
      </c>
      <c r="C504" s="3">
        <v>132.96</v>
      </c>
      <c r="D504" s="3">
        <v>1</v>
      </c>
    </row>
    <row r="505" spans="1:4" ht="12.75" x14ac:dyDescent="0.35">
      <c r="A505" s="4">
        <v>44672</v>
      </c>
      <c r="B505" s="3" t="s">
        <v>223</v>
      </c>
      <c r="C505" s="3">
        <v>132.77000000000001</v>
      </c>
      <c r="D505" s="3">
        <v>1</v>
      </c>
    </row>
    <row r="506" spans="1:4" ht="12.75" x14ac:dyDescent="0.35">
      <c r="A506" s="4">
        <v>44582</v>
      </c>
      <c r="B506" s="3" t="s">
        <v>277</v>
      </c>
      <c r="C506" s="3">
        <v>132.32</v>
      </c>
      <c r="D506" s="3">
        <v>1</v>
      </c>
    </row>
    <row r="507" spans="1:4" ht="12.75" x14ac:dyDescent="0.35">
      <c r="A507" s="4">
        <v>44672</v>
      </c>
      <c r="B507" s="3" t="s">
        <v>147</v>
      </c>
      <c r="C507" s="3">
        <v>132.25</v>
      </c>
      <c r="D507" s="3">
        <v>1</v>
      </c>
    </row>
    <row r="508" spans="1:4" ht="12.75" x14ac:dyDescent="0.35">
      <c r="A508" s="4">
        <v>44672</v>
      </c>
      <c r="B508" s="3" t="s">
        <v>69</v>
      </c>
      <c r="C508" s="3">
        <v>131.81</v>
      </c>
      <c r="D508" s="3">
        <v>10</v>
      </c>
    </row>
    <row r="509" spans="1:4" ht="12.75" x14ac:dyDescent="0.35">
      <c r="A509" s="4">
        <v>44702</v>
      </c>
      <c r="B509" s="3" t="s">
        <v>190</v>
      </c>
      <c r="C509" s="3">
        <v>131.66</v>
      </c>
      <c r="D509" s="3">
        <v>1</v>
      </c>
    </row>
    <row r="510" spans="1:4" ht="12.75" x14ac:dyDescent="0.35">
      <c r="A510" s="4">
        <v>44672</v>
      </c>
      <c r="B510" s="3" t="s">
        <v>67</v>
      </c>
      <c r="C510" s="3">
        <v>131.55000000000001</v>
      </c>
      <c r="D510" s="3">
        <v>2</v>
      </c>
    </row>
    <row r="511" spans="1:4" ht="12.75" x14ac:dyDescent="0.35">
      <c r="A511" s="4">
        <v>44641</v>
      </c>
      <c r="B511" s="3" t="s">
        <v>715</v>
      </c>
      <c r="C511" s="3">
        <v>131.49</v>
      </c>
      <c r="D511" s="3">
        <v>1</v>
      </c>
    </row>
    <row r="512" spans="1:4" ht="12.75" x14ac:dyDescent="0.35">
      <c r="A512" s="4">
        <v>44886</v>
      </c>
      <c r="B512" s="3" t="s">
        <v>502</v>
      </c>
      <c r="C512" s="3">
        <v>131.44999999999999</v>
      </c>
      <c r="D512" s="3">
        <v>1</v>
      </c>
    </row>
    <row r="513" spans="1:4" ht="12.75" x14ac:dyDescent="0.35">
      <c r="A513" s="4">
        <v>44763</v>
      </c>
      <c r="B513" s="3" t="s">
        <v>1481</v>
      </c>
      <c r="C513" s="3">
        <v>131.44</v>
      </c>
      <c r="D513" s="3">
        <v>2</v>
      </c>
    </row>
    <row r="514" spans="1:4" ht="12.75" x14ac:dyDescent="0.35">
      <c r="A514" s="4">
        <v>44916</v>
      </c>
      <c r="B514" s="3" t="s">
        <v>686</v>
      </c>
      <c r="C514" s="3">
        <v>131.19999999999999</v>
      </c>
      <c r="D514" s="3">
        <v>1</v>
      </c>
    </row>
    <row r="515" spans="1:4" ht="12.75" x14ac:dyDescent="0.35">
      <c r="A515" s="4">
        <v>44855</v>
      </c>
      <c r="B515" s="3" t="s">
        <v>459</v>
      </c>
      <c r="C515" s="3">
        <v>131.09</v>
      </c>
      <c r="D515" s="3">
        <v>2</v>
      </c>
    </row>
    <row r="516" spans="1:4" ht="12.75" x14ac:dyDescent="0.35">
      <c r="A516" s="4">
        <v>44582</v>
      </c>
      <c r="B516" s="3" t="s">
        <v>215</v>
      </c>
      <c r="C516" s="3">
        <v>130.28</v>
      </c>
      <c r="D516" s="3">
        <v>7</v>
      </c>
    </row>
    <row r="517" spans="1:4" ht="12.75" x14ac:dyDescent="0.35">
      <c r="A517" s="4">
        <v>44672</v>
      </c>
      <c r="B517" s="3" t="s">
        <v>264</v>
      </c>
      <c r="C517" s="3">
        <v>130.16</v>
      </c>
      <c r="D517" s="3">
        <v>1</v>
      </c>
    </row>
    <row r="518" spans="1:4" ht="12.75" x14ac:dyDescent="0.35">
      <c r="A518" s="4">
        <v>44613</v>
      </c>
      <c r="B518" s="3" t="s">
        <v>10</v>
      </c>
      <c r="C518" s="3">
        <v>130.08000000000001</v>
      </c>
      <c r="D518" s="3">
        <v>1</v>
      </c>
    </row>
    <row r="519" spans="1:4" ht="12.75" x14ac:dyDescent="0.35">
      <c r="A519" s="4">
        <v>44582</v>
      </c>
      <c r="B519" s="3" t="s">
        <v>306</v>
      </c>
      <c r="C519" s="3">
        <v>129.96</v>
      </c>
      <c r="D519" s="3">
        <v>1</v>
      </c>
    </row>
    <row r="520" spans="1:4" ht="12.75" x14ac:dyDescent="0.35">
      <c r="A520" s="4">
        <v>44702</v>
      </c>
      <c r="B520" s="3" t="s">
        <v>497</v>
      </c>
      <c r="C520" s="3">
        <v>129.94</v>
      </c>
      <c r="D520" s="3">
        <v>1</v>
      </c>
    </row>
    <row r="521" spans="1:4" ht="12.75" x14ac:dyDescent="0.35">
      <c r="A521" s="4">
        <v>44794</v>
      </c>
      <c r="B521" s="3" t="s">
        <v>139</v>
      </c>
      <c r="C521" s="3">
        <v>129.19999999999999</v>
      </c>
      <c r="D521" s="3">
        <v>2</v>
      </c>
    </row>
    <row r="522" spans="1:4" ht="12.75" x14ac:dyDescent="0.35">
      <c r="A522" s="4">
        <v>44613</v>
      </c>
      <c r="B522" s="3" t="s">
        <v>237</v>
      </c>
      <c r="C522" s="3">
        <v>129.06</v>
      </c>
      <c r="D522" s="3">
        <v>3</v>
      </c>
    </row>
    <row r="523" spans="1:4" ht="12.75" x14ac:dyDescent="0.35">
      <c r="A523" s="4">
        <v>44613</v>
      </c>
      <c r="B523" s="3" t="s">
        <v>227</v>
      </c>
      <c r="C523" s="3">
        <v>129.04</v>
      </c>
      <c r="D523" s="3">
        <v>3</v>
      </c>
    </row>
    <row r="524" spans="1:4" ht="12.75" x14ac:dyDescent="0.35">
      <c r="A524" s="4">
        <v>44582</v>
      </c>
      <c r="B524" s="3" t="s">
        <v>293</v>
      </c>
      <c r="C524" s="3">
        <v>128.94</v>
      </c>
      <c r="D524" s="3">
        <v>4</v>
      </c>
    </row>
    <row r="525" spans="1:4" ht="12.75" x14ac:dyDescent="0.35">
      <c r="A525" s="4">
        <v>44613</v>
      </c>
      <c r="B525" s="3" t="s">
        <v>301</v>
      </c>
      <c r="C525" s="3">
        <v>128.88999999999999</v>
      </c>
      <c r="D525" s="3">
        <v>2</v>
      </c>
    </row>
    <row r="526" spans="1:4" ht="12.75" x14ac:dyDescent="0.35">
      <c r="A526" s="4">
        <v>44613</v>
      </c>
      <c r="B526" s="3" t="s">
        <v>151</v>
      </c>
      <c r="C526" s="3">
        <v>128.75</v>
      </c>
      <c r="D526" s="3">
        <v>3</v>
      </c>
    </row>
    <row r="527" spans="1:4" ht="12.75" x14ac:dyDescent="0.35">
      <c r="A527" s="4">
        <v>44825</v>
      </c>
      <c r="B527" s="3" t="s">
        <v>23</v>
      </c>
      <c r="C527" s="3">
        <v>128.61000000000001</v>
      </c>
      <c r="D527" s="3">
        <v>1</v>
      </c>
    </row>
    <row r="528" spans="1:4" ht="12.75" x14ac:dyDescent="0.35">
      <c r="A528" s="4">
        <v>44794</v>
      </c>
      <c r="B528" s="3" t="s">
        <v>270</v>
      </c>
      <c r="C528" s="3">
        <v>128.38</v>
      </c>
      <c r="D528" s="3">
        <v>6</v>
      </c>
    </row>
    <row r="529" spans="1:4" ht="12.75" x14ac:dyDescent="0.35">
      <c r="A529" s="5">
        <v>44733</v>
      </c>
      <c r="B529" s="3" t="s">
        <v>1302</v>
      </c>
      <c r="C529" s="3">
        <v>128.36000000000001</v>
      </c>
      <c r="D529" s="3">
        <v>2</v>
      </c>
    </row>
    <row r="530" spans="1:4" ht="12.75" x14ac:dyDescent="0.35">
      <c r="A530" s="4">
        <v>44672</v>
      </c>
      <c r="B530" s="3" t="s">
        <v>392</v>
      </c>
      <c r="C530" s="3">
        <v>128.26</v>
      </c>
      <c r="D530" s="3">
        <v>1</v>
      </c>
    </row>
    <row r="531" spans="1:4" ht="12.75" x14ac:dyDescent="0.35">
      <c r="A531" s="4">
        <v>44702</v>
      </c>
      <c r="B531" s="3" t="s">
        <v>1004</v>
      </c>
      <c r="C531" s="3">
        <v>128.1</v>
      </c>
      <c r="D531" s="3">
        <v>2</v>
      </c>
    </row>
    <row r="532" spans="1:4" ht="12.75" x14ac:dyDescent="0.35">
      <c r="A532" s="4">
        <v>44825</v>
      </c>
      <c r="B532" s="3" t="s">
        <v>183</v>
      </c>
      <c r="C532" s="3">
        <v>127.67</v>
      </c>
      <c r="D532" s="3">
        <v>1</v>
      </c>
    </row>
    <row r="533" spans="1:4" ht="12.75" x14ac:dyDescent="0.35">
      <c r="A533" s="4">
        <v>44672</v>
      </c>
      <c r="B533" s="3" t="s">
        <v>360</v>
      </c>
      <c r="C533" s="3">
        <v>127.58</v>
      </c>
      <c r="D533" s="3">
        <v>1</v>
      </c>
    </row>
    <row r="534" spans="1:4" ht="12.75" x14ac:dyDescent="0.35">
      <c r="A534" s="4">
        <v>44825</v>
      </c>
      <c r="B534" s="3" t="s">
        <v>1775</v>
      </c>
      <c r="C534" s="3">
        <v>127.53</v>
      </c>
      <c r="D534" s="3">
        <v>3</v>
      </c>
    </row>
    <row r="535" spans="1:4" ht="12.75" x14ac:dyDescent="0.35">
      <c r="A535" s="4">
        <v>44672</v>
      </c>
      <c r="B535" s="3" t="s">
        <v>497</v>
      </c>
      <c r="C535" s="3">
        <v>127.5</v>
      </c>
      <c r="D535" s="3">
        <v>1</v>
      </c>
    </row>
    <row r="536" spans="1:4" ht="12.75" x14ac:dyDescent="0.35">
      <c r="A536" s="5">
        <v>44733</v>
      </c>
      <c r="B536" s="3" t="s">
        <v>68</v>
      </c>
      <c r="C536" s="3">
        <v>126.82</v>
      </c>
      <c r="D536" s="3">
        <v>1</v>
      </c>
    </row>
    <row r="537" spans="1:4" ht="12.75" x14ac:dyDescent="0.35">
      <c r="A537" s="4">
        <v>44582</v>
      </c>
      <c r="B537" s="3" t="s">
        <v>98</v>
      </c>
      <c r="C537" s="3">
        <v>126.48</v>
      </c>
      <c r="D537" s="3">
        <v>1</v>
      </c>
    </row>
    <row r="538" spans="1:4" ht="12.75" x14ac:dyDescent="0.35">
      <c r="A538" s="4">
        <v>44672</v>
      </c>
      <c r="B538" s="3" t="s">
        <v>139</v>
      </c>
      <c r="C538" s="3">
        <v>125.88</v>
      </c>
      <c r="D538" s="3">
        <v>2</v>
      </c>
    </row>
    <row r="539" spans="1:4" ht="12.75" x14ac:dyDescent="0.35">
      <c r="A539" s="4">
        <v>44613</v>
      </c>
      <c r="B539" s="3" t="s">
        <v>514</v>
      </c>
      <c r="C539" s="3">
        <v>125.85</v>
      </c>
      <c r="D539" s="3">
        <v>1</v>
      </c>
    </row>
    <row r="540" spans="1:4" ht="12.75" x14ac:dyDescent="0.35">
      <c r="A540" s="5">
        <v>44763</v>
      </c>
      <c r="B540" s="3" t="s">
        <v>21</v>
      </c>
      <c r="C540" s="3">
        <v>125.81</v>
      </c>
      <c r="D540" s="3">
        <v>9</v>
      </c>
    </row>
    <row r="541" spans="1:4" ht="12.75" x14ac:dyDescent="0.35">
      <c r="A541" s="4">
        <v>44672</v>
      </c>
      <c r="B541" s="3" t="s">
        <v>130</v>
      </c>
      <c r="C541" s="3">
        <v>125.71</v>
      </c>
      <c r="D541" s="3">
        <v>1</v>
      </c>
    </row>
    <row r="542" spans="1:4" ht="12.75" x14ac:dyDescent="0.35">
      <c r="A542" s="4">
        <v>44702</v>
      </c>
      <c r="B542" s="3" t="s">
        <v>396</v>
      </c>
      <c r="C542" s="3">
        <v>125.46</v>
      </c>
      <c r="D542" s="3">
        <v>1</v>
      </c>
    </row>
    <row r="543" spans="1:4" ht="12.75" x14ac:dyDescent="0.35">
      <c r="A543" s="4">
        <v>44825</v>
      </c>
      <c r="B543" s="3" t="s">
        <v>474</v>
      </c>
      <c r="C543" s="3">
        <v>125.06</v>
      </c>
      <c r="D543" s="3">
        <v>2</v>
      </c>
    </row>
    <row r="544" spans="1:4" ht="12.75" x14ac:dyDescent="0.35">
      <c r="A544" s="4">
        <v>44641</v>
      </c>
      <c r="B544" s="3" t="s">
        <v>790</v>
      </c>
      <c r="C544" s="3">
        <v>125.04</v>
      </c>
      <c r="D544" s="3">
        <v>1</v>
      </c>
    </row>
    <row r="545" spans="1:4" ht="12.75" x14ac:dyDescent="0.35">
      <c r="A545" s="4">
        <v>44582</v>
      </c>
      <c r="B545" s="3" t="s">
        <v>14</v>
      </c>
      <c r="C545" s="3">
        <v>124.85</v>
      </c>
      <c r="D545" s="3">
        <v>2</v>
      </c>
    </row>
    <row r="546" spans="1:4" ht="12.75" x14ac:dyDescent="0.35">
      <c r="A546" s="5">
        <v>44733</v>
      </c>
      <c r="B546" s="3" t="s">
        <v>273</v>
      </c>
      <c r="C546" s="3">
        <v>124.67</v>
      </c>
      <c r="D546" s="3">
        <v>2</v>
      </c>
    </row>
    <row r="547" spans="1:4" ht="12.75" x14ac:dyDescent="0.35">
      <c r="A547" s="4">
        <v>44702</v>
      </c>
      <c r="B547" s="3" t="s">
        <v>331</v>
      </c>
      <c r="C547" s="3">
        <v>124.6</v>
      </c>
      <c r="D547" s="3">
        <v>2</v>
      </c>
    </row>
    <row r="548" spans="1:4" ht="12.75" x14ac:dyDescent="0.35">
      <c r="A548" s="4">
        <v>44613</v>
      </c>
      <c r="B548" s="3" t="s">
        <v>218</v>
      </c>
      <c r="C548" s="3">
        <v>124.45</v>
      </c>
      <c r="D548" s="3">
        <v>1</v>
      </c>
    </row>
    <row r="549" spans="1:4" ht="12.75" x14ac:dyDescent="0.35">
      <c r="A549" s="4">
        <v>44672</v>
      </c>
      <c r="B549" s="3" t="s">
        <v>424</v>
      </c>
      <c r="C549" s="3">
        <v>124.29</v>
      </c>
      <c r="D549" s="3">
        <v>1</v>
      </c>
    </row>
    <row r="550" spans="1:4" ht="12.75" x14ac:dyDescent="0.35">
      <c r="A550" s="4">
        <v>44672</v>
      </c>
      <c r="B550" s="3" t="s">
        <v>98</v>
      </c>
      <c r="C550" s="3">
        <v>124.26</v>
      </c>
      <c r="D550" s="3">
        <v>1</v>
      </c>
    </row>
    <row r="551" spans="1:4" ht="12.75" x14ac:dyDescent="0.35">
      <c r="A551" s="4">
        <v>44702</v>
      </c>
      <c r="B551" s="3" t="s">
        <v>151</v>
      </c>
      <c r="C551" s="3">
        <v>124.16</v>
      </c>
      <c r="D551" s="3">
        <v>3</v>
      </c>
    </row>
    <row r="552" spans="1:4" ht="12.75" x14ac:dyDescent="0.35">
      <c r="A552" s="4">
        <v>44672</v>
      </c>
      <c r="B552" s="3" t="s">
        <v>439</v>
      </c>
      <c r="C552" s="3">
        <v>124.04</v>
      </c>
      <c r="D552" s="3">
        <v>3</v>
      </c>
    </row>
    <row r="553" spans="1:4" ht="12.75" x14ac:dyDescent="0.35">
      <c r="A553" s="4">
        <v>44582</v>
      </c>
      <c r="B553" s="3" t="s">
        <v>243</v>
      </c>
      <c r="C553" s="3">
        <v>123.93</v>
      </c>
      <c r="D553" s="3">
        <v>1</v>
      </c>
    </row>
    <row r="554" spans="1:4" ht="12.75" x14ac:dyDescent="0.35">
      <c r="A554" s="5">
        <v>44733</v>
      </c>
      <c r="B554" s="3" t="s">
        <v>66</v>
      </c>
      <c r="C554" s="3">
        <v>123.73</v>
      </c>
      <c r="D554" s="3">
        <v>3</v>
      </c>
    </row>
    <row r="555" spans="1:4" ht="12.75" x14ac:dyDescent="0.35">
      <c r="A555" s="4">
        <v>44702</v>
      </c>
      <c r="B555" s="3" t="s">
        <v>1131</v>
      </c>
      <c r="C555" s="3">
        <v>123.57</v>
      </c>
      <c r="D555" s="3">
        <v>2</v>
      </c>
    </row>
    <row r="556" spans="1:4" ht="12.75" x14ac:dyDescent="0.35">
      <c r="A556" s="4">
        <v>44641</v>
      </c>
      <c r="B556" s="3" t="s">
        <v>308</v>
      </c>
      <c r="C556" s="3">
        <v>123.4</v>
      </c>
      <c r="D556" s="3">
        <v>4</v>
      </c>
    </row>
    <row r="557" spans="1:4" ht="12.75" x14ac:dyDescent="0.35">
      <c r="A557" s="4">
        <v>44763</v>
      </c>
      <c r="B557" s="3" t="s">
        <v>270</v>
      </c>
      <c r="C557" s="3">
        <v>123.3</v>
      </c>
      <c r="D557" s="3">
        <v>6</v>
      </c>
    </row>
    <row r="558" spans="1:4" ht="12.75" x14ac:dyDescent="0.35">
      <c r="A558" s="4">
        <v>44582</v>
      </c>
      <c r="B558" s="3" t="s">
        <v>86</v>
      </c>
      <c r="C558" s="3">
        <v>123.27</v>
      </c>
      <c r="D558" s="3">
        <v>2</v>
      </c>
    </row>
    <row r="559" spans="1:4" ht="12.75" x14ac:dyDescent="0.35">
      <c r="A559" s="4">
        <v>44702</v>
      </c>
      <c r="B559" s="3" t="s">
        <v>392</v>
      </c>
      <c r="C559" s="3">
        <v>123.01</v>
      </c>
      <c r="D559" s="3">
        <v>1</v>
      </c>
    </row>
    <row r="560" spans="1:4" ht="12.75" x14ac:dyDescent="0.35">
      <c r="A560" s="4">
        <v>44582</v>
      </c>
      <c r="B560" s="3" t="s">
        <v>130</v>
      </c>
      <c r="C560" s="3">
        <v>122.61</v>
      </c>
      <c r="D560" s="3">
        <v>1</v>
      </c>
    </row>
    <row r="561" spans="1:4" ht="12.75" x14ac:dyDescent="0.35">
      <c r="A561" s="5">
        <v>44733</v>
      </c>
      <c r="B561" s="3" t="s">
        <v>138</v>
      </c>
      <c r="C561" s="3">
        <v>122.5</v>
      </c>
      <c r="D561" s="3">
        <v>2</v>
      </c>
    </row>
    <row r="562" spans="1:4" ht="12.75" x14ac:dyDescent="0.35">
      <c r="A562" s="4">
        <v>44613</v>
      </c>
      <c r="B562" s="3" t="s">
        <v>14</v>
      </c>
      <c r="C562" s="3">
        <v>122.48</v>
      </c>
      <c r="D562" s="3">
        <v>2</v>
      </c>
    </row>
    <row r="563" spans="1:4" ht="12.75" x14ac:dyDescent="0.35">
      <c r="A563" s="4">
        <v>44641</v>
      </c>
      <c r="B563" s="3" t="s">
        <v>147</v>
      </c>
      <c r="C563" s="3">
        <v>122.41</v>
      </c>
      <c r="D563" s="3">
        <v>1</v>
      </c>
    </row>
    <row r="564" spans="1:4" ht="12.75" x14ac:dyDescent="0.35">
      <c r="A564" s="4">
        <v>44702</v>
      </c>
      <c r="B564" s="3" t="s">
        <v>439</v>
      </c>
      <c r="C564" s="3">
        <v>122.33</v>
      </c>
      <c r="D564" s="3">
        <v>3</v>
      </c>
    </row>
    <row r="565" spans="1:4" ht="12.75" x14ac:dyDescent="0.35">
      <c r="A565" s="4">
        <v>44582</v>
      </c>
      <c r="B565" s="3" t="s">
        <v>239</v>
      </c>
      <c r="C565" s="3">
        <v>122.31</v>
      </c>
      <c r="D565" s="3">
        <v>1</v>
      </c>
    </row>
    <row r="566" spans="1:4" ht="12.75" x14ac:dyDescent="0.35">
      <c r="A566" s="4">
        <v>44641</v>
      </c>
      <c r="B566" s="3" t="s">
        <v>439</v>
      </c>
      <c r="C566" s="3">
        <v>122.15</v>
      </c>
      <c r="D566" s="3">
        <v>3</v>
      </c>
    </row>
    <row r="567" spans="1:4" ht="12.75" x14ac:dyDescent="0.35">
      <c r="A567" s="4">
        <v>44641</v>
      </c>
      <c r="B567" s="3" t="s">
        <v>143</v>
      </c>
      <c r="C567" s="3">
        <v>122.09</v>
      </c>
      <c r="D567" s="3">
        <v>1</v>
      </c>
    </row>
    <row r="568" spans="1:4" ht="12.75" x14ac:dyDescent="0.35">
      <c r="A568" s="5">
        <v>44763</v>
      </c>
      <c r="B568" s="3" t="s">
        <v>23</v>
      </c>
      <c r="C568" s="3">
        <v>121.97</v>
      </c>
      <c r="D568" s="3">
        <v>1</v>
      </c>
    </row>
    <row r="569" spans="1:4" ht="12.75" x14ac:dyDescent="0.35">
      <c r="A569" s="4">
        <v>44916</v>
      </c>
      <c r="B569" s="3" t="s">
        <v>424</v>
      </c>
      <c r="C569" s="3">
        <v>121.9</v>
      </c>
      <c r="D569" s="3">
        <v>1</v>
      </c>
    </row>
    <row r="570" spans="1:4" ht="12.75" x14ac:dyDescent="0.35">
      <c r="A570" s="4">
        <v>44794</v>
      </c>
      <c r="B570" s="3" t="s">
        <v>558</v>
      </c>
      <c r="C570" s="3">
        <v>121.88</v>
      </c>
      <c r="D570" s="3">
        <v>1</v>
      </c>
    </row>
    <row r="571" spans="1:4" ht="12.75" x14ac:dyDescent="0.35">
      <c r="A571" s="4">
        <v>44794</v>
      </c>
      <c r="B571" s="3" t="s">
        <v>108</v>
      </c>
      <c r="C571" s="3">
        <v>121.87</v>
      </c>
      <c r="D571" s="3">
        <v>1</v>
      </c>
    </row>
    <row r="572" spans="1:4" ht="12.75" x14ac:dyDescent="0.35">
      <c r="A572" s="4">
        <v>44672</v>
      </c>
      <c r="B572" s="3" t="s">
        <v>514</v>
      </c>
      <c r="C572" s="3">
        <v>121.75</v>
      </c>
      <c r="D572" s="3">
        <v>1</v>
      </c>
    </row>
    <row r="573" spans="1:4" ht="12.75" x14ac:dyDescent="0.35">
      <c r="A573" s="4">
        <v>44613</v>
      </c>
      <c r="B573" s="3" t="s">
        <v>519</v>
      </c>
      <c r="C573" s="3">
        <v>121.73</v>
      </c>
      <c r="D573" s="3">
        <v>4</v>
      </c>
    </row>
    <row r="574" spans="1:4" ht="12.75" x14ac:dyDescent="0.35">
      <c r="A574" s="4">
        <v>44672</v>
      </c>
      <c r="B574" s="3" t="s">
        <v>616</v>
      </c>
      <c r="C574" s="3">
        <v>121.34</v>
      </c>
      <c r="D574" s="3">
        <v>1</v>
      </c>
    </row>
    <row r="575" spans="1:4" ht="12.75" x14ac:dyDescent="0.35">
      <c r="A575" s="4">
        <v>44582</v>
      </c>
      <c r="B575" s="3" t="s">
        <v>45</v>
      </c>
      <c r="C575" s="3">
        <v>121.18</v>
      </c>
      <c r="D575" s="3">
        <v>1</v>
      </c>
    </row>
    <row r="576" spans="1:4" ht="12.75" x14ac:dyDescent="0.35">
      <c r="A576" s="5">
        <v>44733</v>
      </c>
      <c r="B576" s="3" t="s">
        <v>715</v>
      </c>
      <c r="C576" s="3">
        <v>121.16</v>
      </c>
      <c r="D576" s="3">
        <v>1</v>
      </c>
    </row>
    <row r="577" spans="1:4" ht="12.75" x14ac:dyDescent="0.35">
      <c r="A577" s="4">
        <v>44702</v>
      </c>
      <c r="B577" s="3" t="s">
        <v>180</v>
      </c>
      <c r="C577" s="3">
        <v>121.13</v>
      </c>
      <c r="D577" s="3">
        <v>1</v>
      </c>
    </row>
    <row r="578" spans="1:4" ht="12.75" x14ac:dyDescent="0.35">
      <c r="A578" s="4">
        <v>44641</v>
      </c>
      <c r="B578" s="3" t="s">
        <v>142</v>
      </c>
      <c r="C578" s="3">
        <v>120.56</v>
      </c>
      <c r="D578" s="3">
        <v>1</v>
      </c>
    </row>
    <row r="579" spans="1:4" ht="12.75" x14ac:dyDescent="0.35">
      <c r="A579" s="4">
        <v>44916</v>
      </c>
      <c r="B579" s="3" t="s">
        <v>675</v>
      </c>
      <c r="C579" s="3">
        <v>120.44</v>
      </c>
      <c r="D579" s="3">
        <v>5</v>
      </c>
    </row>
    <row r="580" spans="1:4" ht="12.75" x14ac:dyDescent="0.35">
      <c r="A580" s="4">
        <v>44672</v>
      </c>
      <c r="B580" s="3" t="s">
        <v>412</v>
      </c>
      <c r="C580" s="3">
        <v>120.42</v>
      </c>
      <c r="D580" s="3">
        <v>4</v>
      </c>
    </row>
    <row r="581" spans="1:4" ht="12.75" x14ac:dyDescent="0.35">
      <c r="A581" s="4">
        <v>44613</v>
      </c>
      <c r="B581" s="3" t="s">
        <v>456</v>
      </c>
      <c r="C581" s="3">
        <v>120.22</v>
      </c>
      <c r="D581" s="3">
        <v>4</v>
      </c>
    </row>
    <row r="582" spans="1:4" ht="12.75" x14ac:dyDescent="0.35">
      <c r="A582" s="4">
        <v>44641</v>
      </c>
      <c r="B582" s="3" t="s">
        <v>243</v>
      </c>
      <c r="C582" s="3">
        <v>120.2</v>
      </c>
      <c r="D582" s="3">
        <v>1</v>
      </c>
    </row>
    <row r="583" spans="1:4" ht="12.75" x14ac:dyDescent="0.35">
      <c r="A583" s="4">
        <v>44582</v>
      </c>
      <c r="B583" s="3" t="s">
        <v>108</v>
      </c>
      <c r="C583" s="3">
        <v>120.1</v>
      </c>
      <c r="D583" s="3">
        <v>1</v>
      </c>
    </row>
    <row r="584" spans="1:4" ht="12.75" x14ac:dyDescent="0.35">
      <c r="A584" s="4">
        <v>44672</v>
      </c>
      <c r="B584" s="3" t="s">
        <v>86</v>
      </c>
      <c r="C584" s="3">
        <v>119.51</v>
      </c>
      <c r="D584" s="3">
        <v>2</v>
      </c>
    </row>
    <row r="585" spans="1:4" ht="12.75" x14ac:dyDescent="0.35">
      <c r="A585" s="4">
        <v>44641</v>
      </c>
      <c r="B585" s="3" t="s">
        <v>628</v>
      </c>
      <c r="C585" s="3">
        <v>118.94</v>
      </c>
      <c r="D585" s="3">
        <v>4</v>
      </c>
    </row>
    <row r="586" spans="1:4" ht="12.75" x14ac:dyDescent="0.35">
      <c r="A586" s="4">
        <v>44582</v>
      </c>
      <c r="B586" s="3" t="s">
        <v>353</v>
      </c>
      <c r="C586" s="3">
        <v>118.83</v>
      </c>
      <c r="D586" s="3">
        <v>2</v>
      </c>
    </row>
    <row r="587" spans="1:4" ht="12.75" x14ac:dyDescent="0.35">
      <c r="A587" s="4">
        <v>44641</v>
      </c>
      <c r="B587" s="3" t="s">
        <v>358</v>
      </c>
      <c r="C587" s="3">
        <v>118.76</v>
      </c>
      <c r="D587" s="3">
        <v>2</v>
      </c>
    </row>
    <row r="588" spans="1:4" ht="12.75" x14ac:dyDescent="0.35">
      <c r="A588" s="4">
        <v>44672</v>
      </c>
      <c r="B588" s="3" t="s">
        <v>239</v>
      </c>
      <c r="C588" s="3">
        <v>118.3</v>
      </c>
      <c r="D588" s="3">
        <v>1</v>
      </c>
    </row>
    <row r="589" spans="1:4" ht="12.75" x14ac:dyDescent="0.35">
      <c r="A589" s="4">
        <v>44641</v>
      </c>
      <c r="B589" s="3" t="s">
        <v>45</v>
      </c>
      <c r="C589" s="3">
        <v>118.28</v>
      </c>
      <c r="D589" s="3">
        <v>1</v>
      </c>
    </row>
    <row r="590" spans="1:4" ht="12.75" x14ac:dyDescent="0.35">
      <c r="A590" s="4">
        <v>44582</v>
      </c>
      <c r="B590" s="3" t="s">
        <v>76</v>
      </c>
      <c r="C590" s="3">
        <v>118.15</v>
      </c>
      <c r="D590" s="3">
        <v>1</v>
      </c>
    </row>
    <row r="591" spans="1:4" ht="12.75" x14ac:dyDescent="0.35">
      <c r="A591" s="4">
        <v>44641</v>
      </c>
      <c r="B591" s="3" t="s">
        <v>612</v>
      </c>
      <c r="C591" s="3">
        <v>117.92</v>
      </c>
      <c r="D591" s="3">
        <v>3</v>
      </c>
    </row>
    <row r="592" spans="1:4" ht="12.75" x14ac:dyDescent="0.35">
      <c r="A592" s="4">
        <v>44613</v>
      </c>
      <c r="B592" s="3" t="s">
        <v>389</v>
      </c>
      <c r="C592" s="3">
        <v>117.87</v>
      </c>
      <c r="D592" s="3">
        <v>2</v>
      </c>
    </row>
    <row r="593" spans="1:4" ht="12.75" x14ac:dyDescent="0.35">
      <c r="A593" s="4">
        <v>44641</v>
      </c>
      <c r="B593" s="3" t="s">
        <v>694</v>
      </c>
      <c r="C593" s="3">
        <v>117.56</v>
      </c>
      <c r="D593" s="3">
        <v>1</v>
      </c>
    </row>
    <row r="594" spans="1:4" ht="12.75" x14ac:dyDescent="0.35">
      <c r="A594" s="4">
        <v>44582</v>
      </c>
      <c r="B594" s="3" t="s">
        <v>244</v>
      </c>
      <c r="C594" s="3">
        <v>117.47</v>
      </c>
      <c r="D594" s="3">
        <v>1</v>
      </c>
    </row>
    <row r="595" spans="1:4" ht="12.75" x14ac:dyDescent="0.35">
      <c r="A595" s="4">
        <v>44855</v>
      </c>
      <c r="B595" s="3" t="s">
        <v>1804</v>
      </c>
      <c r="C595" s="3">
        <v>117.42</v>
      </c>
      <c r="D595" s="3">
        <v>1</v>
      </c>
    </row>
    <row r="596" spans="1:4" ht="12.75" x14ac:dyDescent="0.35">
      <c r="A596" s="5">
        <v>44733</v>
      </c>
      <c r="B596" s="3" t="s">
        <v>1056</v>
      </c>
      <c r="C596" s="3">
        <v>117.38</v>
      </c>
      <c r="D596" s="3">
        <v>1</v>
      </c>
    </row>
    <row r="597" spans="1:4" ht="12.75" x14ac:dyDescent="0.35">
      <c r="A597" s="4">
        <v>44641</v>
      </c>
      <c r="B597" s="3" t="s">
        <v>298</v>
      </c>
      <c r="C597" s="3">
        <v>117.37</v>
      </c>
      <c r="D597" s="3">
        <v>1</v>
      </c>
    </row>
    <row r="598" spans="1:4" ht="12.75" x14ac:dyDescent="0.35">
      <c r="A598" s="4">
        <v>44916</v>
      </c>
      <c r="B598" s="3" t="s">
        <v>1847</v>
      </c>
      <c r="C598" s="3">
        <v>117.27</v>
      </c>
      <c r="D598" s="3">
        <v>1</v>
      </c>
    </row>
    <row r="599" spans="1:4" ht="12.75" x14ac:dyDescent="0.35">
      <c r="A599" s="4">
        <v>44641</v>
      </c>
      <c r="B599" s="3" t="s">
        <v>473</v>
      </c>
      <c r="C599" s="3">
        <v>117</v>
      </c>
      <c r="D599" s="3">
        <v>1</v>
      </c>
    </row>
    <row r="600" spans="1:4" ht="12.75" x14ac:dyDescent="0.35">
      <c r="A600" s="4">
        <v>44613</v>
      </c>
      <c r="B600" s="3" t="s">
        <v>212</v>
      </c>
      <c r="C600" s="3">
        <v>116.92</v>
      </c>
      <c r="D600" s="3">
        <v>2</v>
      </c>
    </row>
    <row r="601" spans="1:4" ht="12.75" x14ac:dyDescent="0.35">
      <c r="A601" s="4">
        <v>44582</v>
      </c>
      <c r="B601" s="3" t="s">
        <v>121</v>
      </c>
      <c r="C601" s="3">
        <v>116.78</v>
      </c>
      <c r="D601" s="3">
        <v>1</v>
      </c>
    </row>
    <row r="602" spans="1:4" ht="12.75" x14ac:dyDescent="0.35">
      <c r="A602" s="4">
        <v>44672</v>
      </c>
      <c r="B602" s="3" t="s">
        <v>127</v>
      </c>
      <c r="C602" s="3">
        <v>116.77</v>
      </c>
      <c r="D602" s="3">
        <v>4</v>
      </c>
    </row>
    <row r="603" spans="1:4" ht="12.75" x14ac:dyDescent="0.35">
      <c r="A603" s="4">
        <v>44641</v>
      </c>
      <c r="B603" s="3" t="s">
        <v>96</v>
      </c>
      <c r="C603" s="3">
        <v>116.75</v>
      </c>
      <c r="D603" s="3">
        <v>1</v>
      </c>
    </row>
    <row r="604" spans="1:4" ht="12.75" x14ac:dyDescent="0.35">
      <c r="A604" s="4">
        <v>44641</v>
      </c>
      <c r="B604" s="3" t="s">
        <v>675</v>
      </c>
      <c r="C604" s="3">
        <v>116.69</v>
      </c>
      <c r="D604" s="3">
        <v>5</v>
      </c>
    </row>
    <row r="605" spans="1:4" ht="12.75" x14ac:dyDescent="0.35">
      <c r="A605" s="4">
        <v>44702</v>
      </c>
      <c r="B605" s="3" t="s">
        <v>290</v>
      </c>
      <c r="C605" s="3">
        <v>116.69</v>
      </c>
      <c r="D605" s="3">
        <v>3</v>
      </c>
    </row>
    <row r="606" spans="1:4" ht="12.75" x14ac:dyDescent="0.35">
      <c r="A606" s="4">
        <v>44613</v>
      </c>
      <c r="B606" s="3" t="s">
        <v>147</v>
      </c>
      <c r="C606" s="3">
        <v>116.48</v>
      </c>
      <c r="D606" s="3">
        <v>1</v>
      </c>
    </row>
    <row r="607" spans="1:4" ht="12.75" x14ac:dyDescent="0.35">
      <c r="A607" s="4">
        <v>44582</v>
      </c>
      <c r="B607" s="3" t="s">
        <v>164</v>
      </c>
      <c r="C607" s="3">
        <v>116.45</v>
      </c>
      <c r="D607" s="3">
        <v>2</v>
      </c>
    </row>
    <row r="608" spans="1:4" ht="12.75" x14ac:dyDescent="0.35">
      <c r="A608" s="4">
        <v>44886</v>
      </c>
      <c r="B608" s="3" t="s">
        <v>474</v>
      </c>
      <c r="C608" s="3">
        <v>116.39</v>
      </c>
      <c r="D608" s="3">
        <v>2</v>
      </c>
    </row>
    <row r="609" spans="1:4" ht="12.75" x14ac:dyDescent="0.35">
      <c r="A609" s="4">
        <v>44613</v>
      </c>
      <c r="B609" s="3" t="s">
        <v>497</v>
      </c>
      <c r="C609" s="3">
        <v>116.24</v>
      </c>
      <c r="D609" s="3">
        <v>1</v>
      </c>
    </row>
    <row r="610" spans="1:4" ht="12.75" x14ac:dyDescent="0.35">
      <c r="A610" s="5">
        <v>44733</v>
      </c>
      <c r="B610" s="3" t="s">
        <v>518</v>
      </c>
      <c r="C610" s="3">
        <v>116.22</v>
      </c>
      <c r="D610" s="3">
        <v>3</v>
      </c>
    </row>
    <row r="611" spans="1:4" ht="12.75" x14ac:dyDescent="0.35">
      <c r="A611" s="4">
        <v>44641</v>
      </c>
      <c r="B611" s="3" t="s">
        <v>160</v>
      </c>
      <c r="C611" s="3">
        <v>116.14</v>
      </c>
      <c r="D611" s="3">
        <v>1</v>
      </c>
    </row>
    <row r="612" spans="1:4" ht="12.75" x14ac:dyDescent="0.35">
      <c r="A612" s="4">
        <v>44641</v>
      </c>
      <c r="B612" s="3" t="s">
        <v>353</v>
      </c>
      <c r="C612" s="3">
        <v>116.04</v>
      </c>
      <c r="D612" s="3">
        <v>2</v>
      </c>
    </row>
    <row r="613" spans="1:4" ht="12.75" x14ac:dyDescent="0.35">
      <c r="A613" s="4">
        <v>44582</v>
      </c>
      <c r="B613" s="3" t="s">
        <v>79</v>
      </c>
      <c r="C613" s="3">
        <v>116.01</v>
      </c>
      <c r="D613" s="3">
        <v>1</v>
      </c>
    </row>
    <row r="614" spans="1:4" ht="12.75" x14ac:dyDescent="0.35">
      <c r="A614" s="4">
        <v>44672</v>
      </c>
      <c r="B614" s="3" t="s">
        <v>790</v>
      </c>
      <c r="C614" s="3">
        <v>115.94</v>
      </c>
      <c r="D614" s="3">
        <v>1</v>
      </c>
    </row>
    <row r="615" spans="1:4" ht="12.75" x14ac:dyDescent="0.35">
      <c r="A615" s="4">
        <v>44582</v>
      </c>
      <c r="B615" s="3" t="s">
        <v>276</v>
      </c>
      <c r="C615" s="3">
        <v>115.89</v>
      </c>
      <c r="D615" s="3">
        <v>1</v>
      </c>
    </row>
    <row r="616" spans="1:4" ht="12.75" x14ac:dyDescent="0.35">
      <c r="A616" s="4">
        <v>44763</v>
      </c>
      <c r="B616" s="3" t="s">
        <v>487</v>
      </c>
      <c r="C616" s="3">
        <v>115.74</v>
      </c>
      <c r="D616" s="3">
        <v>2</v>
      </c>
    </row>
    <row r="617" spans="1:4" ht="12.75" x14ac:dyDescent="0.35">
      <c r="A617" s="4">
        <v>44641</v>
      </c>
      <c r="B617" s="3" t="s">
        <v>459</v>
      </c>
      <c r="C617" s="3">
        <v>115.72</v>
      </c>
      <c r="D617" s="3">
        <v>2</v>
      </c>
    </row>
    <row r="618" spans="1:4" ht="12.75" x14ac:dyDescent="0.35">
      <c r="A618" s="4">
        <v>44582</v>
      </c>
      <c r="B618" s="3" t="s">
        <v>68</v>
      </c>
      <c r="C618" s="3">
        <v>115.67</v>
      </c>
      <c r="D618" s="3">
        <v>1</v>
      </c>
    </row>
    <row r="619" spans="1:4" ht="12.75" x14ac:dyDescent="0.35">
      <c r="A619" s="4">
        <v>44641</v>
      </c>
      <c r="B619" s="3" t="s">
        <v>164</v>
      </c>
      <c r="C619" s="3">
        <v>115.55</v>
      </c>
      <c r="D619" s="3">
        <v>2</v>
      </c>
    </row>
    <row r="620" spans="1:4" ht="12.75" x14ac:dyDescent="0.35">
      <c r="A620" s="4">
        <v>44702</v>
      </c>
      <c r="B620" s="3" t="s">
        <v>1002</v>
      </c>
      <c r="C620" s="3">
        <v>115.45</v>
      </c>
      <c r="D620" s="3">
        <v>2</v>
      </c>
    </row>
    <row r="621" spans="1:4" ht="12.75" x14ac:dyDescent="0.35">
      <c r="A621" s="4">
        <v>44886</v>
      </c>
      <c r="B621" s="3" t="s">
        <v>1526</v>
      </c>
      <c r="C621" s="3">
        <v>115.41</v>
      </c>
      <c r="D621" s="3">
        <v>1</v>
      </c>
    </row>
    <row r="622" spans="1:4" ht="12.75" x14ac:dyDescent="0.35">
      <c r="A622" s="4">
        <v>44641</v>
      </c>
      <c r="B622" s="3" t="s">
        <v>188</v>
      </c>
      <c r="C622" s="3">
        <v>115.32</v>
      </c>
      <c r="D622" s="3">
        <v>1</v>
      </c>
    </row>
    <row r="623" spans="1:4" ht="12.75" x14ac:dyDescent="0.35">
      <c r="A623" s="4">
        <v>44641</v>
      </c>
      <c r="B623" s="3" t="s">
        <v>274</v>
      </c>
      <c r="C623" s="3">
        <v>115.25</v>
      </c>
      <c r="D623" s="3">
        <v>1</v>
      </c>
    </row>
    <row r="624" spans="1:4" ht="12.75" x14ac:dyDescent="0.35">
      <c r="A624" s="4">
        <v>44672</v>
      </c>
      <c r="B624" s="3" t="s">
        <v>143</v>
      </c>
      <c r="C624" s="3">
        <v>115.25</v>
      </c>
      <c r="D624" s="3">
        <v>1</v>
      </c>
    </row>
    <row r="625" spans="1:4" ht="12.75" x14ac:dyDescent="0.35">
      <c r="A625" s="4">
        <v>44613</v>
      </c>
      <c r="B625" s="3" t="s">
        <v>74</v>
      </c>
      <c r="C625" s="3">
        <v>115.07</v>
      </c>
      <c r="D625" s="3">
        <v>2</v>
      </c>
    </row>
    <row r="626" spans="1:4" ht="12.75" x14ac:dyDescent="0.35">
      <c r="A626" s="4">
        <v>44794</v>
      </c>
      <c r="B626" s="3" t="s">
        <v>61</v>
      </c>
      <c r="C626" s="3">
        <v>115.06</v>
      </c>
      <c r="D626" s="3">
        <v>1</v>
      </c>
    </row>
    <row r="627" spans="1:4" ht="12.75" x14ac:dyDescent="0.35">
      <c r="A627" s="4">
        <v>44582</v>
      </c>
      <c r="B627" s="3" t="s">
        <v>368</v>
      </c>
      <c r="C627" s="3">
        <v>115.01</v>
      </c>
      <c r="D627" s="3">
        <v>1</v>
      </c>
    </row>
    <row r="628" spans="1:4" ht="12.75" x14ac:dyDescent="0.35">
      <c r="A628" s="4">
        <v>44794</v>
      </c>
      <c r="B628" s="3" t="s">
        <v>69</v>
      </c>
      <c r="C628" s="3">
        <v>114.96</v>
      </c>
      <c r="D628" s="3">
        <v>10</v>
      </c>
    </row>
    <row r="629" spans="1:4" ht="12.75" x14ac:dyDescent="0.35">
      <c r="A629" s="4">
        <v>44672</v>
      </c>
      <c r="B629" s="3" t="s">
        <v>612</v>
      </c>
      <c r="C629" s="3">
        <v>114.77</v>
      </c>
      <c r="D629" s="3">
        <v>3</v>
      </c>
    </row>
    <row r="630" spans="1:4" ht="12.75" x14ac:dyDescent="0.35">
      <c r="A630" s="4">
        <v>44641</v>
      </c>
      <c r="B630" s="3" t="s">
        <v>759</v>
      </c>
      <c r="C630" s="3">
        <v>114.71</v>
      </c>
      <c r="D630" s="3">
        <v>1</v>
      </c>
    </row>
    <row r="631" spans="1:4" ht="12.75" x14ac:dyDescent="0.35">
      <c r="A631" s="4">
        <v>44641</v>
      </c>
      <c r="B631" s="3" t="s">
        <v>127</v>
      </c>
      <c r="C631" s="3">
        <v>114.66</v>
      </c>
      <c r="D631" s="3">
        <v>4</v>
      </c>
    </row>
    <row r="632" spans="1:4" ht="12.75" x14ac:dyDescent="0.35">
      <c r="A632" s="4">
        <v>44582</v>
      </c>
      <c r="B632" s="3" t="s">
        <v>62</v>
      </c>
      <c r="C632" s="3">
        <v>114.56</v>
      </c>
      <c r="D632" s="3">
        <v>1</v>
      </c>
    </row>
    <row r="633" spans="1:4" ht="12.75" x14ac:dyDescent="0.35">
      <c r="A633" s="4">
        <v>44641</v>
      </c>
      <c r="B633" s="3" t="s">
        <v>176</v>
      </c>
      <c r="C633" s="3">
        <v>114.49</v>
      </c>
      <c r="D633" s="3">
        <v>1</v>
      </c>
    </row>
    <row r="634" spans="1:4" ht="12.75" x14ac:dyDescent="0.35">
      <c r="A634" s="5">
        <v>44733</v>
      </c>
      <c r="B634" s="3" t="s">
        <v>1085</v>
      </c>
      <c r="C634" s="3">
        <v>114.47</v>
      </c>
      <c r="D634" s="3">
        <v>1</v>
      </c>
    </row>
    <row r="635" spans="1:4" ht="12.75" x14ac:dyDescent="0.35">
      <c r="A635" s="4">
        <v>44825</v>
      </c>
      <c r="B635" s="3" t="s">
        <v>392</v>
      </c>
      <c r="C635" s="3">
        <v>114.3</v>
      </c>
      <c r="D635" s="3">
        <v>1</v>
      </c>
    </row>
    <row r="636" spans="1:4" ht="12.75" x14ac:dyDescent="0.35">
      <c r="A636" s="4">
        <v>44672</v>
      </c>
      <c r="B636" s="3" t="s">
        <v>76</v>
      </c>
      <c r="C636" s="3">
        <v>114.24</v>
      </c>
      <c r="D636" s="3">
        <v>1</v>
      </c>
    </row>
    <row r="637" spans="1:4" ht="12.75" x14ac:dyDescent="0.35">
      <c r="A637" s="4">
        <v>44916</v>
      </c>
      <c r="B637" s="3" t="s">
        <v>188</v>
      </c>
      <c r="C637" s="3">
        <v>114.23</v>
      </c>
      <c r="D637" s="3">
        <v>1</v>
      </c>
    </row>
    <row r="638" spans="1:4" ht="12.75" x14ac:dyDescent="0.35">
      <c r="A638" s="4">
        <v>44582</v>
      </c>
      <c r="B638" s="3" t="s">
        <v>126</v>
      </c>
      <c r="C638" s="3">
        <v>114.07</v>
      </c>
      <c r="D638" s="3">
        <v>1</v>
      </c>
    </row>
    <row r="639" spans="1:4" ht="12.75" x14ac:dyDescent="0.35">
      <c r="A639" s="4">
        <v>44855</v>
      </c>
      <c r="B639" s="3" t="s">
        <v>293</v>
      </c>
      <c r="C639" s="3">
        <v>114.05</v>
      </c>
      <c r="D639" s="3">
        <v>4</v>
      </c>
    </row>
    <row r="640" spans="1:4" ht="12.75" x14ac:dyDescent="0.35">
      <c r="A640" s="4">
        <v>44672</v>
      </c>
      <c r="B640" s="3" t="s">
        <v>484</v>
      </c>
      <c r="C640" s="3">
        <v>114.04</v>
      </c>
      <c r="D640" s="3">
        <v>1</v>
      </c>
    </row>
    <row r="641" spans="1:4" ht="12.75" x14ac:dyDescent="0.35">
      <c r="A641" s="4">
        <v>44702</v>
      </c>
      <c r="B641" s="3" t="s">
        <v>116</v>
      </c>
      <c r="C641" s="3">
        <v>113.77</v>
      </c>
      <c r="D641" s="3">
        <v>2</v>
      </c>
    </row>
    <row r="642" spans="1:4" ht="12.75" x14ac:dyDescent="0.35">
      <c r="A642" s="4">
        <v>44641</v>
      </c>
      <c r="B642" s="3" t="s">
        <v>79</v>
      </c>
      <c r="C642" s="3">
        <v>113.58</v>
      </c>
      <c r="D642" s="3">
        <v>1</v>
      </c>
    </row>
    <row r="643" spans="1:4" ht="12.75" x14ac:dyDescent="0.35">
      <c r="A643" s="4">
        <v>44613</v>
      </c>
      <c r="B643" s="3" t="s">
        <v>358</v>
      </c>
      <c r="C643" s="3">
        <v>113.56</v>
      </c>
      <c r="D643" s="3">
        <v>2</v>
      </c>
    </row>
    <row r="644" spans="1:4" ht="12.75" x14ac:dyDescent="0.35">
      <c r="A644" s="4">
        <v>44702</v>
      </c>
      <c r="B644" s="3" t="s">
        <v>1134</v>
      </c>
      <c r="C644" s="3">
        <v>113.54</v>
      </c>
      <c r="D644" s="3">
        <v>1</v>
      </c>
    </row>
    <row r="645" spans="1:4" ht="12.75" x14ac:dyDescent="0.35">
      <c r="A645" s="4">
        <v>44916</v>
      </c>
      <c r="B645" s="3" t="s">
        <v>1920</v>
      </c>
      <c r="C645" s="3">
        <v>113.29</v>
      </c>
      <c r="D645" s="3">
        <v>3</v>
      </c>
    </row>
    <row r="646" spans="1:4" ht="12.75" x14ac:dyDescent="0.35">
      <c r="A646" s="4">
        <v>44794</v>
      </c>
      <c r="B646" s="3" t="s">
        <v>1526</v>
      </c>
      <c r="C646" s="3">
        <v>113.27</v>
      </c>
      <c r="D646" s="3">
        <v>1</v>
      </c>
    </row>
    <row r="647" spans="1:4" ht="12.75" x14ac:dyDescent="0.35">
      <c r="A647" s="4">
        <v>44582</v>
      </c>
      <c r="B647" s="3" t="s">
        <v>188</v>
      </c>
      <c r="C647" s="3">
        <v>113.23</v>
      </c>
      <c r="D647" s="3">
        <v>1</v>
      </c>
    </row>
    <row r="648" spans="1:4" ht="12.75" x14ac:dyDescent="0.35">
      <c r="A648" s="4">
        <v>44672</v>
      </c>
      <c r="B648" s="3" t="s">
        <v>715</v>
      </c>
      <c r="C648" s="3">
        <v>113.21</v>
      </c>
      <c r="D648" s="3">
        <v>1</v>
      </c>
    </row>
    <row r="649" spans="1:4" ht="12.75" x14ac:dyDescent="0.35">
      <c r="A649" s="4">
        <v>44672</v>
      </c>
      <c r="B649" s="3" t="s">
        <v>473</v>
      </c>
      <c r="C649" s="3">
        <v>113.04</v>
      </c>
      <c r="D649" s="3">
        <v>1</v>
      </c>
    </row>
    <row r="650" spans="1:4" ht="12.75" x14ac:dyDescent="0.35">
      <c r="A650" s="4">
        <v>44672</v>
      </c>
      <c r="B650" s="3" t="s">
        <v>682</v>
      </c>
      <c r="C650" s="3">
        <v>112.84</v>
      </c>
      <c r="D650" s="3">
        <v>9</v>
      </c>
    </row>
    <row r="651" spans="1:4" ht="12.75" x14ac:dyDescent="0.35">
      <c r="A651" s="4">
        <v>44641</v>
      </c>
      <c r="B651" s="3" t="s">
        <v>123</v>
      </c>
      <c r="C651" s="3">
        <v>112.77</v>
      </c>
      <c r="D651" s="3">
        <v>1</v>
      </c>
    </row>
    <row r="652" spans="1:4" ht="12.75" x14ac:dyDescent="0.35">
      <c r="A652" s="5">
        <v>44733</v>
      </c>
      <c r="B652" s="3" t="s">
        <v>675</v>
      </c>
      <c r="C652" s="3">
        <v>112.71</v>
      </c>
      <c r="D652" s="3">
        <v>5</v>
      </c>
    </row>
    <row r="653" spans="1:4" ht="12.75" x14ac:dyDescent="0.35">
      <c r="A653" s="4">
        <v>44641</v>
      </c>
      <c r="B653" s="3" t="s">
        <v>126</v>
      </c>
      <c r="C653" s="3">
        <v>112.47</v>
      </c>
      <c r="D653" s="3">
        <v>1</v>
      </c>
    </row>
    <row r="654" spans="1:4" ht="12.75" x14ac:dyDescent="0.35">
      <c r="A654" s="4">
        <v>44702</v>
      </c>
      <c r="B654" s="3" t="s">
        <v>295</v>
      </c>
      <c r="C654" s="3">
        <v>112.45</v>
      </c>
      <c r="D654" s="3">
        <v>4</v>
      </c>
    </row>
    <row r="655" spans="1:4" ht="12.75" x14ac:dyDescent="0.35">
      <c r="A655" s="4">
        <v>44582</v>
      </c>
      <c r="B655" s="3" t="s">
        <v>20</v>
      </c>
      <c r="C655" s="3">
        <v>112.35</v>
      </c>
      <c r="D655" s="3">
        <v>1</v>
      </c>
    </row>
    <row r="656" spans="1:4" ht="12.75" x14ac:dyDescent="0.35">
      <c r="A656" s="4">
        <v>44672</v>
      </c>
      <c r="B656" s="3" t="s">
        <v>20</v>
      </c>
      <c r="C656" s="3">
        <v>112.03</v>
      </c>
      <c r="D656" s="3">
        <v>1</v>
      </c>
    </row>
    <row r="657" spans="1:4" ht="12.75" x14ac:dyDescent="0.35">
      <c r="A657" s="4">
        <v>44916</v>
      </c>
      <c r="B657" s="3" t="s">
        <v>20</v>
      </c>
      <c r="C657" s="3">
        <v>112.03</v>
      </c>
      <c r="D657" s="3">
        <v>1</v>
      </c>
    </row>
    <row r="658" spans="1:4" ht="12.75" x14ac:dyDescent="0.35">
      <c r="A658" s="4">
        <v>44641</v>
      </c>
      <c r="B658" s="3" t="s">
        <v>226</v>
      </c>
      <c r="C658" s="3">
        <v>111.93</v>
      </c>
      <c r="D658" s="3">
        <v>1</v>
      </c>
    </row>
    <row r="659" spans="1:4" ht="12.75" x14ac:dyDescent="0.35">
      <c r="A659" s="4">
        <v>44582</v>
      </c>
      <c r="B659" s="3" t="s">
        <v>143</v>
      </c>
      <c r="C659" s="3">
        <v>111.71</v>
      </c>
      <c r="D659" s="3">
        <v>1</v>
      </c>
    </row>
    <row r="660" spans="1:4" ht="12.75" x14ac:dyDescent="0.35">
      <c r="A660" s="4">
        <v>44672</v>
      </c>
      <c r="B660" s="3" t="s">
        <v>911</v>
      </c>
      <c r="C660" s="3">
        <v>111.63</v>
      </c>
      <c r="D660" s="3">
        <v>2</v>
      </c>
    </row>
    <row r="661" spans="1:4" ht="12.75" x14ac:dyDescent="0.35">
      <c r="A661" s="4">
        <v>44641</v>
      </c>
      <c r="B661" s="3" t="s">
        <v>668</v>
      </c>
      <c r="C661" s="3">
        <v>111.61</v>
      </c>
      <c r="D661" s="3">
        <v>1</v>
      </c>
    </row>
    <row r="662" spans="1:4" ht="12.75" x14ac:dyDescent="0.35">
      <c r="A662" s="4">
        <v>44672</v>
      </c>
      <c r="B662" s="3" t="s">
        <v>274</v>
      </c>
      <c r="C662" s="3">
        <v>111.51</v>
      </c>
      <c r="D662" s="3">
        <v>1</v>
      </c>
    </row>
    <row r="663" spans="1:4" ht="12.75" x14ac:dyDescent="0.35">
      <c r="A663" s="4">
        <v>44702</v>
      </c>
      <c r="B663" s="3" t="s">
        <v>567</v>
      </c>
      <c r="C663" s="3">
        <v>111.51</v>
      </c>
      <c r="D663" s="3">
        <v>1</v>
      </c>
    </row>
    <row r="664" spans="1:4" ht="12.75" x14ac:dyDescent="0.35">
      <c r="A664" s="4">
        <v>44582</v>
      </c>
      <c r="B664" s="3" t="s">
        <v>160</v>
      </c>
      <c r="C664" s="3">
        <v>111.39</v>
      </c>
      <c r="D664" s="3">
        <v>1</v>
      </c>
    </row>
    <row r="665" spans="1:4" ht="12.75" x14ac:dyDescent="0.35">
      <c r="A665" s="4">
        <v>44641</v>
      </c>
      <c r="B665" s="3" t="s">
        <v>44</v>
      </c>
      <c r="C665" s="3">
        <v>111.34</v>
      </c>
      <c r="D665" s="3">
        <v>1</v>
      </c>
    </row>
    <row r="666" spans="1:4" ht="12.75" x14ac:dyDescent="0.35">
      <c r="A666" s="4">
        <v>44582</v>
      </c>
      <c r="B666" s="3" t="s">
        <v>95</v>
      </c>
      <c r="C666" s="3">
        <v>111.29</v>
      </c>
      <c r="D666" s="3">
        <v>1</v>
      </c>
    </row>
    <row r="667" spans="1:4" ht="12.75" x14ac:dyDescent="0.35">
      <c r="A667" s="4">
        <v>44672</v>
      </c>
      <c r="B667" s="3" t="s">
        <v>176</v>
      </c>
      <c r="C667" s="3">
        <v>111.27</v>
      </c>
      <c r="D667" s="3">
        <v>1</v>
      </c>
    </row>
    <row r="668" spans="1:4" ht="12.75" x14ac:dyDescent="0.35">
      <c r="A668" s="4">
        <v>44672</v>
      </c>
      <c r="B668" s="3" t="s">
        <v>897</v>
      </c>
      <c r="C668" s="3">
        <v>111.24</v>
      </c>
      <c r="D668" s="3">
        <v>1</v>
      </c>
    </row>
    <row r="669" spans="1:4" ht="12.75" x14ac:dyDescent="0.35">
      <c r="A669" s="4">
        <v>44613</v>
      </c>
      <c r="B669" s="3" t="s">
        <v>360</v>
      </c>
      <c r="C669" s="3">
        <v>111.22</v>
      </c>
      <c r="D669" s="3">
        <v>1</v>
      </c>
    </row>
    <row r="670" spans="1:4" ht="12.75" x14ac:dyDescent="0.35">
      <c r="A670" s="4">
        <v>44702</v>
      </c>
      <c r="B670" s="3" t="s">
        <v>790</v>
      </c>
      <c r="C670" s="3">
        <v>111.04</v>
      </c>
      <c r="D670" s="3">
        <v>1</v>
      </c>
    </row>
    <row r="671" spans="1:4" ht="12.75" x14ac:dyDescent="0.35">
      <c r="A671" s="4">
        <v>44641</v>
      </c>
      <c r="B671" s="3" t="s">
        <v>529</v>
      </c>
      <c r="C671" s="3">
        <v>111</v>
      </c>
      <c r="D671" s="3">
        <v>6</v>
      </c>
    </row>
    <row r="672" spans="1:4" ht="12.75" x14ac:dyDescent="0.35">
      <c r="A672" s="4">
        <v>44672</v>
      </c>
      <c r="B672" s="3" t="s">
        <v>694</v>
      </c>
      <c r="C672" s="3">
        <v>110.95</v>
      </c>
      <c r="D672" s="3">
        <v>1</v>
      </c>
    </row>
    <row r="673" spans="1:4" ht="12.75" x14ac:dyDescent="0.35">
      <c r="A673" s="4">
        <v>44672</v>
      </c>
      <c r="B673" s="3" t="s">
        <v>955</v>
      </c>
      <c r="C673" s="3">
        <v>110.92</v>
      </c>
      <c r="D673" s="3">
        <v>1</v>
      </c>
    </row>
    <row r="674" spans="1:4" ht="12.75" x14ac:dyDescent="0.35">
      <c r="A674" s="4">
        <v>44582</v>
      </c>
      <c r="B674" s="3" t="s">
        <v>237</v>
      </c>
      <c r="C674" s="3">
        <v>110.9</v>
      </c>
      <c r="D674" s="3">
        <v>3</v>
      </c>
    </row>
    <row r="675" spans="1:4" ht="12.75" x14ac:dyDescent="0.35">
      <c r="A675" s="4">
        <v>44825</v>
      </c>
      <c r="B675" s="3" t="s">
        <v>502</v>
      </c>
      <c r="C675" s="3">
        <v>110.84</v>
      </c>
      <c r="D675" s="3">
        <v>1</v>
      </c>
    </row>
    <row r="676" spans="1:4" ht="12.75" x14ac:dyDescent="0.35">
      <c r="A676" s="4">
        <v>44582</v>
      </c>
      <c r="B676" s="3" t="s">
        <v>5</v>
      </c>
      <c r="C676" s="3">
        <v>110.75</v>
      </c>
      <c r="D676" s="3">
        <v>1</v>
      </c>
    </row>
    <row r="677" spans="1:4" ht="12.75" x14ac:dyDescent="0.35">
      <c r="A677" s="4">
        <v>44672</v>
      </c>
      <c r="B677" s="3" t="s">
        <v>438</v>
      </c>
      <c r="C677" s="3">
        <v>110.7</v>
      </c>
      <c r="D677" s="3">
        <v>1</v>
      </c>
    </row>
    <row r="678" spans="1:4" ht="12.75" x14ac:dyDescent="0.35">
      <c r="A678" s="4">
        <v>44613</v>
      </c>
      <c r="B678" s="3" t="s">
        <v>239</v>
      </c>
      <c r="C678" s="3">
        <v>110.65</v>
      </c>
      <c r="D678" s="3">
        <v>1</v>
      </c>
    </row>
    <row r="679" spans="1:4" ht="12.75" x14ac:dyDescent="0.35">
      <c r="A679" s="4">
        <v>44641</v>
      </c>
      <c r="B679" s="3" t="s">
        <v>518</v>
      </c>
      <c r="C679" s="3">
        <v>110.5</v>
      </c>
      <c r="D679" s="3">
        <v>3</v>
      </c>
    </row>
    <row r="680" spans="1:4" ht="12.75" x14ac:dyDescent="0.35">
      <c r="A680" s="4">
        <v>44672</v>
      </c>
      <c r="B680" s="3" t="s">
        <v>142</v>
      </c>
      <c r="C680" s="3">
        <v>110.48</v>
      </c>
      <c r="D680" s="3">
        <v>1</v>
      </c>
    </row>
    <row r="681" spans="1:4" ht="12.75" x14ac:dyDescent="0.35">
      <c r="A681" s="4">
        <v>44794</v>
      </c>
      <c r="B681" s="3" t="s">
        <v>500</v>
      </c>
      <c r="C681" s="3">
        <v>110.33</v>
      </c>
      <c r="D681" s="3">
        <v>7</v>
      </c>
    </row>
    <row r="682" spans="1:4" ht="12.75" x14ac:dyDescent="0.35">
      <c r="A682" s="5">
        <v>44733</v>
      </c>
      <c r="B682" s="3" t="s">
        <v>482</v>
      </c>
      <c r="C682" s="3">
        <v>110.31</v>
      </c>
      <c r="D682" s="3">
        <v>1</v>
      </c>
    </row>
    <row r="683" spans="1:4" ht="12.75" x14ac:dyDescent="0.35">
      <c r="A683" s="4">
        <v>44702</v>
      </c>
      <c r="B683" s="3" t="s">
        <v>382</v>
      </c>
      <c r="C683" s="3">
        <v>110.18</v>
      </c>
      <c r="D683" s="3">
        <v>2</v>
      </c>
    </row>
    <row r="684" spans="1:4" ht="12.75" x14ac:dyDescent="0.35">
      <c r="A684" s="4">
        <v>44613</v>
      </c>
      <c r="B684" s="3" t="s">
        <v>508</v>
      </c>
      <c r="C684" s="3">
        <v>110.03</v>
      </c>
      <c r="D684" s="3">
        <v>3</v>
      </c>
    </row>
    <row r="685" spans="1:4" ht="12.75" x14ac:dyDescent="0.35">
      <c r="A685" s="4">
        <v>44613</v>
      </c>
      <c r="B685" s="3" t="s">
        <v>45</v>
      </c>
      <c r="C685" s="3">
        <v>109.54</v>
      </c>
      <c r="D685" s="3">
        <v>1</v>
      </c>
    </row>
    <row r="686" spans="1:4" ht="12.75" x14ac:dyDescent="0.35">
      <c r="A686" s="4">
        <v>44672</v>
      </c>
      <c r="B686" s="3" t="s">
        <v>279</v>
      </c>
      <c r="C686" s="3">
        <v>109.45</v>
      </c>
      <c r="D686" s="3">
        <v>1</v>
      </c>
    </row>
    <row r="687" spans="1:4" ht="12.75" x14ac:dyDescent="0.35">
      <c r="A687" s="4">
        <v>44702</v>
      </c>
      <c r="B687" s="3" t="s">
        <v>419</v>
      </c>
      <c r="C687" s="3">
        <v>109.17</v>
      </c>
      <c r="D687" s="3">
        <v>3</v>
      </c>
    </row>
    <row r="688" spans="1:4" ht="12.75" x14ac:dyDescent="0.35">
      <c r="A688" s="4">
        <v>44641</v>
      </c>
      <c r="B688" s="3" t="s">
        <v>34</v>
      </c>
      <c r="C688" s="3">
        <v>109.15</v>
      </c>
      <c r="D688" s="3">
        <v>1</v>
      </c>
    </row>
    <row r="689" spans="1:4" ht="12.75" x14ac:dyDescent="0.35">
      <c r="A689" s="4">
        <v>44672</v>
      </c>
      <c r="B689" s="3" t="s">
        <v>675</v>
      </c>
      <c r="C689" s="3">
        <v>109.13</v>
      </c>
      <c r="D689" s="3">
        <v>5</v>
      </c>
    </row>
    <row r="690" spans="1:4" ht="12.75" x14ac:dyDescent="0.35">
      <c r="A690" s="4">
        <v>44855</v>
      </c>
      <c r="B690" s="3" t="s">
        <v>1733</v>
      </c>
      <c r="C690" s="3">
        <v>109.11</v>
      </c>
      <c r="D690" s="3">
        <v>1</v>
      </c>
    </row>
    <row r="691" spans="1:4" ht="12.75" x14ac:dyDescent="0.35">
      <c r="A691" s="4">
        <v>44582</v>
      </c>
      <c r="B691" s="3" t="s">
        <v>56</v>
      </c>
      <c r="C691" s="3">
        <v>109.1</v>
      </c>
      <c r="D691" s="3">
        <v>1</v>
      </c>
    </row>
    <row r="692" spans="1:4" ht="12.75" x14ac:dyDescent="0.35">
      <c r="A692" s="4">
        <v>44613</v>
      </c>
      <c r="B692" s="3" t="s">
        <v>439</v>
      </c>
      <c r="C692" s="3">
        <v>108.97</v>
      </c>
      <c r="D692" s="3">
        <v>3</v>
      </c>
    </row>
    <row r="693" spans="1:4" ht="12.75" x14ac:dyDescent="0.35">
      <c r="A693" s="4">
        <v>44886</v>
      </c>
      <c r="B693" s="3" t="s">
        <v>232</v>
      </c>
      <c r="C693" s="3">
        <v>108.93</v>
      </c>
      <c r="D693" s="3">
        <v>5</v>
      </c>
    </row>
    <row r="694" spans="1:4" ht="12.75" x14ac:dyDescent="0.35">
      <c r="A694" s="4">
        <v>44672</v>
      </c>
      <c r="B694" s="3" t="s">
        <v>574</v>
      </c>
      <c r="C694" s="3">
        <v>108.81</v>
      </c>
      <c r="D694" s="3">
        <v>1</v>
      </c>
    </row>
    <row r="695" spans="1:4" ht="12.75" x14ac:dyDescent="0.35">
      <c r="A695" s="4">
        <v>44916</v>
      </c>
      <c r="B695" s="3" t="s">
        <v>520</v>
      </c>
      <c r="C695" s="3">
        <v>108.73</v>
      </c>
      <c r="D695" s="3">
        <v>1</v>
      </c>
    </row>
    <row r="696" spans="1:4" ht="12.75" x14ac:dyDescent="0.35">
      <c r="A696" s="4">
        <v>44702</v>
      </c>
      <c r="B696" s="3" t="s">
        <v>218</v>
      </c>
      <c r="C696" s="3">
        <v>108.44</v>
      </c>
      <c r="D696" s="3">
        <v>1</v>
      </c>
    </row>
    <row r="697" spans="1:4" ht="12.75" x14ac:dyDescent="0.35">
      <c r="A697" s="4">
        <v>44702</v>
      </c>
      <c r="B697" s="3" t="s">
        <v>289</v>
      </c>
      <c r="C697" s="3">
        <v>108.39</v>
      </c>
      <c r="D697" s="3">
        <v>2</v>
      </c>
    </row>
    <row r="698" spans="1:4" ht="12.75" x14ac:dyDescent="0.35">
      <c r="A698" s="5">
        <v>44763</v>
      </c>
      <c r="B698" s="3" t="s">
        <v>10</v>
      </c>
      <c r="C698" s="3">
        <v>108.26</v>
      </c>
      <c r="D698" s="3">
        <v>1</v>
      </c>
    </row>
    <row r="699" spans="1:4" ht="12.75" x14ac:dyDescent="0.35">
      <c r="A699" s="4">
        <v>44613</v>
      </c>
      <c r="B699" s="3" t="s">
        <v>76</v>
      </c>
      <c r="C699" s="3">
        <v>108.22</v>
      </c>
      <c r="D699" s="3">
        <v>1</v>
      </c>
    </row>
    <row r="700" spans="1:4" ht="12.75" x14ac:dyDescent="0.35">
      <c r="A700" s="4">
        <v>44582</v>
      </c>
      <c r="B700" s="3" t="s">
        <v>295</v>
      </c>
      <c r="C700" s="3">
        <v>108.17</v>
      </c>
      <c r="D700" s="3">
        <v>4</v>
      </c>
    </row>
    <row r="701" spans="1:4" ht="12.75" x14ac:dyDescent="0.35">
      <c r="A701" s="4">
        <v>44672</v>
      </c>
      <c r="B701" s="3" t="s">
        <v>41</v>
      </c>
      <c r="C701" s="3">
        <v>108.17</v>
      </c>
      <c r="D701" s="3">
        <v>1</v>
      </c>
    </row>
    <row r="702" spans="1:4" ht="12.75" x14ac:dyDescent="0.35">
      <c r="A702" s="4">
        <v>44672</v>
      </c>
      <c r="B702" s="3" t="s">
        <v>68</v>
      </c>
      <c r="C702" s="3">
        <v>108.07</v>
      </c>
      <c r="D702" s="3">
        <v>1</v>
      </c>
    </row>
    <row r="703" spans="1:4" ht="12.75" x14ac:dyDescent="0.35">
      <c r="A703" s="4">
        <v>44886</v>
      </c>
      <c r="B703" s="3" t="s">
        <v>309</v>
      </c>
      <c r="C703" s="3">
        <v>107.64</v>
      </c>
      <c r="D703" s="3">
        <v>2</v>
      </c>
    </row>
    <row r="704" spans="1:4" ht="12.75" x14ac:dyDescent="0.35">
      <c r="A704" s="4">
        <v>44582</v>
      </c>
      <c r="B704" s="3" t="s">
        <v>382</v>
      </c>
      <c r="C704" s="3">
        <v>107.6</v>
      </c>
      <c r="D704" s="3">
        <v>2</v>
      </c>
    </row>
    <row r="705" spans="1:4" ht="12.75" x14ac:dyDescent="0.35">
      <c r="A705" s="4">
        <v>44672</v>
      </c>
      <c r="B705" s="3" t="s">
        <v>149</v>
      </c>
      <c r="C705" s="3">
        <v>107.54</v>
      </c>
      <c r="D705" s="3">
        <v>1</v>
      </c>
    </row>
    <row r="706" spans="1:4" ht="12.75" x14ac:dyDescent="0.35">
      <c r="A706" s="4">
        <v>44613</v>
      </c>
      <c r="B706" s="3" t="s">
        <v>427</v>
      </c>
      <c r="C706" s="3">
        <v>107.53</v>
      </c>
      <c r="D706" s="3">
        <v>2</v>
      </c>
    </row>
    <row r="707" spans="1:4" ht="12.75" x14ac:dyDescent="0.35">
      <c r="A707" s="4">
        <v>44582</v>
      </c>
      <c r="B707" s="3" t="s">
        <v>265</v>
      </c>
      <c r="C707" s="3">
        <v>107.4</v>
      </c>
      <c r="D707" s="3">
        <v>2</v>
      </c>
    </row>
    <row r="708" spans="1:4" ht="12.75" x14ac:dyDescent="0.35">
      <c r="A708" s="4">
        <v>44702</v>
      </c>
      <c r="B708" s="3" t="s">
        <v>760</v>
      </c>
      <c r="C708" s="3">
        <v>107.29</v>
      </c>
      <c r="D708" s="3">
        <v>3</v>
      </c>
    </row>
    <row r="709" spans="1:4" ht="12.75" x14ac:dyDescent="0.35">
      <c r="A709" s="4">
        <v>44672</v>
      </c>
      <c r="B709" s="3" t="s">
        <v>245</v>
      </c>
      <c r="C709" s="3">
        <v>107.23</v>
      </c>
      <c r="D709" s="3">
        <v>1</v>
      </c>
    </row>
    <row r="710" spans="1:4" ht="12.75" x14ac:dyDescent="0.35">
      <c r="A710" s="5">
        <v>44733</v>
      </c>
      <c r="B710" s="3" t="s">
        <v>61</v>
      </c>
      <c r="C710" s="3">
        <v>107.21</v>
      </c>
      <c r="D710" s="3">
        <v>1</v>
      </c>
    </row>
    <row r="711" spans="1:4" ht="12.75" x14ac:dyDescent="0.35">
      <c r="A711" s="4">
        <v>44613</v>
      </c>
      <c r="B711" s="3" t="s">
        <v>121</v>
      </c>
      <c r="C711" s="3">
        <v>107.13</v>
      </c>
      <c r="D711" s="3">
        <v>1</v>
      </c>
    </row>
    <row r="712" spans="1:4" ht="12.75" x14ac:dyDescent="0.35">
      <c r="A712" s="4">
        <v>44641</v>
      </c>
      <c r="B712" s="3" t="s">
        <v>572</v>
      </c>
      <c r="C712" s="3">
        <v>107.13</v>
      </c>
      <c r="D712" s="3">
        <v>2</v>
      </c>
    </row>
    <row r="713" spans="1:4" ht="12.75" x14ac:dyDescent="0.35">
      <c r="A713" s="4">
        <v>44672</v>
      </c>
      <c r="B713" s="3" t="s">
        <v>470</v>
      </c>
      <c r="C713" s="3">
        <v>107.11</v>
      </c>
      <c r="D713" s="3">
        <v>1</v>
      </c>
    </row>
    <row r="714" spans="1:4" ht="12.75" x14ac:dyDescent="0.35">
      <c r="A714" s="4">
        <v>44916</v>
      </c>
      <c r="B714" s="3" t="s">
        <v>14</v>
      </c>
      <c r="C714" s="3">
        <v>107.01</v>
      </c>
      <c r="D714" s="3">
        <v>2</v>
      </c>
    </row>
    <row r="715" spans="1:4" ht="12.75" x14ac:dyDescent="0.35">
      <c r="A715" s="4">
        <v>44672</v>
      </c>
      <c r="B715" s="3" t="s">
        <v>518</v>
      </c>
      <c r="C715" s="3">
        <v>106.81</v>
      </c>
      <c r="D715" s="3">
        <v>3</v>
      </c>
    </row>
    <row r="716" spans="1:4" ht="12.75" x14ac:dyDescent="0.35">
      <c r="A716" s="4">
        <v>44613</v>
      </c>
      <c r="B716" s="3" t="s">
        <v>188</v>
      </c>
      <c r="C716" s="3">
        <v>106.67</v>
      </c>
      <c r="D716" s="3">
        <v>1</v>
      </c>
    </row>
    <row r="717" spans="1:4" ht="12.75" x14ac:dyDescent="0.35">
      <c r="A717" s="4">
        <v>44582</v>
      </c>
      <c r="B717" s="3" t="s">
        <v>205</v>
      </c>
      <c r="C717" s="3">
        <v>106.57</v>
      </c>
      <c r="D717" s="3">
        <v>1</v>
      </c>
    </row>
    <row r="718" spans="1:4" ht="12.75" x14ac:dyDescent="0.35">
      <c r="A718" s="4">
        <v>44641</v>
      </c>
      <c r="B718" s="3" t="s">
        <v>201</v>
      </c>
      <c r="C718" s="3">
        <v>106.44</v>
      </c>
      <c r="D718" s="3">
        <v>1</v>
      </c>
    </row>
    <row r="719" spans="1:4" ht="12.75" x14ac:dyDescent="0.35">
      <c r="A719" s="4">
        <v>44672</v>
      </c>
      <c r="B719" s="3" t="s">
        <v>472</v>
      </c>
      <c r="C719" s="3">
        <v>106.37</v>
      </c>
      <c r="D719" s="3">
        <v>1</v>
      </c>
    </row>
    <row r="720" spans="1:4" ht="12.75" x14ac:dyDescent="0.35">
      <c r="A720" s="4">
        <v>44613</v>
      </c>
      <c r="B720" s="3" t="s">
        <v>79</v>
      </c>
      <c r="C720" s="3">
        <v>106.12</v>
      </c>
      <c r="D720" s="3">
        <v>1</v>
      </c>
    </row>
    <row r="721" spans="1:4" ht="12.75" x14ac:dyDescent="0.35">
      <c r="A721" s="4">
        <v>44886</v>
      </c>
      <c r="B721" s="3" t="s">
        <v>1669</v>
      </c>
      <c r="C721" s="3">
        <v>105.94</v>
      </c>
      <c r="D721" s="3">
        <v>2</v>
      </c>
    </row>
    <row r="722" spans="1:4" ht="12.75" x14ac:dyDescent="0.35">
      <c r="A722" s="4">
        <v>44641</v>
      </c>
      <c r="B722" s="3" t="s">
        <v>523</v>
      </c>
      <c r="C722" s="3">
        <v>105.9</v>
      </c>
      <c r="D722" s="3">
        <v>1</v>
      </c>
    </row>
    <row r="723" spans="1:4" ht="12.75" x14ac:dyDescent="0.35">
      <c r="A723" s="4">
        <v>44613</v>
      </c>
      <c r="B723" s="3" t="s">
        <v>473</v>
      </c>
      <c r="C723" s="3">
        <v>105.76</v>
      </c>
      <c r="D723" s="3">
        <v>1</v>
      </c>
    </row>
    <row r="724" spans="1:4" ht="12.75" x14ac:dyDescent="0.35">
      <c r="A724" s="4">
        <v>44582</v>
      </c>
      <c r="B724" s="3" t="s">
        <v>127</v>
      </c>
      <c r="C724" s="3">
        <v>105.72</v>
      </c>
      <c r="D724" s="3">
        <v>4</v>
      </c>
    </row>
    <row r="725" spans="1:4" ht="12.75" x14ac:dyDescent="0.35">
      <c r="A725" s="4">
        <v>44672</v>
      </c>
      <c r="B725" s="3" t="s">
        <v>290</v>
      </c>
      <c r="C725" s="3">
        <v>105.7</v>
      </c>
      <c r="D725" s="3">
        <v>3</v>
      </c>
    </row>
    <row r="726" spans="1:4" ht="12.75" x14ac:dyDescent="0.35">
      <c r="A726" s="4">
        <v>44582</v>
      </c>
      <c r="B726" s="3" t="s">
        <v>103</v>
      </c>
      <c r="C726" s="3">
        <v>105.61</v>
      </c>
      <c r="D726" s="3">
        <v>6</v>
      </c>
    </row>
    <row r="727" spans="1:4" ht="12.75" x14ac:dyDescent="0.35">
      <c r="A727" s="4">
        <v>44702</v>
      </c>
      <c r="B727" s="3" t="s">
        <v>122</v>
      </c>
      <c r="C727" s="3">
        <v>105.58</v>
      </c>
      <c r="D727" s="3">
        <v>1</v>
      </c>
    </row>
    <row r="728" spans="1:4" ht="12.75" x14ac:dyDescent="0.35">
      <c r="A728" s="4">
        <v>44641</v>
      </c>
      <c r="B728" s="3" t="s">
        <v>577</v>
      </c>
      <c r="C728" s="3">
        <v>105.51</v>
      </c>
      <c r="D728" s="3">
        <v>1</v>
      </c>
    </row>
    <row r="729" spans="1:4" ht="12.75" x14ac:dyDescent="0.35">
      <c r="A729" s="4">
        <v>44613</v>
      </c>
      <c r="B729" s="3" t="s">
        <v>274</v>
      </c>
      <c r="C729" s="3">
        <v>105.31</v>
      </c>
      <c r="D729" s="3">
        <v>1</v>
      </c>
    </row>
    <row r="730" spans="1:4" ht="12.75" x14ac:dyDescent="0.35">
      <c r="A730" s="4">
        <v>44702</v>
      </c>
      <c r="B730" s="3" t="s">
        <v>483</v>
      </c>
      <c r="C730" s="3">
        <v>105.29</v>
      </c>
      <c r="D730" s="3">
        <v>1</v>
      </c>
    </row>
    <row r="731" spans="1:4" ht="12.75" x14ac:dyDescent="0.35">
      <c r="A731" s="4">
        <v>44672</v>
      </c>
      <c r="B731" s="3" t="s">
        <v>336</v>
      </c>
      <c r="C731" s="3">
        <v>105.14</v>
      </c>
      <c r="D731" s="3">
        <v>2</v>
      </c>
    </row>
    <row r="732" spans="1:4" ht="12.75" x14ac:dyDescent="0.35">
      <c r="A732" s="5">
        <v>44763</v>
      </c>
      <c r="B732" s="3" t="s">
        <v>444</v>
      </c>
      <c r="C732" s="3">
        <v>105.14</v>
      </c>
      <c r="D732" s="3">
        <v>1</v>
      </c>
    </row>
    <row r="733" spans="1:4" ht="12.75" x14ac:dyDescent="0.35">
      <c r="A733" s="4">
        <v>44613</v>
      </c>
      <c r="B733" s="3" t="s">
        <v>130</v>
      </c>
      <c r="C733" s="3">
        <v>105.12</v>
      </c>
      <c r="D733" s="3">
        <v>1</v>
      </c>
    </row>
    <row r="734" spans="1:4" ht="12.75" x14ac:dyDescent="0.35">
      <c r="A734" s="4">
        <v>44582</v>
      </c>
      <c r="B734" s="3" t="s">
        <v>6</v>
      </c>
      <c r="C734" s="3">
        <v>105.02</v>
      </c>
      <c r="D734" s="3">
        <v>1</v>
      </c>
    </row>
    <row r="735" spans="1:4" ht="12.75" x14ac:dyDescent="0.35">
      <c r="A735" s="4">
        <v>44672</v>
      </c>
      <c r="B735" s="3" t="s">
        <v>276</v>
      </c>
      <c r="C735" s="3">
        <v>105</v>
      </c>
      <c r="D735" s="3">
        <v>1</v>
      </c>
    </row>
    <row r="736" spans="1:4" ht="12.75" x14ac:dyDescent="0.35">
      <c r="A736" s="4">
        <v>44672</v>
      </c>
      <c r="B736" s="3" t="s">
        <v>519</v>
      </c>
      <c r="C736" s="3">
        <v>104.89</v>
      </c>
      <c r="D736" s="3">
        <v>4</v>
      </c>
    </row>
    <row r="737" spans="1:4" ht="12.75" x14ac:dyDescent="0.35">
      <c r="A737" s="4">
        <v>44582</v>
      </c>
      <c r="B737" s="3" t="s">
        <v>122</v>
      </c>
      <c r="C737" s="3">
        <v>104.77</v>
      </c>
      <c r="D737" s="3">
        <v>1</v>
      </c>
    </row>
    <row r="738" spans="1:4" ht="12.75" x14ac:dyDescent="0.35">
      <c r="A738" s="5">
        <v>44763</v>
      </c>
      <c r="B738" s="3" t="s">
        <v>20</v>
      </c>
      <c r="C738" s="3">
        <v>104.77</v>
      </c>
      <c r="D738" s="3">
        <v>1</v>
      </c>
    </row>
    <row r="739" spans="1:4" ht="12.75" x14ac:dyDescent="0.35">
      <c r="A739" s="4">
        <v>44641</v>
      </c>
      <c r="B739" s="3" t="s">
        <v>610</v>
      </c>
      <c r="C739" s="3">
        <v>104.59</v>
      </c>
      <c r="D739" s="3">
        <v>1</v>
      </c>
    </row>
    <row r="740" spans="1:4" ht="12.75" x14ac:dyDescent="0.35">
      <c r="A740" s="4">
        <v>44702</v>
      </c>
      <c r="B740" s="3" t="s">
        <v>215</v>
      </c>
      <c r="C740" s="3">
        <v>104.59</v>
      </c>
      <c r="D740" s="3">
        <v>7</v>
      </c>
    </row>
    <row r="741" spans="1:4" ht="12.75" x14ac:dyDescent="0.35">
      <c r="A741" s="4">
        <v>44613</v>
      </c>
      <c r="B741" s="3" t="s">
        <v>396</v>
      </c>
      <c r="C741" s="3">
        <v>104.57</v>
      </c>
      <c r="D741" s="3">
        <v>1</v>
      </c>
    </row>
    <row r="742" spans="1:4" ht="12.75" x14ac:dyDescent="0.35">
      <c r="A742" s="4">
        <v>44641</v>
      </c>
      <c r="B742" s="3" t="s">
        <v>566</v>
      </c>
      <c r="C742" s="3">
        <v>104.48</v>
      </c>
      <c r="D742" s="3">
        <v>1</v>
      </c>
    </row>
    <row r="743" spans="1:4" ht="12.75" x14ac:dyDescent="0.35">
      <c r="A743" s="4">
        <v>44702</v>
      </c>
      <c r="B743" s="3" t="s">
        <v>126</v>
      </c>
      <c r="C743" s="3">
        <v>104.48</v>
      </c>
      <c r="D743" s="3">
        <v>1</v>
      </c>
    </row>
    <row r="744" spans="1:4" ht="12.75" x14ac:dyDescent="0.35">
      <c r="A744" s="4">
        <v>44672</v>
      </c>
      <c r="B744" s="3" t="s">
        <v>995</v>
      </c>
      <c r="C744" s="3">
        <v>104.46</v>
      </c>
      <c r="D744" s="3">
        <v>2</v>
      </c>
    </row>
    <row r="745" spans="1:4" ht="12.75" x14ac:dyDescent="0.35">
      <c r="A745" s="4">
        <v>44613</v>
      </c>
      <c r="B745" s="3" t="s">
        <v>205</v>
      </c>
      <c r="C745" s="3">
        <v>104.25</v>
      </c>
      <c r="D745" s="3">
        <v>1</v>
      </c>
    </row>
    <row r="746" spans="1:4" ht="12.75" x14ac:dyDescent="0.35">
      <c r="A746" s="4">
        <v>44794</v>
      </c>
      <c r="B746" s="3" t="s">
        <v>379</v>
      </c>
      <c r="C746" s="3">
        <v>104.21</v>
      </c>
      <c r="D746" s="3">
        <v>1</v>
      </c>
    </row>
    <row r="747" spans="1:4" ht="12.75" x14ac:dyDescent="0.35">
      <c r="A747" s="4">
        <v>44672</v>
      </c>
      <c r="B747" s="3" t="s">
        <v>188</v>
      </c>
      <c r="C747" s="3">
        <v>104.13</v>
      </c>
      <c r="D747" s="3">
        <v>1</v>
      </c>
    </row>
    <row r="748" spans="1:4" ht="12.75" x14ac:dyDescent="0.35">
      <c r="A748" s="4">
        <v>44613</v>
      </c>
      <c r="B748" s="3" t="s">
        <v>52</v>
      </c>
      <c r="C748" s="3">
        <v>104.12</v>
      </c>
      <c r="D748" s="3">
        <v>2</v>
      </c>
    </row>
    <row r="749" spans="1:4" ht="12.75" x14ac:dyDescent="0.35">
      <c r="A749" s="4">
        <v>44794</v>
      </c>
      <c r="B749" s="3" t="s">
        <v>453</v>
      </c>
      <c r="C749" s="3">
        <v>104.08</v>
      </c>
      <c r="D749" s="3">
        <v>1</v>
      </c>
    </row>
    <row r="750" spans="1:4" ht="12.75" x14ac:dyDescent="0.35">
      <c r="A750" s="4">
        <v>44916</v>
      </c>
      <c r="B750" s="3" t="s">
        <v>74</v>
      </c>
      <c r="C750" s="3">
        <v>104.04</v>
      </c>
      <c r="D750" s="3">
        <v>2</v>
      </c>
    </row>
    <row r="751" spans="1:4" ht="12.75" x14ac:dyDescent="0.35">
      <c r="A751" s="5">
        <v>44733</v>
      </c>
      <c r="B751" s="3" t="s">
        <v>244</v>
      </c>
      <c r="C751" s="3">
        <v>104.01</v>
      </c>
      <c r="D751" s="3">
        <v>1</v>
      </c>
    </row>
    <row r="752" spans="1:4" ht="12.75" x14ac:dyDescent="0.35">
      <c r="A752" s="4">
        <v>44672</v>
      </c>
      <c r="B752" s="3" t="s">
        <v>610</v>
      </c>
      <c r="C752" s="3">
        <v>103.96</v>
      </c>
      <c r="D752" s="3">
        <v>1</v>
      </c>
    </row>
    <row r="753" spans="1:4" ht="12.75" x14ac:dyDescent="0.35">
      <c r="A753" s="4">
        <v>44582</v>
      </c>
      <c r="B753" s="3" t="s">
        <v>74</v>
      </c>
      <c r="C753" s="3">
        <v>103.95</v>
      </c>
      <c r="D753" s="3">
        <v>2</v>
      </c>
    </row>
    <row r="754" spans="1:4" ht="12.75" x14ac:dyDescent="0.35">
      <c r="A754" s="4">
        <v>44613</v>
      </c>
      <c r="B754" s="3" t="s">
        <v>438</v>
      </c>
      <c r="C754" s="3">
        <v>103.79</v>
      </c>
      <c r="D754" s="3">
        <v>1</v>
      </c>
    </row>
    <row r="755" spans="1:4" ht="12.75" x14ac:dyDescent="0.35">
      <c r="A755" s="5">
        <v>44733</v>
      </c>
      <c r="B755" s="3" t="s">
        <v>612</v>
      </c>
      <c r="C755" s="3">
        <v>103.54</v>
      </c>
      <c r="D755" s="3">
        <v>3</v>
      </c>
    </row>
    <row r="756" spans="1:4" ht="12.75" x14ac:dyDescent="0.35">
      <c r="A756" s="4">
        <v>44825</v>
      </c>
      <c r="B756" s="3" t="s">
        <v>500</v>
      </c>
      <c r="C756" s="3">
        <v>103.44</v>
      </c>
      <c r="D756" s="3">
        <v>7</v>
      </c>
    </row>
    <row r="757" spans="1:4" ht="12.75" x14ac:dyDescent="0.35">
      <c r="A757" s="4">
        <v>44613</v>
      </c>
      <c r="B757" s="3" t="s">
        <v>126</v>
      </c>
      <c r="C757" s="3">
        <v>103.39</v>
      </c>
      <c r="D757" s="3">
        <v>1</v>
      </c>
    </row>
    <row r="758" spans="1:4" ht="12.75" x14ac:dyDescent="0.35">
      <c r="A758" s="4">
        <v>44641</v>
      </c>
      <c r="B758" s="3" t="s">
        <v>438</v>
      </c>
      <c r="C758" s="3">
        <v>103.32</v>
      </c>
      <c r="D758" s="3">
        <v>1</v>
      </c>
    </row>
    <row r="759" spans="1:4" ht="12.75" x14ac:dyDescent="0.35">
      <c r="A759" s="4">
        <v>44702</v>
      </c>
      <c r="B759" s="3" t="s">
        <v>1025</v>
      </c>
      <c r="C759" s="3">
        <v>103.32</v>
      </c>
      <c r="D759" s="3">
        <v>1</v>
      </c>
    </row>
    <row r="760" spans="1:4" ht="12.75" x14ac:dyDescent="0.35">
      <c r="A760" s="4">
        <v>44613</v>
      </c>
      <c r="B760" s="3" t="s">
        <v>5</v>
      </c>
      <c r="C760" s="3">
        <v>103.2</v>
      </c>
      <c r="D760" s="3">
        <v>1</v>
      </c>
    </row>
    <row r="761" spans="1:4" ht="12.75" x14ac:dyDescent="0.35">
      <c r="A761" s="4">
        <v>44672</v>
      </c>
      <c r="B761" s="3" t="s">
        <v>377</v>
      </c>
      <c r="C761" s="3">
        <v>103.05</v>
      </c>
      <c r="D761" s="3">
        <v>1</v>
      </c>
    </row>
    <row r="762" spans="1:4" ht="12.75" x14ac:dyDescent="0.35">
      <c r="A762" s="4">
        <v>44613</v>
      </c>
      <c r="B762" s="3" t="s">
        <v>6</v>
      </c>
      <c r="C762" s="3">
        <v>102.98</v>
      </c>
      <c r="D762" s="3">
        <v>1</v>
      </c>
    </row>
    <row r="763" spans="1:4" ht="12.75" x14ac:dyDescent="0.35">
      <c r="A763" s="4">
        <v>44582</v>
      </c>
      <c r="B763" s="3" t="s">
        <v>178</v>
      </c>
      <c r="C763" s="3">
        <v>102.95</v>
      </c>
      <c r="D763" s="3">
        <v>1</v>
      </c>
    </row>
    <row r="764" spans="1:4" ht="12.75" x14ac:dyDescent="0.35">
      <c r="A764" s="4">
        <v>44641</v>
      </c>
      <c r="B764" s="3" t="s">
        <v>368</v>
      </c>
      <c r="C764" s="3">
        <v>102.85</v>
      </c>
      <c r="D764" s="3">
        <v>1</v>
      </c>
    </row>
    <row r="765" spans="1:4" ht="12.75" x14ac:dyDescent="0.35">
      <c r="A765" s="4">
        <v>44582</v>
      </c>
      <c r="B765" s="3" t="s">
        <v>97</v>
      </c>
      <c r="C765" s="3">
        <v>102.68</v>
      </c>
      <c r="D765" s="3">
        <v>2</v>
      </c>
    </row>
    <row r="766" spans="1:4" ht="12.75" x14ac:dyDescent="0.35">
      <c r="A766" s="4">
        <v>44794</v>
      </c>
      <c r="B766" s="3" t="s">
        <v>1538</v>
      </c>
      <c r="C766" s="3">
        <v>102.45</v>
      </c>
      <c r="D766" s="3">
        <v>1</v>
      </c>
    </row>
    <row r="767" spans="1:4" ht="12.75" x14ac:dyDescent="0.35">
      <c r="A767" s="4">
        <v>44613</v>
      </c>
      <c r="B767" s="3" t="s">
        <v>44</v>
      </c>
      <c r="C767" s="3">
        <v>102.43</v>
      </c>
      <c r="D767" s="3">
        <v>1</v>
      </c>
    </row>
    <row r="768" spans="1:4" ht="12.75" x14ac:dyDescent="0.35">
      <c r="A768" s="4">
        <v>44886</v>
      </c>
      <c r="B768" s="3" t="s">
        <v>682</v>
      </c>
      <c r="C768" s="3">
        <v>102.41</v>
      </c>
      <c r="D768" s="3">
        <v>9</v>
      </c>
    </row>
    <row r="769" spans="1:4" ht="12.75" x14ac:dyDescent="0.35">
      <c r="A769" s="5">
        <v>44733</v>
      </c>
      <c r="B769" s="3" t="s">
        <v>69</v>
      </c>
      <c r="C769" s="3">
        <v>102.12</v>
      </c>
      <c r="D769" s="3">
        <v>10</v>
      </c>
    </row>
    <row r="770" spans="1:4" ht="12.75" x14ac:dyDescent="0.35">
      <c r="A770" s="4">
        <v>44613</v>
      </c>
      <c r="B770" s="3" t="s">
        <v>123</v>
      </c>
      <c r="C770" s="3">
        <v>102.11</v>
      </c>
      <c r="D770" s="3">
        <v>1</v>
      </c>
    </row>
    <row r="771" spans="1:4" ht="12.75" x14ac:dyDescent="0.35">
      <c r="A771" s="4">
        <v>44613</v>
      </c>
      <c r="B771" s="3" t="s">
        <v>392</v>
      </c>
      <c r="C771" s="3">
        <v>101.93</v>
      </c>
      <c r="D771" s="3">
        <v>1</v>
      </c>
    </row>
    <row r="772" spans="1:4" ht="12.75" x14ac:dyDescent="0.35">
      <c r="A772" s="4">
        <v>44641</v>
      </c>
      <c r="B772" s="3" t="s">
        <v>411</v>
      </c>
      <c r="C772" s="3">
        <v>101.5</v>
      </c>
      <c r="D772" s="3">
        <v>1</v>
      </c>
    </row>
    <row r="773" spans="1:4" ht="12.75" x14ac:dyDescent="0.35">
      <c r="A773" s="4">
        <v>44582</v>
      </c>
      <c r="B773" s="3" t="s">
        <v>334</v>
      </c>
      <c r="C773" s="3">
        <v>101.48</v>
      </c>
      <c r="D773" s="3">
        <v>1</v>
      </c>
    </row>
    <row r="774" spans="1:4" ht="12.75" x14ac:dyDescent="0.35">
      <c r="A774" s="4">
        <v>44886</v>
      </c>
      <c r="B774" s="3" t="s">
        <v>1619</v>
      </c>
      <c r="C774" s="3">
        <v>101.46</v>
      </c>
      <c r="D774" s="3">
        <v>1</v>
      </c>
    </row>
    <row r="775" spans="1:4" ht="12.75" x14ac:dyDescent="0.35">
      <c r="A775" s="5">
        <v>44733</v>
      </c>
      <c r="B775" s="3" t="s">
        <v>1025</v>
      </c>
      <c r="C775" s="3">
        <v>101.43</v>
      </c>
      <c r="D775" s="3">
        <v>1</v>
      </c>
    </row>
    <row r="776" spans="1:4" ht="12.75" x14ac:dyDescent="0.35">
      <c r="A776" s="4">
        <v>44855</v>
      </c>
      <c r="B776" s="3" t="s">
        <v>1481</v>
      </c>
      <c r="C776" s="3">
        <v>101.35</v>
      </c>
      <c r="D776" s="3">
        <v>2</v>
      </c>
    </row>
    <row r="777" spans="1:4" ht="12.75" x14ac:dyDescent="0.35">
      <c r="A777" s="4">
        <v>44702</v>
      </c>
      <c r="B777" s="3" t="s">
        <v>379</v>
      </c>
      <c r="C777" s="3">
        <v>101.31</v>
      </c>
      <c r="D777" s="3">
        <v>1</v>
      </c>
    </row>
    <row r="778" spans="1:4" ht="12.75" x14ac:dyDescent="0.35">
      <c r="A778" s="4">
        <v>44672</v>
      </c>
      <c r="B778" s="3" t="s">
        <v>567</v>
      </c>
      <c r="C778" s="3">
        <v>101.3</v>
      </c>
      <c r="D778" s="3">
        <v>1</v>
      </c>
    </row>
    <row r="779" spans="1:4" ht="12.75" x14ac:dyDescent="0.35">
      <c r="A779" s="4">
        <v>44582</v>
      </c>
      <c r="B779" s="3" t="s">
        <v>245</v>
      </c>
      <c r="C779" s="3">
        <v>101.28</v>
      </c>
      <c r="D779" s="3">
        <v>1</v>
      </c>
    </row>
    <row r="780" spans="1:4" ht="12.75" x14ac:dyDescent="0.35">
      <c r="A780" s="4">
        <v>44702</v>
      </c>
      <c r="B780" s="3" t="s">
        <v>1149</v>
      </c>
      <c r="C780" s="3">
        <v>101.13</v>
      </c>
      <c r="D780" s="3">
        <v>1</v>
      </c>
    </row>
    <row r="781" spans="1:4" ht="12.75" x14ac:dyDescent="0.35">
      <c r="A781" s="4">
        <v>44582</v>
      </c>
      <c r="B781" s="3" t="s">
        <v>44</v>
      </c>
      <c r="C781" s="3">
        <v>101.01</v>
      </c>
      <c r="D781" s="3">
        <v>1</v>
      </c>
    </row>
    <row r="782" spans="1:4" ht="12.75" x14ac:dyDescent="0.35">
      <c r="A782" s="4">
        <v>44613</v>
      </c>
      <c r="B782" s="3" t="s">
        <v>122</v>
      </c>
      <c r="C782" s="3">
        <v>100.93</v>
      </c>
      <c r="D782" s="3">
        <v>1</v>
      </c>
    </row>
    <row r="783" spans="1:4" ht="12.75" x14ac:dyDescent="0.35">
      <c r="A783" s="4">
        <v>44672</v>
      </c>
      <c r="B783" s="3" t="s">
        <v>164</v>
      </c>
      <c r="C783" s="3">
        <v>100.93</v>
      </c>
      <c r="D783" s="3">
        <v>2</v>
      </c>
    </row>
    <row r="784" spans="1:4" ht="12.75" x14ac:dyDescent="0.35">
      <c r="A784" s="5">
        <v>44763</v>
      </c>
      <c r="B784" s="3" t="s">
        <v>274</v>
      </c>
      <c r="C784" s="3">
        <v>100.88</v>
      </c>
      <c r="D784" s="3">
        <v>1</v>
      </c>
    </row>
    <row r="785" spans="1:4" ht="12.75" x14ac:dyDescent="0.35">
      <c r="A785" s="4">
        <v>44916</v>
      </c>
      <c r="B785" s="3" t="s">
        <v>1777</v>
      </c>
      <c r="C785" s="3">
        <v>100.83</v>
      </c>
      <c r="D785" s="3">
        <v>2</v>
      </c>
    </row>
    <row r="786" spans="1:4" ht="12.75" x14ac:dyDescent="0.35">
      <c r="A786" s="4">
        <v>44641</v>
      </c>
      <c r="B786" s="3" t="s">
        <v>574</v>
      </c>
      <c r="C786" s="3">
        <v>100.64</v>
      </c>
      <c r="D786" s="3">
        <v>1</v>
      </c>
    </row>
    <row r="787" spans="1:4" ht="12.75" x14ac:dyDescent="0.35">
      <c r="A787" s="4">
        <v>44582</v>
      </c>
      <c r="B787" s="3" t="s">
        <v>96</v>
      </c>
      <c r="C787" s="3">
        <v>100.61</v>
      </c>
      <c r="D787" s="3">
        <v>1</v>
      </c>
    </row>
    <row r="788" spans="1:4" ht="12.75" x14ac:dyDescent="0.35">
      <c r="A788" s="4">
        <v>44613</v>
      </c>
      <c r="B788" s="3" t="s">
        <v>482</v>
      </c>
      <c r="C788" s="3">
        <v>100.56</v>
      </c>
      <c r="D788" s="3">
        <v>1</v>
      </c>
    </row>
    <row r="789" spans="1:4" ht="12.75" x14ac:dyDescent="0.35">
      <c r="A789" s="5">
        <v>44763</v>
      </c>
      <c r="B789" s="3" t="s">
        <v>279</v>
      </c>
      <c r="C789" s="3">
        <v>100.34</v>
      </c>
      <c r="D789" s="3">
        <v>1</v>
      </c>
    </row>
    <row r="790" spans="1:4" ht="12.75" x14ac:dyDescent="0.35">
      <c r="A790" s="4">
        <v>44641</v>
      </c>
      <c r="B790" s="3" t="s">
        <v>482</v>
      </c>
      <c r="C790" s="3">
        <v>100.25</v>
      </c>
      <c r="D790" s="3">
        <v>1</v>
      </c>
    </row>
    <row r="791" spans="1:4" ht="12.75" x14ac:dyDescent="0.35">
      <c r="A791" s="4">
        <v>44613</v>
      </c>
      <c r="B791" s="3" t="s">
        <v>290</v>
      </c>
      <c r="C791" s="3">
        <v>100.15</v>
      </c>
      <c r="D791" s="3">
        <v>3</v>
      </c>
    </row>
    <row r="792" spans="1:4" ht="12.75" x14ac:dyDescent="0.35">
      <c r="A792" s="4">
        <v>44613</v>
      </c>
      <c r="B792" s="3" t="s">
        <v>96</v>
      </c>
      <c r="C792" s="3">
        <v>100.12</v>
      </c>
      <c r="D792" s="3">
        <v>1</v>
      </c>
    </row>
    <row r="793" spans="1:4" ht="12.75" x14ac:dyDescent="0.35">
      <c r="A793" s="4">
        <v>44794</v>
      </c>
      <c r="B793" s="3" t="s">
        <v>598</v>
      </c>
      <c r="C793" s="3">
        <v>100.04</v>
      </c>
      <c r="D793" s="3">
        <v>1</v>
      </c>
    </row>
    <row r="794" spans="1:4" ht="12.75" x14ac:dyDescent="0.35">
      <c r="A794" s="4">
        <v>44702</v>
      </c>
      <c r="B794" s="3" t="s">
        <v>518</v>
      </c>
      <c r="C794" s="3">
        <v>100.02</v>
      </c>
      <c r="D794" s="3">
        <v>3</v>
      </c>
    </row>
    <row r="795" spans="1:4" ht="12.75" x14ac:dyDescent="0.35">
      <c r="A795" s="4">
        <v>44672</v>
      </c>
      <c r="B795" s="3" t="s">
        <v>297</v>
      </c>
      <c r="C795" s="3">
        <v>99.97</v>
      </c>
      <c r="D795" s="3">
        <v>1</v>
      </c>
    </row>
    <row r="796" spans="1:4" ht="12.75" x14ac:dyDescent="0.35">
      <c r="A796" s="5">
        <v>44733</v>
      </c>
      <c r="B796" s="3" t="s">
        <v>459</v>
      </c>
      <c r="C796" s="3">
        <v>99.97</v>
      </c>
      <c r="D796" s="3">
        <v>2</v>
      </c>
    </row>
    <row r="797" spans="1:4" ht="12.75" x14ac:dyDescent="0.35">
      <c r="A797" s="4">
        <v>44582</v>
      </c>
      <c r="B797" s="3" t="s">
        <v>190</v>
      </c>
      <c r="C797" s="3">
        <v>99.85</v>
      </c>
      <c r="D797" s="3">
        <v>1</v>
      </c>
    </row>
    <row r="798" spans="1:4" ht="12.75" x14ac:dyDescent="0.35">
      <c r="A798" s="4">
        <v>44794</v>
      </c>
      <c r="B798" s="3" t="s">
        <v>474</v>
      </c>
      <c r="C798" s="3">
        <v>99.35</v>
      </c>
      <c r="D798" s="3">
        <v>2</v>
      </c>
    </row>
    <row r="799" spans="1:4" ht="12.75" x14ac:dyDescent="0.35">
      <c r="A799" s="4">
        <v>44582</v>
      </c>
      <c r="B799" s="3" t="s">
        <v>34</v>
      </c>
      <c r="C799" s="3">
        <v>99.33</v>
      </c>
      <c r="D799" s="3">
        <v>1</v>
      </c>
    </row>
    <row r="800" spans="1:4" ht="12.75" x14ac:dyDescent="0.35">
      <c r="A800" s="4">
        <v>44613</v>
      </c>
      <c r="B800" s="3" t="s">
        <v>574</v>
      </c>
      <c r="C800" s="3">
        <v>99.33</v>
      </c>
      <c r="D800" s="3">
        <v>1</v>
      </c>
    </row>
    <row r="801" spans="1:4" ht="12.75" x14ac:dyDescent="0.35">
      <c r="A801" s="4">
        <v>44916</v>
      </c>
      <c r="B801" s="3" t="s">
        <v>1924</v>
      </c>
      <c r="C801" s="3">
        <v>99.17</v>
      </c>
      <c r="D801" s="3">
        <v>2</v>
      </c>
    </row>
    <row r="802" spans="1:4" ht="12.75" x14ac:dyDescent="0.35">
      <c r="A802" s="4">
        <v>44582</v>
      </c>
      <c r="B802" s="3" t="s">
        <v>287</v>
      </c>
      <c r="C802" s="3">
        <v>99.04</v>
      </c>
      <c r="D802" s="3">
        <v>1</v>
      </c>
    </row>
    <row r="803" spans="1:4" ht="12.75" x14ac:dyDescent="0.35">
      <c r="A803" s="4">
        <v>44613</v>
      </c>
      <c r="B803" s="3" t="s">
        <v>465</v>
      </c>
      <c r="C803" s="3">
        <v>99.04</v>
      </c>
      <c r="D803" s="3">
        <v>1</v>
      </c>
    </row>
    <row r="804" spans="1:4" ht="12.75" x14ac:dyDescent="0.35">
      <c r="A804" s="5">
        <v>44763</v>
      </c>
      <c r="B804" s="3" t="s">
        <v>66</v>
      </c>
      <c r="C804" s="3">
        <v>98.99</v>
      </c>
      <c r="D804" s="3">
        <v>3</v>
      </c>
    </row>
    <row r="805" spans="1:4" ht="12.75" x14ac:dyDescent="0.35">
      <c r="A805" s="4">
        <v>44582</v>
      </c>
      <c r="B805" s="3" t="s">
        <v>261</v>
      </c>
      <c r="C805" s="3">
        <v>98.94</v>
      </c>
      <c r="D805" s="3">
        <v>1</v>
      </c>
    </row>
    <row r="806" spans="1:4" ht="12.75" x14ac:dyDescent="0.35">
      <c r="A806" s="4">
        <v>44702</v>
      </c>
      <c r="B806" s="3" t="s">
        <v>688</v>
      </c>
      <c r="C806" s="3">
        <v>98.82</v>
      </c>
      <c r="D806" s="3">
        <v>4</v>
      </c>
    </row>
    <row r="807" spans="1:4" ht="12.75" x14ac:dyDescent="0.35">
      <c r="A807" s="4">
        <v>44613</v>
      </c>
      <c r="B807" s="3" t="s">
        <v>201</v>
      </c>
      <c r="C807" s="3">
        <v>98.7</v>
      </c>
      <c r="D807" s="3">
        <v>1</v>
      </c>
    </row>
    <row r="808" spans="1:4" ht="12.75" x14ac:dyDescent="0.35">
      <c r="A808" s="4">
        <v>44613</v>
      </c>
      <c r="B808" s="3" t="s">
        <v>62</v>
      </c>
      <c r="C808" s="3">
        <v>98.67</v>
      </c>
      <c r="D808" s="3">
        <v>1</v>
      </c>
    </row>
    <row r="809" spans="1:4" ht="12.75" x14ac:dyDescent="0.35">
      <c r="A809" s="4">
        <v>44672</v>
      </c>
      <c r="B809" s="3" t="s">
        <v>979</v>
      </c>
      <c r="C809" s="3">
        <v>98.6</v>
      </c>
      <c r="D809" s="3">
        <v>1</v>
      </c>
    </row>
    <row r="810" spans="1:4" ht="12.75" x14ac:dyDescent="0.35">
      <c r="A810" s="4">
        <v>44582</v>
      </c>
      <c r="B810" s="3" t="s">
        <v>116</v>
      </c>
      <c r="C810" s="3">
        <v>98.54</v>
      </c>
      <c r="D810" s="3">
        <v>2</v>
      </c>
    </row>
    <row r="811" spans="1:4" ht="12.75" x14ac:dyDescent="0.35">
      <c r="A811" s="4">
        <v>44825</v>
      </c>
      <c r="B811" s="3" t="s">
        <v>519</v>
      </c>
      <c r="C811" s="3">
        <v>98.5</v>
      </c>
      <c r="D811" s="3">
        <v>4</v>
      </c>
    </row>
    <row r="812" spans="1:4" ht="12.75" x14ac:dyDescent="0.35">
      <c r="A812" s="4">
        <v>44702</v>
      </c>
      <c r="B812" s="3" t="s">
        <v>155</v>
      </c>
      <c r="C812" s="3">
        <v>98.41</v>
      </c>
      <c r="D812" s="3">
        <v>1</v>
      </c>
    </row>
    <row r="813" spans="1:4" ht="12.75" x14ac:dyDescent="0.35">
      <c r="A813" s="4">
        <v>44613</v>
      </c>
      <c r="B813" s="3" t="s">
        <v>245</v>
      </c>
      <c r="C813" s="3">
        <v>98.4</v>
      </c>
      <c r="D813" s="3">
        <v>1</v>
      </c>
    </row>
    <row r="814" spans="1:4" ht="12.75" x14ac:dyDescent="0.35">
      <c r="A814" s="4">
        <v>44613</v>
      </c>
      <c r="B814" s="3" t="s">
        <v>12</v>
      </c>
      <c r="C814" s="3">
        <v>98.35</v>
      </c>
      <c r="D814" s="3">
        <v>1</v>
      </c>
    </row>
    <row r="815" spans="1:4" ht="12.75" x14ac:dyDescent="0.35">
      <c r="A815" s="4">
        <v>44582</v>
      </c>
      <c r="B815" s="3" t="s">
        <v>145</v>
      </c>
      <c r="C815" s="3">
        <v>98.33</v>
      </c>
      <c r="D815" s="3">
        <v>1</v>
      </c>
    </row>
    <row r="816" spans="1:4" ht="12.75" x14ac:dyDescent="0.35">
      <c r="A816" s="4">
        <v>44613</v>
      </c>
      <c r="B816" s="3" t="s">
        <v>251</v>
      </c>
      <c r="C816" s="3">
        <v>98.3</v>
      </c>
      <c r="D816" s="3">
        <v>4</v>
      </c>
    </row>
    <row r="817" spans="1:4" ht="12.75" x14ac:dyDescent="0.35">
      <c r="A817" s="4">
        <v>44672</v>
      </c>
      <c r="B817" s="3" t="s">
        <v>467</v>
      </c>
      <c r="C817" s="3">
        <v>98.2</v>
      </c>
      <c r="D817" s="3">
        <v>1</v>
      </c>
    </row>
    <row r="818" spans="1:4" ht="12.75" x14ac:dyDescent="0.35">
      <c r="A818" s="4">
        <v>44702</v>
      </c>
      <c r="B818" s="3" t="s">
        <v>41</v>
      </c>
      <c r="C818" s="3">
        <v>98.2</v>
      </c>
      <c r="D818" s="3">
        <v>1</v>
      </c>
    </row>
    <row r="819" spans="1:4" ht="12.75" x14ac:dyDescent="0.35">
      <c r="A819" s="4">
        <v>44641</v>
      </c>
      <c r="B819" s="3" t="s">
        <v>546</v>
      </c>
      <c r="C819" s="3">
        <v>97.79</v>
      </c>
      <c r="D819" s="3">
        <v>1</v>
      </c>
    </row>
    <row r="820" spans="1:4" ht="12.75" x14ac:dyDescent="0.35">
      <c r="A820" s="4">
        <v>44613</v>
      </c>
      <c r="B820" s="3" t="s">
        <v>518</v>
      </c>
      <c r="C820" s="3">
        <v>97.69</v>
      </c>
      <c r="D820" s="3">
        <v>3</v>
      </c>
    </row>
    <row r="821" spans="1:4" ht="12.75" x14ac:dyDescent="0.35">
      <c r="A821" s="4">
        <v>44613</v>
      </c>
      <c r="B821" s="3" t="s">
        <v>566</v>
      </c>
      <c r="C821" s="3">
        <v>97.69</v>
      </c>
      <c r="D821" s="3">
        <v>1</v>
      </c>
    </row>
    <row r="822" spans="1:4" ht="12.75" x14ac:dyDescent="0.35">
      <c r="A822" s="4">
        <v>44582</v>
      </c>
      <c r="B822" s="3" t="s">
        <v>209</v>
      </c>
      <c r="C822" s="3">
        <v>97.66</v>
      </c>
      <c r="D822" s="3">
        <v>1</v>
      </c>
    </row>
    <row r="823" spans="1:4" ht="12.75" x14ac:dyDescent="0.35">
      <c r="A823" s="5">
        <v>44733</v>
      </c>
      <c r="B823" s="3" t="s">
        <v>606</v>
      </c>
      <c r="C823" s="3">
        <v>97.65</v>
      </c>
      <c r="D823" s="3">
        <v>3</v>
      </c>
    </row>
    <row r="824" spans="1:4" ht="12.75" x14ac:dyDescent="0.35">
      <c r="A824" s="4">
        <v>44613</v>
      </c>
      <c r="B824" s="3" t="s">
        <v>485</v>
      </c>
      <c r="C824" s="3">
        <v>97.51</v>
      </c>
      <c r="D824" s="3">
        <v>3</v>
      </c>
    </row>
    <row r="825" spans="1:4" ht="12.75" x14ac:dyDescent="0.35">
      <c r="A825" s="4">
        <v>44582</v>
      </c>
      <c r="B825" s="3" t="s">
        <v>123</v>
      </c>
      <c r="C825" s="3">
        <v>97.42</v>
      </c>
      <c r="D825" s="3">
        <v>1</v>
      </c>
    </row>
    <row r="826" spans="1:4" ht="12.75" x14ac:dyDescent="0.35">
      <c r="A826" s="4">
        <v>44672</v>
      </c>
      <c r="B826" s="3" t="s">
        <v>446</v>
      </c>
      <c r="C826" s="3">
        <v>97.41</v>
      </c>
      <c r="D826" s="3">
        <v>1</v>
      </c>
    </row>
    <row r="827" spans="1:4" ht="12.75" x14ac:dyDescent="0.35">
      <c r="A827" s="4">
        <v>44582</v>
      </c>
      <c r="B827" s="3" t="s">
        <v>336</v>
      </c>
      <c r="C827" s="3">
        <v>97.22</v>
      </c>
      <c r="D827" s="3">
        <v>2</v>
      </c>
    </row>
    <row r="828" spans="1:4" ht="12.75" x14ac:dyDescent="0.35">
      <c r="A828" s="4">
        <v>44794</v>
      </c>
      <c r="B828" s="3" t="s">
        <v>1120</v>
      </c>
      <c r="C828" s="3">
        <v>97.13</v>
      </c>
      <c r="D828" s="3">
        <v>1</v>
      </c>
    </row>
    <row r="829" spans="1:4" ht="12.75" x14ac:dyDescent="0.35">
      <c r="A829" s="4">
        <v>44702</v>
      </c>
      <c r="B829" s="3" t="s">
        <v>176</v>
      </c>
      <c r="C829" s="3">
        <v>97.03</v>
      </c>
      <c r="D829" s="3">
        <v>1</v>
      </c>
    </row>
    <row r="830" spans="1:4" ht="12.75" x14ac:dyDescent="0.35">
      <c r="A830" s="4">
        <v>44613</v>
      </c>
      <c r="B830" s="3" t="s">
        <v>397</v>
      </c>
      <c r="C830" s="3">
        <v>97.02</v>
      </c>
      <c r="D830" s="3">
        <v>4</v>
      </c>
    </row>
    <row r="831" spans="1:4" ht="12.75" x14ac:dyDescent="0.35">
      <c r="A831" s="4">
        <v>44702</v>
      </c>
      <c r="B831" s="3" t="s">
        <v>251</v>
      </c>
      <c r="C831" s="3">
        <v>96.9</v>
      </c>
      <c r="D831" s="3">
        <v>4</v>
      </c>
    </row>
    <row r="832" spans="1:4" ht="12.75" x14ac:dyDescent="0.35">
      <c r="A832" s="4">
        <v>44613</v>
      </c>
      <c r="B832" s="3" t="s">
        <v>407</v>
      </c>
      <c r="C832" s="3">
        <v>96.88</v>
      </c>
      <c r="D832" s="3">
        <v>4</v>
      </c>
    </row>
    <row r="833" spans="1:4" ht="12.75" x14ac:dyDescent="0.35">
      <c r="A833" s="4">
        <v>44613</v>
      </c>
      <c r="B833" s="3" t="s">
        <v>357</v>
      </c>
      <c r="C833" s="3">
        <v>96.87</v>
      </c>
      <c r="D833" s="3">
        <v>2</v>
      </c>
    </row>
    <row r="834" spans="1:4" ht="12.75" x14ac:dyDescent="0.35">
      <c r="A834" s="4">
        <v>44582</v>
      </c>
      <c r="B834" s="3" t="s">
        <v>274</v>
      </c>
      <c r="C834" s="3">
        <v>96.85</v>
      </c>
      <c r="D834" s="3">
        <v>1</v>
      </c>
    </row>
    <row r="835" spans="1:4" ht="12.75" x14ac:dyDescent="0.35">
      <c r="A835" s="4">
        <v>44672</v>
      </c>
      <c r="B835" s="3" t="s">
        <v>357</v>
      </c>
      <c r="C835" s="3">
        <v>96.7</v>
      </c>
      <c r="D835" s="3">
        <v>2</v>
      </c>
    </row>
    <row r="836" spans="1:4" ht="12.75" x14ac:dyDescent="0.35">
      <c r="A836" s="4">
        <v>44641</v>
      </c>
      <c r="B836" s="3" t="s">
        <v>41</v>
      </c>
      <c r="C836" s="3">
        <v>96.63</v>
      </c>
      <c r="D836" s="3">
        <v>1</v>
      </c>
    </row>
    <row r="837" spans="1:4" ht="12.75" x14ac:dyDescent="0.35">
      <c r="A837" s="4">
        <v>44613</v>
      </c>
      <c r="B837" s="3" t="s">
        <v>164</v>
      </c>
      <c r="C837" s="3">
        <v>96.58</v>
      </c>
      <c r="D837" s="3">
        <v>2</v>
      </c>
    </row>
    <row r="838" spans="1:4" ht="12.75" x14ac:dyDescent="0.35">
      <c r="A838" s="4">
        <v>44613</v>
      </c>
      <c r="B838" s="3" t="s">
        <v>432</v>
      </c>
      <c r="C838" s="3">
        <v>96.56</v>
      </c>
      <c r="D838" s="3">
        <v>1</v>
      </c>
    </row>
    <row r="839" spans="1:4" ht="12.75" x14ac:dyDescent="0.35">
      <c r="A839" s="4">
        <v>44641</v>
      </c>
      <c r="B839" s="3" t="s">
        <v>682</v>
      </c>
      <c r="C839" s="3">
        <v>96.45</v>
      </c>
      <c r="D839" s="3">
        <v>9</v>
      </c>
    </row>
    <row r="840" spans="1:4" ht="12.75" x14ac:dyDescent="0.35">
      <c r="A840" s="5">
        <v>44733</v>
      </c>
      <c r="B840" s="3" t="s">
        <v>382</v>
      </c>
      <c r="C840" s="3">
        <v>96.38</v>
      </c>
      <c r="D840" s="3">
        <v>2</v>
      </c>
    </row>
    <row r="841" spans="1:4" ht="12.75" x14ac:dyDescent="0.35">
      <c r="A841" s="4">
        <v>44825</v>
      </c>
      <c r="B841" s="3" t="s">
        <v>536</v>
      </c>
      <c r="C841" s="3">
        <v>96.38</v>
      </c>
      <c r="D841" s="3">
        <v>9</v>
      </c>
    </row>
    <row r="842" spans="1:4" ht="12.75" x14ac:dyDescent="0.35">
      <c r="A842" s="4">
        <v>44613</v>
      </c>
      <c r="B842" s="3" t="s">
        <v>430</v>
      </c>
      <c r="C842" s="3">
        <v>96.36</v>
      </c>
      <c r="D842" s="3">
        <v>1</v>
      </c>
    </row>
    <row r="843" spans="1:4" ht="12.75" x14ac:dyDescent="0.35">
      <c r="A843" s="4">
        <v>44582</v>
      </c>
      <c r="B843" s="3" t="s">
        <v>289</v>
      </c>
      <c r="C843" s="3">
        <v>96.2</v>
      </c>
      <c r="D843" s="3">
        <v>2</v>
      </c>
    </row>
    <row r="844" spans="1:4" ht="12.75" x14ac:dyDescent="0.35">
      <c r="A844" s="4">
        <v>44886</v>
      </c>
      <c r="B844" s="3" t="s">
        <v>555</v>
      </c>
      <c r="C844" s="3">
        <v>96.09</v>
      </c>
      <c r="D844" s="3">
        <v>2</v>
      </c>
    </row>
    <row r="845" spans="1:4" ht="12.75" x14ac:dyDescent="0.35">
      <c r="A845" s="4">
        <v>44672</v>
      </c>
      <c r="B845" s="3" t="s">
        <v>123</v>
      </c>
      <c r="C845" s="3">
        <v>96.06</v>
      </c>
      <c r="D845" s="3">
        <v>1</v>
      </c>
    </row>
    <row r="846" spans="1:4" ht="12.75" x14ac:dyDescent="0.35">
      <c r="A846" s="4">
        <v>44641</v>
      </c>
      <c r="B846" s="3" t="s">
        <v>287</v>
      </c>
      <c r="C846" s="3">
        <v>95.96</v>
      </c>
      <c r="D846" s="3">
        <v>1</v>
      </c>
    </row>
    <row r="847" spans="1:4" ht="12.75" x14ac:dyDescent="0.35">
      <c r="A847" s="4">
        <v>44582</v>
      </c>
      <c r="B847" s="3" t="s">
        <v>290</v>
      </c>
      <c r="C847" s="3">
        <v>95.95</v>
      </c>
      <c r="D847" s="3">
        <v>3</v>
      </c>
    </row>
    <row r="848" spans="1:4" ht="12.75" x14ac:dyDescent="0.35">
      <c r="A848" s="4">
        <v>44672</v>
      </c>
      <c r="B848" s="3" t="s">
        <v>437</v>
      </c>
      <c r="C848" s="3">
        <v>95.92</v>
      </c>
      <c r="D848" s="3">
        <v>1</v>
      </c>
    </row>
    <row r="849" spans="1:4" ht="12.75" x14ac:dyDescent="0.35">
      <c r="A849" s="4">
        <v>44582</v>
      </c>
      <c r="B849" s="3" t="s">
        <v>267</v>
      </c>
      <c r="C849" s="3">
        <v>95.91</v>
      </c>
      <c r="D849" s="3">
        <v>2</v>
      </c>
    </row>
    <row r="850" spans="1:4" ht="12.75" x14ac:dyDescent="0.35">
      <c r="A850" s="4">
        <v>44916</v>
      </c>
      <c r="B850" s="3" t="s">
        <v>1131</v>
      </c>
      <c r="C850" s="3">
        <v>95.79</v>
      </c>
      <c r="D850" s="3">
        <v>2</v>
      </c>
    </row>
    <row r="851" spans="1:4" ht="12.75" x14ac:dyDescent="0.35">
      <c r="A851" s="4">
        <v>44702</v>
      </c>
      <c r="B851" s="3" t="s">
        <v>14</v>
      </c>
      <c r="C851" s="3">
        <v>95.72</v>
      </c>
      <c r="D851" s="3">
        <v>2</v>
      </c>
    </row>
    <row r="852" spans="1:4" ht="12.75" x14ac:dyDescent="0.35">
      <c r="A852" s="4">
        <v>44582</v>
      </c>
      <c r="B852" s="3" t="s">
        <v>176</v>
      </c>
      <c r="C852" s="3">
        <v>95.67</v>
      </c>
      <c r="D852" s="3">
        <v>1</v>
      </c>
    </row>
    <row r="853" spans="1:4" ht="12.75" x14ac:dyDescent="0.35">
      <c r="A853" s="4">
        <v>44582</v>
      </c>
      <c r="B853" s="3" t="s">
        <v>12</v>
      </c>
      <c r="C853" s="3">
        <v>95.42</v>
      </c>
      <c r="D853" s="3">
        <v>1</v>
      </c>
    </row>
    <row r="854" spans="1:4" ht="12.75" x14ac:dyDescent="0.35">
      <c r="A854" s="5">
        <v>44733</v>
      </c>
      <c r="B854" s="3" t="s">
        <v>453</v>
      </c>
      <c r="C854" s="3">
        <v>95.38</v>
      </c>
      <c r="D854" s="3">
        <v>1</v>
      </c>
    </row>
    <row r="855" spans="1:4" ht="12.75" x14ac:dyDescent="0.35">
      <c r="A855" s="4">
        <v>44613</v>
      </c>
      <c r="B855" s="3" t="s">
        <v>368</v>
      </c>
      <c r="C855" s="3">
        <v>95.35</v>
      </c>
      <c r="D855" s="3">
        <v>1</v>
      </c>
    </row>
    <row r="856" spans="1:4" ht="12.75" x14ac:dyDescent="0.35">
      <c r="A856" s="4">
        <v>44613</v>
      </c>
      <c r="B856" s="3" t="s">
        <v>541</v>
      </c>
      <c r="C856" s="3">
        <v>95.3</v>
      </c>
      <c r="D856" s="3">
        <v>2</v>
      </c>
    </row>
    <row r="857" spans="1:4" ht="12.75" x14ac:dyDescent="0.35">
      <c r="A857" s="4">
        <v>44613</v>
      </c>
      <c r="B857" s="3" t="s">
        <v>502</v>
      </c>
      <c r="C857" s="3">
        <v>95.22</v>
      </c>
      <c r="D857" s="3">
        <v>1</v>
      </c>
    </row>
    <row r="858" spans="1:4" ht="12.75" x14ac:dyDescent="0.35">
      <c r="A858" s="4">
        <v>44702</v>
      </c>
      <c r="B858" s="3" t="s">
        <v>955</v>
      </c>
      <c r="C858" s="3">
        <v>95.15</v>
      </c>
      <c r="D858" s="3">
        <v>1</v>
      </c>
    </row>
    <row r="859" spans="1:4" ht="12.75" x14ac:dyDescent="0.35">
      <c r="A859" s="4">
        <v>44613</v>
      </c>
      <c r="B859" s="3" t="s">
        <v>143</v>
      </c>
      <c r="C859" s="3">
        <v>95.13</v>
      </c>
      <c r="D859" s="3">
        <v>1</v>
      </c>
    </row>
    <row r="860" spans="1:4" ht="12.75" x14ac:dyDescent="0.35">
      <c r="A860" s="4">
        <v>44582</v>
      </c>
      <c r="B860" s="3" t="s">
        <v>396</v>
      </c>
      <c r="C860" s="3">
        <v>94.78</v>
      </c>
      <c r="D860" s="3">
        <v>1</v>
      </c>
    </row>
    <row r="861" spans="1:4" ht="12.75" x14ac:dyDescent="0.35">
      <c r="A861" s="4">
        <v>44613</v>
      </c>
      <c r="B861" s="3" t="s">
        <v>250</v>
      </c>
      <c r="C861" s="3">
        <v>94.71</v>
      </c>
      <c r="D861" s="3">
        <v>3</v>
      </c>
    </row>
    <row r="862" spans="1:4" ht="12.75" x14ac:dyDescent="0.35">
      <c r="A862" s="4">
        <v>44613</v>
      </c>
      <c r="B862" s="3" t="s">
        <v>546</v>
      </c>
      <c r="C862" s="3">
        <v>94.51</v>
      </c>
      <c r="D862" s="3">
        <v>1</v>
      </c>
    </row>
    <row r="863" spans="1:4" ht="12.75" x14ac:dyDescent="0.35">
      <c r="A863" s="4">
        <v>44613</v>
      </c>
      <c r="B863" s="3" t="s">
        <v>567</v>
      </c>
      <c r="C863" s="3">
        <v>94.51</v>
      </c>
      <c r="D863" s="3">
        <v>1</v>
      </c>
    </row>
    <row r="864" spans="1:4" ht="12.75" x14ac:dyDescent="0.35">
      <c r="A864" s="4">
        <v>44613</v>
      </c>
      <c r="B864" s="3" t="s">
        <v>598</v>
      </c>
      <c r="C864" s="3">
        <v>94.44</v>
      </c>
      <c r="D864" s="3">
        <v>1</v>
      </c>
    </row>
    <row r="865" spans="1:4" ht="12.75" x14ac:dyDescent="0.35">
      <c r="A865" s="4">
        <v>44613</v>
      </c>
      <c r="B865" s="3" t="s">
        <v>34</v>
      </c>
      <c r="C865" s="3">
        <v>94.41</v>
      </c>
      <c r="D865" s="3">
        <v>1</v>
      </c>
    </row>
    <row r="866" spans="1:4" ht="12.75" x14ac:dyDescent="0.35">
      <c r="A866" s="4">
        <v>44582</v>
      </c>
      <c r="B866" s="3" t="s">
        <v>167</v>
      </c>
      <c r="C866" s="3">
        <v>94.37</v>
      </c>
      <c r="D866" s="3">
        <v>1</v>
      </c>
    </row>
    <row r="867" spans="1:4" ht="12.75" x14ac:dyDescent="0.35">
      <c r="A867" s="4">
        <v>44641</v>
      </c>
      <c r="B867" s="3" t="s">
        <v>483</v>
      </c>
      <c r="C867" s="3">
        <v>94.37</v>
      </c>
      <c r="D867" s="3">
        <v>1</v>
      </c>
    </row>
    <row r="868" spans="1:4" ht="12.75" x14ac:dyDescent="0.35">
      <c r="A868" s="4">
        <v>44613</v>
      </c>
      <c r="B868" s="3" t="s">
        <v>457</v>
      </c>
      <c r="C868" s="3">
        <v>94.28</v>
      </c>
      <c r="D868" s="3">
        <v>1</v>
      </c>
    </row>
    <row r="869" spans="1:4" ht="12.75" x14ac:dyDescent="0.35">
      <c r="A869" s="4">
        <v>44613</v>
      </c>
      <c r="B869" s="3" t="s">
        <v>550</v>
      </c>
      <c r="C869" s="3">
        <v>94.28</v>
      </c>
      <c r="D869" s="3">
        <v>2</v>
      </c>
    </row>
    <row r="870" spans="1:4" ht="12.75" x14ac:dyDescent="0.35">
      <c r="A870" s="4">
        <v>44855</v>
      </c>
      <c r="B870" s="3" t="s">
        <v>404</v>
      </c>
      <c r="C870" s="3">
        <v>94.23</v>
      </c>
      <c r="D870" s="3">
        <v>1</v>
      </c>
    </row>
    <row r="871" spans="1:4" ht="12.75" x14ac:dyDescent="0.35">
      <c r="A871" s="4">
        <v>44613</v>
      </c>
      <c r="B871" s="3" t="s">
        <v>279</v>
      </c>
      <c r="C871" s="3">
        <v>94.22</v>
      </c>
      <c r="D871" s="3">
        <v>1</v>
      </c>
    </row>
    <row r="872" spans="1:4" ht="12.75" x14ac:dyDescent="0.35">
      <c r="A872" s="4">
        <v>44582</v>
      </c>
      <c r="B872" s="3" t="s">
        <v>139</v>
      </c>
      <c r="C872" s="3">
        <v>94.2</v>
      </c>
      <c r="D872" s="3">
        <v>2</v>
      </c>
    </row>
    <row r="873" spans="1:4" ht="12.75" x14ac:dyDescent="0.35">
      <c r="A873" s="4">
        <v>44794</v>
      </c>
      <c r="B873" s="3" t="s">
        <v>343</v>
      </c>
      <c r="C873" s="3">
        <v>94.12</v>
      </c>
      <c r="D873" s="3">
        <v>3</v>
      </c>
    </row>
    <row r="874" spans="1:4" ht="12.75" x14ac:dyDescent="0.35">
      <c r="A874" s="4">
        <v>44916</v>
      </c>
      <c r="B874" s="3" t="s">
        <v>121</v>
      </c>
      <c r="C874" s="3">
        <v>94.1</v>
      </c>
      <c r="D874" s="3">
        <v>1</v>
      </c>
    </row>
    <row r="875" spans="1:4" ht="12.75" x14ac:dyDescent="0.35">
      <c r="A875" s="4">
        <v>44613</v>
      </c>
      <c r="B875" s="3" t="s">
        <v>446</v>
      </c>
      <c r="C875" s="3">
        <v>94</v>
      </c>
      <c r="D875" s="3">
        <v>1</v>
      </c>
    </row>
    <row r="876" spans="1:4" ht="12.75" x14ac:dyDescent="0.35">
      <c r="A876" s="4">
        <v>44672</v>
      </c>
      <c r="B876" s="3" t="s">
        <v>201</v>
      </c>
      <c r="C876" s="3">
        <v>93.59</v>
      </c>
      <c r="D876" s="3">
        <v>1</v>
      </c>
    </row>
    <row r="877" spans="1:4" ht="12.75" x14ac:dyDescent="0.35">
      <c r="A877" s="4">
        <v>44702</v>
      </c>
      <c r="B877" s="3" t="s">
        <v>979</v>
      </c>
      <c r="C877" s="3">
        <v>93.53</v>
      </c>
      <c r="D877" s="3">
        <v>1</v>
      </c>
    </row>
    <row r="878" spans="1:4" ht="12.75" x14ac:dyDescent="0.35">
      <c r="A878" s="4">
        <v>44582</v>
      </c>
      <c r="B878" s="3" t="s">
        <v>218</v>
      </c>
      <c r="C878" s="3">
        <v>93.46</v>
      </c>
      <c r="D878" s="3">
        <v>1</v>
      </c>
    </row>
    <row r="879" spans="1:4" ht="12.75" x14ac:dyDescent="0.35">
      <c r="A879" s="4">
        <v>44641</v>
      </c>
      <c r="B879" s="3" t="s">
        <v>627</v>
      </c>
      <c r="C879" s="3">
        <v>93.31</v>
      </c>
      <c r="D879" s="3">
        <v>2</v>
      </c>
    </row>
    <row r="880" spans="1:4" ht="12.75" x14ac:dyDescent="0.35">
      <c r="A880" s="4">
        <v>44794</v>
      </c>
      <c r="B880" s="3" t="s">
        <v>215</v>
      </c>
      <c r="C880" s="3">
        <v>93.08</v>
      </c>
      <c r="D880" s="3">
        <v>7</v>
      </c>
    </row>
    <row r="881" spans="1:4" ht="12.75" x14ac:dyDescent="0.35">
      <c r="A881" s="4">
        <v>44582</v>
      </c>
      <c r="B881" s="3" t="s">
        <v>147</v>
      </c>
      <c r="C881" s="3">
        <v>92.84</v>
      </c>
      <c r="D881" s="3">
        <v>1</v>
      </c>
    </row>
    <row r="882" spans="1:4" ht="12.75" x14ac:dyDescent="0.35">
      <c r="A882" s="4">
        <v>44613</v>
      </c>
      <c r="B882" s="3" t="s">
        <v>103</v>
      </c>
      <c r="C882" s="3">
        <v>92.82</v>
      </c>
      <c r="D882" s="3">
        <v>6</v>
      </c>
    </row>
    <row r="883" spans="1:4" ht="12.75" x14ac:dyDescent="0.35">
      <c r="A883" s="4">
        <v>44613</v>
      </c>
      <c r="B883" s="3" t="s">
        <v>472</v>
      </c>
      <c r="C883" s="3">
        <v>92.72</v>
      </c>
      <c r="D883" s="3">
        <v>1</v>
      </c>
    </row>
    <row r="884" spans="1:4" ht="12.75" x14ac:dyDescent="0.35">
      <c r="A884" s="5">
        <v>44763</v>
      </c>
      <c r="B884" s="3" t="s">
        <v>534</v>
      </c>
      <c r="C884" s="3">
        <v>92.68</v>
      </c>
      <c r="D884" s="3">
        <v>7</v>
      </c>
    </row>
    <row r="885" spans="1:4" ht="12.75" x14ac:dyDescent="0.35">
      <c r="A885" s="4">
        <v>44886</v>
      </c>
      <c r="B885" s="3" t="s">
        <v>152</v>
      </c>
      <c r="C885" s="3">
        <v>92.5</v>
      </c>
      <c r="D885" s="3">
        <v>3</v>
      </c>
    </row>
    <row r="886" spans="1:4" ht="12.75" x14ac:dyDescent="0.35">
      <c r="A886" s="4">
        <v>44582</v>
      </c>
      <c r="B886" s="3" t="s">
        <v>395</v>
      </c>
      <c r="C886" s="3">
        <v>92.45</v>
      </c>
      <c r="D886" s="3">
        <v>1</v>
      </c>
    </row>
    <row r="887" spans="1:4" ht="12.75" x14ac:dyDescent="0.35">
      <c r="A887" s="4">
        <v>44916</v>
      </c>
      <c r="B887" s="3" t="s">
        <v>853</v>
      </c>
      <c r="C887" s="3">
        <v>92.42</v>
      </c>
      <c r="D887" s="3">
        <v>1</v>
      </c>
    </row>
    <row r="888" spans="1:4" ht="12.75" x14ac:dyDescent="0.35">
      <c r="A888" s="4">
        <v>44582</v>
      </c>
      <c r="B888" s="3" t="s">
        <v>109</v>
      </c>
      <c r="C888" s="3">
        <v>92.39</v>
      </c>
      <c r="D888" s="3">
        <v>1</v>
      </c>
    </row>
    <row r="889" spans="1:4" ht="12.75" x14ac:dyDescent="0.35">
      <c r="A889" s="5">
        <v>44733</v>
      </c>
      <c r="B889" s="3" t="s">
        <v>237</v>
      </c>
      <c r="C889" s="3">
        <v>92.35</v>
      </c>
      <c r="D889" s="3">
        <v>3</v>
      </c>
    </row>
    <row r="890" spans="1:4" ht="12.75" x14ac:dyDescent="0.35">
      <c r="A890" s="4">
        <v>44702</v>
      </c>
      <c r="B890" s="3" t="s">
        <v>131</v>
      </c>
      <c r="C890" s="3">
        <v>92.27</v>
      </c>
      <c r="D890" s="3">
        <v>6</v>
      </c>
    </row>
    <row r="891" spans="1:4" ht="12.75" x14ac:dyDescent="0.35">
      <c r="A891" s="4">
        <v>44613</v>
      </c>
      <c r="B891" s="3" t="s">
        <v>523</v>
      </c>
      <c r="C891" s="3">
        <v>91.88</v>
      </c>
      <c r="D891" s="3">
        <v>1</v>
      </c>
    </row>
    <row r="892" spans="1:4" ht="12.75" x14ac:dyDescent="0.35">
      <c r="A892" s="4">
        <v>44641</v>
      </c>
      <c r="B892" s="3" t="s">
        <v>130</v>
      </c>
      <c r="C892" s="3">
        <v>91.88</v>
      </c>
      <c r="D892" s="3">
        <v>1</v>
      </c>
    </row>
    <row r="893" spans="1:4" ht="12.75" x14ac:dyDescent="0.35">
      <c r="A893" s="4">
        <v>44702</v>
      </c>
      <c r="B893" s="3" t="s">
        <v>209</v>
      </c>
      <c r="C893" s="3">
        <v>91.81</v>
      </c>
      <c r="D893" s="3">
        <v>1</v>
      </c>
    </row>
    <row r="894" spans="1:4" ht="12.75" x14ac:dyDescent="0.35">
      <c r="A894" s="5">
        <v>44733</v>
      </c>
      <c r="B894" s="3" t="s">
        <v>473</v>
      </c>
      <c r="C894" s="3">
        <v>91.76</v>
      </c>
      <c r="D894" s="3">
        <v>1</v>
      </c>
    </row>
    <row r="895" spans="1:4" ht="12.75" x14ac:dyDescent="0.35">
      <c r="A895" s="4">
        <v>44916</v>
      </c>
      <c r="B895" s="3" t="s">
        <v>336</v>
      </c>
      <c r="C895" s="3">
        <v>91.76</v>
      </c>
      <c r="D895" s="3">
        <v>2</v>
      </c>
    </row>
    <row r="896" spans="1:4" ht="12.75" x14ac:dyDescent="0.35">
      <c r="A896" s="4">
        <v>44613</v>
      </c>
      <c r="B896" s="3" t="s">
        <v>287</v>
      </c>
      <c r="C896" s="3">
        <v>91.73</v>
      </c>
      <c r="D896" s="3">
        <v>1</v>
      </c>
    </row>
    <row r="897" spans="1:4" ht="12.75" x14ac:dyDescent="0.35">
      <c r="A897" s="4">
        <v>44672</v>
      </c>
      <c r="B897" s="3" t="s">
        <v>226</v>
      </c>
      <c r="C897" s="3">
        <v>91.61</v>
      </c>
      <c r="D897" s="3">
        <v>1</v>
      </c>
    </row>
    <row r="898" spans="1:4" ht="12.75" x14ac:dyDescent="0.35">
      <c r="A898" s="5">
        <v>44763</v>
      </c>
      <c r="B898" s="3" t="s">
        <v>715</v>
      </c>
      <c r="C898" s="3">
        <v>91.56</v>
      </c>
      <c r="D898" s="3">
        <v>1</v>
      </c>
    </row>
    <row r="899" spans="1:4" ht="12.75" x14ac:dyDescent="0.35">
      <c r="A899" s="4">
        <v>44702</v>
      </c>
      <c r="B899" s="3" t="s">
        <v>68</v>
      </c>
      <c r="C899" s="3">
        <v>91.42</v>
      </c>
      <c r="D899" s="3">
        <v>1</v>
      </c>
    </row>
    <row r="900" spans="1:4" ht="12.75" x14ac:dyDescent="0.35">
      <c r="A900" s="4">
        <v>44613</v>
      </c>
      <c r="B900" s="3" t="s">
        <v>364</v>
      </c>
      <c r="C900" s="3">
        <v>91.22</v>
      </c>
      <c r="D900" s="3">
        <v>1</v>
      </c>
    </row>
    <row r="901" spans="1:4" ht="12.75" x14ac:dyDescent="0.35">
      <c r="A901" s="4">
        <v>44582</v>
      </c>
      <c r="B901" s="3" t="s">
        <v>201</v>
      </c>
      <c r="C901" s="3">
        <v>91.19</v>
      </c>
      <c r="D901" s="3">
        <v>1</v>
      </c>
    </row>
    <row r="902" spans="1:4" ht="12.75" x14ac:dyDescent="0.35">
      <c r="A902" s="4">
        <v>44613</v>
      </c>
      <c r="B902" s="3" t="s">
        <v>209</v>
      </c>
      <c r="C902" s="3">
        <v>91.14</v>
      </c>
      <c r="D902" s="3">
        <v>1</v>
      </c>
    </row>
    <row r="903" spans="1:4" ht="12.75" x14ac:dyDescent="0.35">
      <c r="A903" s="4">
        <v>44916</v>
      </c>
      <c r="B903" s="3" t="s">
        <v>1002</v>
      </c>
      <c r="C903" s="3">
        <v>91.14</v>
      </c>
      <c r="D903" s="3">
        <v>2</v>
      </c>
    </row>
    <row r="904" spans="1:4" ht="12.75" x14ac:dyDescent="0.35">
      <c r="A904" s="5">
        <v>44733</v>
      </c>
      <c r="B904" s="3" t="s">
        <v>14</v>
      </c>
      <c r="C904" s="3">
        <v>91.12</v>
      </c>
      <c r="D904" s="3">
        <v>2</v>
      </c>
    </row>
    <row r="905" spans="1:4" ht="12.75" x14ac:dyDescent="0.35">
      <c r="A905" s="4">
        <v>44702</v>
      </c>
      <c r="B905" s="3" t="s">
        <v>6</v>
      </c>
      <c r="C905" s="3">
        <v>91.02</v>
      </c>
      <c r="D905" s="3">
        <v>1</v>
      </c>
    </row>
    <row r="906" spans="1:4" ht="12.75" x14ac:dyDescent="0.35">
      <c r="A906" s="4">
        <v>44672</v>
      </c>
      <c r="B906" s="3" t="s">
        <v>302</v>
      </c>
      <c r="C906" s="3">
        <v>91.01</v>
      </c>
      <c r="D906" s="3">
        <v>1</v>
      </c>
    </row>
    <row r="907" spans="1:4" ht="12.75" x14ac:dyDescent="0.35">
      <c r="A907" s="4">
        <v>44582</v>
      </c>
      <c r="B907" s="3" t="s">
        <v>279</v>
      </c>
      <c r="C907" s="3">
        <v>90.87</v>
      </c>
      <c r="D907" s="3">
        <v>1</v>
      </c>
    </row>
    <row r="908" spans="1:4" ht="12.75" x14ac:dyDescent="0.35">
      <c r="A908" s="4">
        <v>44613</v>
      </c>
      <c r="B908" s="3" t="s">
        <v>483</v>
      </c>
      <c r="C908" s="3">
        <v>90.87</v>
      </c>
      <c r="D908" s="3">
        <v>1</v>
      </c>
    </row>
    <row r="909" spans="1:4" ht="12.75" x14ac:dyDescent="0.35">
      <c r="A909" s="4">
        <v>44582</v>
      </c>
      <c r="B909" s="3" t="s">
        <v>149</v>
      </c>
      <c r="C909" s="3">
        <v>90.8</v>
      </c>
      <c r="D909" s="3">
        <v>1</v>
      </c>
    </row>
    <row r="910" spans="1:4" ht="12.75" x14ac:dyDescent="0.35">
      <c r="A910" s="4">
        <v>44702</v>
      </c>
      <c r="B910" s="3" t="s">
        <v>276</v>
      </c>
      <c r="C910" s="3">
        <v>90.68</v>
      </c>
      <c r="D910" s="3">
        <v>1</v>
      </c>
    </row>
    <row r="911" spans="1:4" ht="12.75" x14ac:dyDescent="0.35">
      <c r="A911" s="4">
        <v>44582</v>
      </c>
      <c r="B911" s="3" t="s">
        <v>37</v>
      </c>
      <c r="C911" s="3">
        <v>90.6</v>
      </c>
      <c r="D911" s="3">
        <v>1</v>
      </c>
    </row>
    <row r="912" spans="1:4" ht="12.75" x14ac:dyDescent="0.35">
      <c r="A912" s="4">
        <v>44702</v>
      </c>
      <c r="B912" s="3" t="s">
        <v>287</v>
      </c>
      <c r="C912" s="3">
        <v>90.6</v>
      </c>
      <c r="D912" s="3">
        <v>1</v>
      </c>
    </row>
    <row r="913" spans="1:4" ht="12.75" x14ac:dyDescent="0.35">
      <c r="A913" s="4">
        <v>44613</v>
      </c>
      <c r="B913" s="3" t="s">
        <v>35</v>
      </c>
      <c r="C913" s="3">
        <v>90.45</v>
      </c>
      <c r="D913" s="3">
        <v>1</v>
      </c>
    </row>
    <row r="914" spans="1:4" ht="12.75" x14ac:dyDescent="0.35">
      <c r="A914" s="4">
        <v>44672</v>
      </c>
      <c r="B914" s="3" t="s">
        <v>931</v>
      </c>
      <c r="C914" s="3">
        <v>90.43</v>
      </c>
      <c r="D914" s="3">
        <v>1</v>
      </c>
    </row>
    <row r="915" spans="1:4" ht="12.75" x14ac:dyDescent="0.35">
      <c r="A915" s="4">
        <v>44825</v>
      </c>
      <c r="B915" s="3" t="s">
        <v>1733</v>
      </c>
      <c r="C915" s="3">
        <v>90.42</v>
      </c>
      <c r="D915" s="3">
        <v>1</v>
      </c>
    </row>
    <row r="916" spans="1:4" ht="12.75" x14ac:dyDescent="0.35">
      <c r="A916" s="5">
        <v>44733</v>
      </c>
      <c r="B916" s="3" t="s">
        <v>167</v>
      </c>
      <c r="C916" s="3">
        <v>90.3</v>
      </c>
      <c r="D916" s="3">
        <v>1</v>
      </c>
    </row>
    <row r="917" spans="1:4" ht="12.75" x14ac:dyDescent="0.35">
      <c r="A917" s="4">
        <v>44702</v>
      </c>
      <c r="B917" s="3" t="s">
        <v>941</v>
      </c>
      <c r="C917" s="3">
        <v>90.28</v>
      </c>
      <c r="D917" s="3">
        <v>1</v>
      </c>
    </row>
    <row r="918" spans="1:4" ht="12.75" x14ac:dyDescent="0.35">
      <c r="A918" s="4">
        <v>44702</v>
      </c>
      <c r="B918" s="3" t="s">
        <v>628</v>
      </c>
      <c r="C918" s="3">
        <v>90.26</v>
      </c>
      <c r="D918" s="3">
        <v>4</v>
      </c>
    </row>
    <row r="919" spans="1:4" ht="12.75" x14ac:dyDescent="0.35">
      <c r="A919" s="4">
        <v>44886</v>
      </c>
      <c r="B919" s="3" t="s">
        <v>1413</v>
      </c>
      <c r="C919" s="3">
        <v>90.08</v>
      </c>
      <c r="D919" s="3">
        <v>1</v>
      </c>
    </row>
    <row r="920" spans="1:4" ht="12.75" x14ac:dyDescent="0.35">
      <c r="A920" s="4">
        <v>44794</v>
      </c>
      <c r="B920" s="3" t="s">
        <v>682</v>
      </c>
      <c r="C920" s="3">
        <v>90.04</v>
      </c>
      <c r="D920" s="3">
        <v>9</v>
      </c>
    </row>
    <row r="921" spans="1:4" ht="12.75" x14ac:dyDescent="0.35">
      <c r="A921" s="4">
        <v>44641</v>
      </c>
      <c r="B921" s="3" t="s">
        <v>525</v>
      </c>
      <c r="C921" s="3">
        <v>90</v>
      </c>
      <c r="D921" s="3">
        <v>1</v>
      </c>
    </row>
    <row r="922" spans="1:4" ht="12.75" x14ac:dyDescent="0.35">
      <c r="A922" s="4">
        <v>44582</v>
      </c>
      <c r="B922" s="3" t="s">
        <v>41</v>
      </c>
      <c r="C922" s="3">
        <v>89.94</v>
      </c>
      <c r="D922" s="3">
        <v>1</v>
      </c>
    </row>
    <row r="923" spans="1:4" ht="12.75" x14ac:dyDescent="0.35">
      <c r="A923" s="4">
        <v>44582</v>
      </c>
      <c r="B923" s="3" t="s">
        <v>357</v>
      </c>
      <c r="C923" s="3">
        <v>89.64</v>
      </c>
      <c r="D923" s="3">
        <v>2</v>
      </c>
    </row>
    <row r="924" spans="1:4" ht="12.75" x14ac:dyDescent="0.35">
      <c r="A924" s="5">
        <v>44733</v>
      </c>
      <c r="B924" s="3" t="s">
        <v>627</v>
      </c>
      <c r="C924" s="3">
        <v>89.58</v>
      </c>
      <c r="D924" s="3">
        <v>2</v>
      </c>
    </row>
    <row r="925" spans="1:4" ht="12.75" x14ac:dyDescent="0.35">
      <c r="A925" s="4">
        <v>44672</v>
      </c>
      <c r="B925" s="3" t="s">
        <v>466</v>
      </c>
      <c r="C925" s="3">
        <v>89.49</v>
      </c>
      <c r="D925" s="3">
        <v>1</v>
      </c>
    </row>
    <row r="926" spans="1:4" ht="12.75" x14ac:dyDescent="0.35">
      <c r="A926" s="4">
        <v>44641</v>
      </c>
      <c r="B926" s="3" t="s">
        <v>151</v>
      </c>
      <c r="C926" s="3">
        <v>89.41</v>
      </c>
      <c r="D926" s="3">
        <v>3</v>
      </c>
    </row>
    <row r="927" spans="1:4" ht="12.75" x14ac:dyDescent="0.35">
      <c r="A927" s="4">
        <v>44672</v>
      </c>
      <c r="B927" s="3" t="s">
        <v>358</v>
      </c>
      <c r="C927" s="3">
        <v>89.12</v>
      </c>
      <c r="D927" s="3">
        <v>2</v>
      </c>
    </row>
    <row r="928" spans="1:4" ht="12.75" x14ac:dyDescent="0.35">
      <c r="A928" s="4">
        <v>44613</v>
      </c>
      <c r="B928" s="3" t="s">
        <v>190</v>
      </c>
      <c r="C928" s="3">
        <v>89.05</v>
      </c>
      <c r="D928" s="3">
        <v>1</v>
      </c>
    </row>
    <row r="929" spans="1:4" ht="12.75" x14ac:dyDescent="0.35">
      <c r="A929" s="4">
        <v>44916</v>
      </c>
      <c r="B929" s="3" t="s">
        <v>290</v>
      </c>
      <c r="C929" s="3">
        <v>89.05</v>
      </c>
      <c r="D929" s="3">
        <v>3</v>
      </c>
    </row>
    <row r="930" spans="1:4" ht="12.75" x14ac:dyDescent="0.35">
      <c r="A930" s="5">
        <v>44733</v>
      </c>
      <c r="B930" s="3" t="s">
        <v>483</v>
      </c>
      <c r="C930" s="3">
        <v>89.03</v>
      </c>
      <c r="D930" s="3">
        <v>1</v>
      </c>
    </row>
    <row r="931" spans="1:4" ht="12.75" x14ac:dyDescent="0.35">
      <c r="A931" s="4">
        <v>44855</v>
      </c>
      <c r="B931" s="3" t="s">
        <v>1526</v>
      </c>
      <c r="C931" s="3">
        <v>89.02</v>
      </c>
      <c r="D931" s="3">
        <v>1</v>
      </c>
    </row>
    <row r="932" spans="1:4" ht="12.75" x14ac:dyDescent="0.35">
      <c r="A932" s="4">
        <v>44702</v>
      </c>
      <c r="B932" s="3" t="s">
        <v>310</v>
      </c>
      <c r="C932" s="3">
        <v>88.96</v>
      </c>
      <c r="D932" s="3">
        <v>1</v>
      </c>
    </row>
    <row r="933" spans="1:4" ht="12.75" x14ac:dyDescent="0.35">
      <c r="A933" s="4">
        <v>44672</v>
      </c>
      <c r="B933" s="3" t="s">
        <v>301</v>
      </c>
      <c r="C933" s="3">
        <v>88.88</v>
      </c>
      <c r="D933" s="3">
        <v>2</v>
      </c>
    </row>
    <row r="934" spans="1:4" ht="12.75" x14ac:dyDescent="0.35">
      <c r="A934" s="4">
        <v>44916</v>
      </c>
      <c r="B934" s="3" t="s">
        <v>502</v>
      </c>
      <c r="C934" s="3">
        <v>88.79</v>
      </c>
      <c r="D934" s="3">
        <v>1</v>
      </c>
    </row>
    <row r="935" spans="1:4" ht="12.75" x14ac:dyDescent="0.35">
      <c r="A935" s="4">
        <v>44582</v>
      </c>
      <c r="B935" s="3" t="s">
        <v>35</v>
      </c>
      <c r="C935" s="3">
        <v>88.78</v>
      </c>
      <c r="D935" s="3">
        <v>1</v>
      </c>
    </row>
    <row r="936" spans="1:4" ht="12.75" x14ac:dyDescent="0.35">
      <c r="A936" s="4">
        <v>44582</v>
      </c>
      <c r="B936" s="3" t="s">
        <v>259</v>
      </c>
      <c r="C936" s="3">
        <v>88.77</v>
      </c>
      <c r="D936" s="3">
        <v>2</v>
      </c>
    </row>
    <row r="937" spans="1:4" ht="12.75" x14ac:dyDescent="0.35">
      <c r="A937" s="5">
        <v>44733</v>
      </c>
      <c r="B937" s="3" t="s">
        <v>41</v>
      </c>
      <c r="C937" s="3">
        <v>88.6</v>
      </c>
      <c r="D937" s="3">
        <v>1</v>
      </c>
    </row>
    <row r="938" spans="1:4" ht="12.75" x14ac:dyDescent="0.35">
      <c r="A938" s="5">
        <v>44763</v>
      </c>
      <c r="B938" s="3" t="s">
        <v>1538</v>
      </c>
      <c r="C938" s="3">
        <v>88.57</v>
      </c>
      <c r="D938" s="3">
        <v>1</v>
      </c>
    </row>
    <row r="939" spans="1:4" ht="12.75" x14ac:dyDescent="0.35">
      <c r="A939" s="4">
        <v>44702</v>
      </c>
      <c r="B939" s="3" t="s">
        <v>201</v>
      </c>
      <c r="C939" s="3">
        <v>88.43</v>
      </c>
      <c r="D939" s="3">
        <v>1</v>
      </c>
    </row>
    <row r="940" spans="1:4" ht="12.75" x14ac:dyDescent="0.35">
      <c r="A940" s="4">
        <v>44825</v>
      </c>
      <c r="B940" s="3" t="s">
        <v>230</v>
      </c>
      <c r="C940" s="3">
        <v>88.34</v>
      </c>
      <c r="D940" s="3">
        <v>2</v>
      </c>
    </row>
    <row r="941" spans="1:4" ht="12.75" x14ac:dyDescent="0.35">
      <c r="A941" s="4">
        <v>44613</v>
      </c>
      <c r="B941" s="3" t="s">
        <v>536</v>
      </c>
      <c r="C941" s="3">
        <v>88.25</v>
      </c>
      <c r="D941" s="3">
        <v>9</v>
      </c>
    </row>
    <row r="942" spans="1:4" ht="12.75" x14ac:dyDescent="0.35">
      <c r="A942" s="4">
        <v>44582</v>
      </c>
      <c r="B942" s="3" t="s">
        <v>299</v>
      </c>
      <c r="C942" s="3">
        <v>88.18</v>
      </c>
      <c r="D942" s="3">
        <v>2</v>
      </c>
    </row>
    <row r="943" spans="1:4" ht="12.75" x14ac:dyDescent="0.35">
      <c r="A943" s="4">
        <v>44916</v>
      </c>
      <c r="B943" s="3" t="s">
        <v>353</v>
      </c>
      <c r="C943" s="3">
        <v>87.95</v>
      </c>
      <c r="D943" s="3">
        <v>2</v>
      </c>
    </row>
    <row r="944" spans="1:4" ht="12.75" x14ac:dyDescent="0.35">
      <c r="A944" s="4">
        <v>44613</v>
      </c>
      <c r="B944" s="3" t="s">
        <v>18</v>
      </c>
      <c r="C944" s="3">
        <v>87.92</v>
      </c>
      <c r="D944" s="3">
        <v>2</v>
      </c>
    </row>
    <row r="945" spans="1:4" ht="12.75" x14ac:dyDescent="0.35">
      <c r="A945" s="5">
        <v>44763</v>
      </c>
      <c r="B945" s="3" t="s">
        <v>244</v>
      </c>
      <c r="C945" s="3">
        <v>87.9</v>
      </c>
      <c r="D945" s="3">
        <v>1</v>
      </c>
    </row>
    <row r="946" spans="1:4" ht="12.75" x14ac:dyDescent="0.35">
      <c r="A946" s="4">
        <v>44672</v>
      </c>
      <c r="B946" s="3" t="s">
        <v>577</v>
      </c>
      <c r="C946" s="3">
        <v>87.82</v>
      </c>
      <c r="D946" s="3">
        <v>1</v>
      </c>
    </row>
    <row r="947" spans="1:4" ht="12.75" x14ac:dyDescent="0.35">
      <c r="A947" s="4">
        <v>44702</v>
      </c>
      <c r="B947" s="3" t="s">
        <v>96</v>
      </c>
      <c r="C947" s="3">
        <v>87.55</v>
      </c>
      <c r="D947" s="3">
        <v>1</v>
      </c>
    </row>
    <row r="948" spans="1:4" ht="12.75" x14ac:dyDescent="0.35">
      <c r="A948" s="4">
        <v>44613</v>
      </c>
      <c r="B948" s="3" t="s">
        <v>41</v>
      </c>
      <c r="C948" s="3">
        <v>87.53</v>
      </c>
      <c r="D948" s="3">
        <v>1</v>
      </c>
    </row>
    <row r="949" spans="1:4" ht="12.75" x14ac:dyDescent="0.35">
      <c r="A949" s="4">
        <v>44886</v>
      </c>
      <c r="B949" s="3" t="s">
        <v>453</v>
      </c>
      <c r="C949" s="3">
        <v>87.5</v>
      </c>
      <c r="D949" s="3">
        <v>1</v>
      </c>
    </row>
    <row r="950" spans="1:4" ht="12.75" x14ac:dyDescent="0.35">
      <c r="A950" s="4">
        <v>44582</v>
      </c>
      <c r="B950" s="3" t="s">
        <v>397</v>
      </c>
      <c r="C950" s="3">
        <v>87.44</v>
      </c>
      <c r="D950" s="3">
        <v>4</v>
      </c>
    </row>
    <row r="951" spans="1:4" ht="12.75" x14ac:dyDescent="0.35">
      <c r="A951" s="4">
        <v>44582</v>
      </c>
      <c r="B951" s="3" t="s">
        <v>142</v>
      </c>
      <c r="C951" s="3">
        <v>87.38</v>
      </c>
      <c r="D951" s="3">
        <v>1</v>
      </c>
    </row>
    <row r="952" spans="1:4" ht="12.75" x14ac:dyDescent="0.35">
      <c r="A952" s="4">
        <v>44794</v>
      </c>
      <c r="B952" s="3" t="s">
        <v>98</v>
      </c>
      <c r="C952" s="3">
        <v>87.35</v>
      </c>
      <c r="D952" s="3">
        <v>1</v>
      </c>
    </row>
    <row r="953" spans="1:4" ht="12.75" x14ac:dyDescent="0.35">
      <c r="A953" s="5">
        <v>44733</v>
      </c>
      <c r="B953" s="3" t="s">
        <v>290</v>
      </c>
      <c r="C953" s="3">
        <v>87.23</v>
      </c>
      <c r="D953" s="3">
        <v>3</v>
      </c>
    </row>
    <row r="954" spans="1:4" ht="12.75" x14ac:dyDescent="0.35">
      <c r="A954" s="4">
        <v>44672</v>
      </c>
      <c r="B954" s="3" t="s">
        <v>453</v>
      </c>
      <c r="C954" s="3">
        <v>87.16</v>
      </c>
      <c r="D954" s="3">
        <v>1</v>
      </c>
    </row>
    <row r="955" spans="1:4" ht="12.75" x14ac:dyDescent="0.35">
      <c r="A955" s="4">
        <v>44613</v>
      </c>
      <c r="B955" s="3" t="s">
        <v>265</v>
      </c>
      <c r="C955" s="3">
        <v>87.07</v>
      </c>
      <c r="D955" s="3">
        <v>2</v>
      </c>
    </row>
    <row r="956" spans="1:4" ht="12.75" x14ac:dyDescent="0.35">
      <c r="A956" s="4">
        <v>44641</v>
      </c>
      <c r="B956" s="3" t="s">
        <v>289</v>
      </c>
      <c r="C956" s="3">
        <v>87.03</v>
      </c>
      <c r="D956" s="3">
        <v>2</v>
      </c>
    </row>
    <row r="957" spans="1:4" ht="12.75" x14ac:dyDescent="0.35">
      <c r="A957" s="4">
        <v>44916</v>
      </c>
      <c r="B957" s="3" t="s">
        <v>343</v>
      </c>
      <c r="C957" s="3">
        <v>86.83</v>
      </c>
      <c r="D957" s="3">
        <v>3</v>
      </c>
    </row>
    <row r="958" spans="1:4" ht="12.75" x14ac:dyDescent="0.35">
      <c r="A958" s="4">
        <v>44702</v>
      </c>
      <c r="B958" s="3" t="s">
        <v>16</v>
      </c>
      <c r="C958" s="3">
        <v>86.65</v>
      </c>
      <c r="D958" s="3">
        <v>7</v>
      </c>
    </row>
    <row r="959" spans="1:4" ht="12.75" x14ac:dyDescent="0.35">
      <c r="A959" s="4">
        <v>44672</v>
      </c>
      <c r="B959" s="3" t="s">
        <v>387</v>
      </c>
      <c r="C959" s="3">
        <v>86.64</v>
      </c>
      <c r="D959" s="3">
        <v>7</v>
      </c>
    </row>
    <row r="960" spans="1:4" ht="12.75" x14ac:dyDescent="0.35">
      <c r="A960" s="5">
        <v>44733</v>
      </c>
      <c r="B960" s="3" t="s">
        <v>1146</v>
      </c>
      <c r="C960" s="3">
        <v>86.49</v>
      </c>
      <c r="D960" s="3">
        <v>2</v>
      </c>
    </row>
    <row r="961" spans="1:4" ht="12.75" x14ac:dyDescent="0.35">
      <c r="A961" s="4">
        <v>44641</v>
      </c>
      <c r="B961" s="3" t="s">
        <v>520</v>
      </c>
      <c r="C961" s="3">
        <v>86.27</v>
      </c>
      <c r="D961" s="3">
        <v>1</v>
      </c>
    </row>
    <row r="962" spans="1:4" ht="12.75" x14ac:dyDescent="0.35">
      <c r="A962" s="4">
        <v>44582</v>
      </c>
      <c r="B962" s="3" t="s">
        <v>106</v>
      </c>
      <c r="C962" s="3">
        <v>86.25</v>
      </c>
      <c r="D962" s="3">
        <v>1</v>
      </c>
    </row>
    <row r="963" spans="1:4" ht="12.75" x14ac:dyDescent="0.35">
      <c r="A963" s="4">
        <v>44613</v>
      </c>
      <c r="B963" s="3" t="s">
        <v>520</v>
      </c>
      <c r="C963" s="3">
        <v>86.1</v>
      </c>
      <c r="D963" s="3">
        <v>1</v>
      </c>
    </row>
    <row r="964" spans="1:4" ht="12.75" x14ac:dyDescent="0.35">
      <c r="A964" s="4">
        <v>44672</v>
      </c>
      <c r="B964" s="3" t="s">
        <v>783</v>
      </c>
      <c r="C964" s="3">
        <v>86.08</v>
      </c>
      <c r="D964" s="3">
        <v>1</v>
      </c>
    </row>
    <row r="965" spans="1:4" ht="12.75" x14ac:dyDescent="0.35">
      <c r="A965" s="4">
        <v>44613</v>
      </c>
      <c r="B965" s="3" t="s">
        <v>535</v>
      </c>
      <c r="C965" s="3">
        <v>85.87</v>
      </c>
      <c r="D965" s="3">
        <v>3</v>
      </c>
    </row>
    <row r="966" spans="1:4" ht="12.75" x14ac:dyDescent="0.35">
      <c r="A966" s="4">
        <v>44613</v>
      </c>
      <c r="B966" s="3" t="s">
        <v>411</v>
      </c>
      <c r="C966" s="3">
        <v>85.8</v>
      </c>
      <c r="D966" s="3">
        <v>1</v>
      </c>
    </row>
    <row r="967" spans="1:4" ht="12.75" x14ac:dyDescent="0.35">
      <c r="A967" s="4">
        <v>44916</v>
      </c>
      <c r="B967" s="3" t="s">
        <v>239</v>
      </c>
      <c r="C967" s="3">
        <v>85.72</v>
      </c>
      <c r="D967" s="3">
        <v>1</v>
      </c>
    </row>
    <row r="968" spans="1:4" ht="12.75" x14ac:dyDescent="0.35">
      <c r="A968" s="4">
        <v>44702</v>
      </c>
      <c r="B968" s="3" t="s">
        <v>205</v>
      </c>
      <c r="C968" s="3">
        <v>85.61</v>
      </c>
      <c r="D968" s="3">
        <v>1</v>
      </c>
    </row>
    <row r="969" spans="1:4" ht="12.75" x14ac:dyDescent="0.35">
      <c r="A969" s="5">
        <v>44763</v>
      </c>
      <c r="B969" s="3" t="s">
        <v>142</v>
      </c>
      <c r="C969" s="3">
        <v>85.49</v>
      </c>
      <c r="D969" s="3">
        <v>1</v>
      </c>
    </row>
    <row r="970" spans="1:4" ht="12.75" x14ac:dyDescent="0.35">
      <c r="A970" s="4">
        <v>44613</v>
      </c>
      <c r="B970" s="3" t="s">
        <v>334</v>
      </c>
      <c r="C970" s="3">
        <v>85.39</v>
      </c>
      <c r="D970" s="3">
        <v>1</v>
      </c>
    </row>
    <row r="971" spans="1:4" ht="12.75" x14ac:dyDescent="0.35">
      <c r="A971" s="4">
        <v>44702</v>
      </c>
      <c r="B971" s="3" t="s">
        <v>897</v>
      </c>
      <c r="C971" s="3">
        <v>85.39</v>
      </c>
      <c r="D971" s="3">
        <v>1</v>
      </c>
    </row>
    <row r="972" spans="1:4" ht="12.75" x14ac:dyDescent="0.35">
      <c r="A972" s="4">
        <v>44855</v>
      </c>
      <c r="B972" s="3" t="s">
        <v>230</v>
      </c>
      <c r="C972" s="3">
        <v>85.24</v>
      </c>
      <c r="D972" s="3">
        <v>2</v>
      </c>
    </row>
    <row r="973" spans="1:4" ht="12.75" x14ac:dyDescent="0.35">
      <c r="A973" s="4">
        <v>44916</v>
      </c>
      <c r="B973" s="3" t="s">
        <v>143</v>
      </c>
      <c r="C973" s="3">
        <v>85.02</v>
      </c>
      <c r="D973" s="3">
        <v>1</v>
      </c>
    </row>
    <row r="974" spans="1:4" ht="12.75" x14ac:dyDescent="0.35">
      <c r="A974" s="5">
        <v>44733</v>
      </c>
      <c r="B974" s="3" t="s">
        <v>1004</v>
      </c>
      <c r="C974" s="3">
        <v>84.98</v>
      </c>
      <c r="D974" s="3">
        <v>2</v>
      </c>
    </row>
    <row r="975" spans="1:4" ht="12.75" x14ac:dyDescent="0.35">
      <c r="A975" s="4">
        <v>44825</v>
      </c>
      <c r="B975" s="3" t="s">
        <v>293</v>
      </c>
      <c r="C975" s="3">
        <v>84.9</v>
      </c>
      <c r="D975" s="3">
        <v>4</v>
      </c>
    </row>
    <row r="976" spans="1:4" ht="12.75" x14ac:dyDescent="0.35">
      <c r="A976" s="4">
        <v>44613</v>
      </c>
      <c r="B976" s="3" t="s">
        <v>37</v>
      </c>
      <c r="C976" s="3">
        <v>84.8</v>
      </c>
      <c r="D976" s="3">
        <v>1</v>
      </c>
    </row>
    <row r="977" spans="1:4" ht="12.75" x14ac:dyDescent="0.35">
      <c r="A977" s="4">
        <v>44916</v>
      </c>
      <c r="B977" s="3" t="s">
        <v>518</v>
      </c>
      <c r="C977" s="3">
        <v>84.8</v>
      </c>
      <c r="D977" s="3">
        <v>3</v>
      </c>
    </row>
    <row r="978" spans="1:4" ht="12.75" x14ac:dyDescent="0.35">
      <c r="A978" s="4">
        <v>44613</v>
      </c>
      <c r="B978" s="3" t="s">
        <v>387</v>
      </c>
      <c r="C978" s="3">
        <v>84.65</v>
      </c>
      <c r="D978" s="3">
        <v>7</v>
      </c>
    </row>
    <row r="979" spans="1:4" ht="12.75" x14ac:dyDescent="0.35">
      <c r="A979" s="4">
        <v>44582</v>
      </c>
      <c r="B979" s="3" t="s">
        <v>285</v>
      </c>
      <c r="C979" s="3">
        <v>84.6</v>
      </c>
      <c r="D979" s="3">
        <v>1</v>
      </c>
    </row>
    <row r="980" spans="1:4" ht="12.75" x14ac:dyDescent="0.35">
      <c r="A980" s="4">
        <v>44672</v>
      </c>
      <c r="B980" s="3" t="s">
        <v>520</v>
      </c>
      <c r="C980" s="3">
        <v>84.39</v>
      </c>
      <c r="D980" s="3">
        <v>1</v>
      </c>
    </row>
    <row r="981" spans="1:4" ht="12.75" x14ac:dyDescent="0.35">
      <c r="A981" s="5">
        <v>44763</v>
      </c>
      <c r="B981" s="3" t="s">
        <v>108</v>
      </c>
      <c r="C981" s="3">
        <v>84.3</v>
      </c>
      <c r="D981" s="3">
        <v>1</v>
      </c>
    </row>
    <row r="982" spans="1:4" ht="12.75" x14ac:dyDescent="0.35">
      <c r="A982" s="5">
        <v>44733</v>
      </c>
      <c r="B982" s="3" t="s">
        <v>334</v>
      </c>
      <c r="C982" s="3">
        <v>84.21</v>
      </c>
      <c r="D982" s="3">
        <v>1</v>
      </c>
    </row>
    <row r="983" spans="1:4" ht="12.75" x14ac:dyDescent="0.35">
      <c r="A983" s="4">
        <v>44613</v>
      </c>
      <c r="B983" s="3" t="s">
        <v>259</v>
      </c>
      <c r="C983" s="3">
        <v>84.11</v>
      </c>
      <c r="D983" s="3">
        <v>2</v>
      </c>
    </row>
    <row r="984" spans="1:4" ht="12.75" x14ac:dyDescent="0.35">
      <c r="A984" s="4">
        <v>44672</v>
      </c>
      <c r="B984" s="3" t="s">
        <v>16</v>
      </c>
      <c r="C984" s="3">
        <v>84.08</v>
      </c>
      <c r="D984" s="3">
        <v>7</v>
      </c>
    </row>
    <row r="985" spans="1:4" ht="12.75" x14ac:dyDescent="0.35">
      <c r="A985" s="4">
        <v>44613</v>
      </c>
      <c r="B985" s="3" t="s">
        <v>20</v>
      </c>
      <c r="C985" s="3">
        <v>83.86</v>
      </c>
      <c r="D985" s="3">
        <v>1</v>
      </c>
    </row>
    <row r="986" spans="1:4" ht="12.75" x14ac:dyDescent="0.35">
      <c r="A986" s="4">
        <v>44794</v>
      </c>
      <c r="B986" s="3" t="s">
        <v>790</v>
      </c>
      <c r="C986" s="3">
        <v>83.79</v>
      </c>
      <c r="D986" s="3">
        <v>1</v>
      </c>
    </row>
    <row r="987" spans="1:4" ht="12.75" x14ac:dyDescent="0.35">
      <c r="A987" s="4">
        <v>44702</v>
      </c>
      <c r="B987" s="3" t="s">
        <v>541</v>
      </c>
      <c r="C987" s="3">
        <v>83.62</v>
      </c>
      <c r="D987" s="3">
        <v>2</v>
      </c>
    </row>
    <row r="988" spans="1:4" ht="12.75" x14ac:dyDescent="0.35">
      <c r="A988" s="4">
        <v>44582</v>
      </c>
      <c r="B988" s="3" t="s">
        <v>286</v>
      </c>
      <c r="C988" s="3">
        <v>83.59</v>
      </c>
      <c r="D988" s="3">
        <v>1</v>
      </c>
    </row>
    <row r="989" spans="1:4" ht="12.75" x14ac:dyDescent="0.35">
      <c r="A989" s="4">
        <v>44613</v>
      </c>
      <c r="B989" s="3" t="s">
        <v>69</v>
      </c>
      <c r="C989" s="3">
        <v>83.56</v>
      </c>
      <c r="D989" s="3">
        <v>10</v>
      </c>
    </row>
    <row r="990" spans="1:4" ht="12.75" x14ac:dyDescent="0.35">
      <c r="A990" s="4">
        <v>44672</v>
      </c>
      <c r="B990" s="3" t="s">
        <v>293</v>
      </c>
      <c r="C990" s="3">
        <v>83.34</v>
      </c>
      <c r="D990" s="3">
        <v>4</v>
      </c>
    </row>
    <row r="991" spans="1:4" ht="12.75" x14ac:dyDescent="0.35">
      <c r="A991" s="4">
        <v>44916</v>
      </c>
      <c r="B991" s="3" t="s">
        <v>201</v>
      </c>
      <c r="C991" s="3">
        <v>83.34</v>
      </c>
      <c r="D991" s="3">
        <v>1</v>
      </c>
    </row>
    <row r="992" spans="1:4" ht="12.75" x14ac:dyDescent="0.35">
      <c r="A992" s="5">
        <v>44733</v>
      </c>
      <c r="B992" s="3" t="s">
        <v>289</v>
      </c>
      <c r="C992" s="3">
        <v>83.29</v>
      </c>
      <c r="D992" s="3">
        <v>2</v>
      </c>
    </row>
    <row r="993" spans="1:4" ht="12.75" x14ac:dyDescent="0.35">
      <c r="A993" s="4">
        <v>44702</v>
      </c>
      <c r="B993" s="3" t="s">
        <v>5</v>
      </c>
      <c r="C993" s="3">
        <v>83.27</v>
      </c>
      <c r="D993" s="3">
        <v>1</v>
      </c>
    </row>
    <row r="994" spans="1:4" ht="12.75" x14ac:dyDescent="0.35">
      <c r="A994" s="5">
        <v>44763</v>
      </c>
      <c r="B994" s="3" t="s">
        <v>567</v>
      </c>
      <c r="C994" s="3">
        <v>83.22</v>
      </c>
      <c r="D994" s="3">
        <v>1</v>
      </c>
    </row>
    <row r="995" spans="1:4" ht="12.75" x14ac:dyDescent="0.35">
      <c r="A995" s="4">
        <v>44794</v>
      </c>
      <c r="B995" s="3" t="s">
        <v>49</v>
      </c>
      <c r="C995" s="3">
        <v>83.08</v>
      </c>
      <c r="D995" s="3">
        <v>3</v>
      </c>
    </row>
    <row r="996" spans="1:4" ht="12.75" x14ac:dyDescent="0.35">
      <c r="A996" s="4">
        <v>44613</v>
      </c>
      <c r="B996" s="3" t="s">
        <v>503</v>
      </c>
      <c r="C996" s="3">
        <v>82.91</v>
      </c>
      <c r="D996" s="3">
        <v>1</v>
      </c>
    </row>
    <row r="997" spans="1:4" ht="12.75" x14ac:dyDescent="0.35">
      <c r="A997" s="4">
        <v>44582</v>
      </c>
      <c r="B997" s="3" t="s">
        <v>401</v>
      </c>
      <c r="C997" s="3">
        <v>82.8</v>
      </c>
      <c r="D997" s="3">
        <v>5</v>
      </c>
    </row>
    <row r="998" spans="1:4" ht="12.75" x14ac:dyDescent="0.35">
      <c r="A998" s="4">
        <v>44672</v>
      </c>
      <c r="B998" s="3" t="s">
        <v>248</v>
      </c>
      <c r="C998" s="3">
        <v>82.63</v>
      </c>
      <c r="D998" s="3">
        <v>1</v>
      </c>
    </row>
    <row r="999" spans="1:4" ht="12.75" x14ac:dyDescent="0.35">
      <c r="A999" s="4">
        <v>44613</v>
      </c>
      <c r="B999" s="3" t="s">
        <v>437</v>
      </c>
      <c r="C999" s="3">
        <v>82.58</v>
      </c>
      <c r="D999" s="3">
        <v>1</v>
      </c>
    </row>
    <row r="1000" spans="1:4" ht="12.75" x14ac:dyDescent="0.35">
      <c r="A1000" s="4">
        <v>44672</v>
      </c>
      <c r="B1000" s="3" t="s">
        <v>333</v>
      </c>
      <c r="C1000" s="3">
        <v>82.48</v>
      </c>
      <c r="D1000" s="3">
        <v>2</v>
      </c>
    </row>
    <row r="1001" spans="1:4" ht="12.75" x14ac:dyDescent="0.35">
      <c r="A1001" s="5">
        <v>44733</v>
      </c>
      <c r="B1001" s="3" t="s">
        <v>411</v>
      </c>
      <c r="C1001" s="3">
        <v>82.39</v>
      </c>
      <c r="D1001" s="3">
        <v>1</v>
      </c>
    </row>
    <row r="1002" spans="1:4" ht="12.75" x14ac:dyDescent="0.35">
      <c r="A1002" s="4">
        <v>44702</v>
      </c>
      <c r="B1002" s="3" t="s">
        <v>167</v>
      </c>
      <c r="C1002" s="3">
        <v>82.32</v>
      </c>
      <c r="D1002" s="3">
        <v>1</v>
      </c>
    </row>
    <row r="1003" spans="1:4" ht="12.75" x14ac:dyDescent="0.35">
      <c r="A1003" s="4">
        <v>44613</v>
      </c>
      <c r="B1003" s="3" t="s">
        <v>289</v>
      </c>
      <c r="C1003" s="3">
        <v>82.19</v>
      </c>
      <c r="D1003" s="3">
        <v>2</v>
      </c>
    </row>
    <row r="1004" spans="1:4" ht="12.75" x14ac:dyDescent="0.35">
      <c r="A1004" s="4">
        <v>44886</v>
      </c>
      <c r="B1004" s="3" t="s">
        <v>191</v>
      </c>
      <c r="C1004" s="3">
        <v>82.15</v>
      </c>
      <c r="D1004" s="3">
        <v>8</v>
      </c>
    </row>
    <row r="1005" spans="1:4" ht="12.75" x14ac:dyDescent="0.35">
      <c r="A1005" s="4">
        <v>44702</v>
      </c>
      <c r="B1005" s="3" t="s">
        <v>37</v>
      </c>
      <c r="C1005" s="3">
        <v>82.14</v>
      </c>
      <c r="D1005" s="3">
        <v>1</v>
      </c>
    </row>
    <row r="1006" spans="1:4" ht="12.75" x14ac:dyDescent="0.35">
      <c r="A1006" s="4">
        <v>44641</v>
      </c>
      <c r="B1006" s="3" t="s">
        <v>37</v>
      </c>
      <c r="C1006" s="3">
        <v>82.11</v>
      </c>
      <c r="D1006" s="3">
        <v>1</v>
      </c>
    </row>
    <row r="1007" spans="1:4" ht="12.75" x14ac:dyDescent="0.35">
      <c r="A1007" s="4">
        <v>44855</v>
      </c>
      <c r="B1007" s="3" t="s">
        <v>147</v>
      </c>
      <c r="C1007" s="3">
        <v>82.09</v>
      </c>
      <c r="D1007" s="3">
        <v>1</v>
      </c>
    </row>
    <row r="1008" spans="1:4" ht="12.75" x14ac:dyDescent="0.35">
      <c r="A1008" s="4">
        <v>44613</v>
      </c>
      <c r="B1008" s="3" t="s">
        <v>590</v>
      </c>
      <c r="C1008" s="3">
        <v>82.08</v>
      </c>
      <c r="D1008" s="3">
        <v>1</v>
      </c>
    </row>
    <row r="1009" spans="1:4" ht="12.75" x14ac:dyDescent="0.35">
      <c r="A1009" s="4">
        <v>44916</v>
      </c>
      <c r="B1009" s="3" t="s">
        <v>277</v>
      </c>
      <c r="C1009" s="3">
        <v>82.07</v>
      </c>
      <c r="D1009" s="3">
        <v>1</v>
      </c>
    </row>
    <row r="1010" spans="1:4" ht="12.75" x14ac:dyDescent="0.35">
      <c r="A1010" s="4">
        <v>44613</v>
      </c>
      <c r="B1010" s="3" t="s">
        <v>568</v>
      </c>
      <c r="C1010" s="3">
        <v>81.92</v>
      </c>
      <c r="D1010" s="3">
        <v>6</v>
      </c>
    </row>
    <row r="1011" spans="1:4" ht="12.75" x14ac:dyDescent="0.35">
      <c r="A1011" s="5">
        <v>44763</v>
      </c>
      <c r="B1011" s="3" t="s">
        <v>143</v>
      </c>
      <c r="C1011" s="3">
        <v>81.77</v>
      </c>
      <c r="D1011" s="3">
        <v>1</v>
      </c>
    </row>
    <row r="1012" spans="1:4" ht="12.75" x14ac:dyDescent="0.35">
      <c r="A1012" s="4">
        <v>44672</v>
      </c>
      <c r="B1012" s="3" t="s">
        <v>419</v>
      </c>
      <c r="C1012" s="3">
        <v>81.709999999999994</v>
      </c>
      <c r="D1012" s="3">
        <v>3</v>
      </c>
    </row>
    <row r="1013" spans="1:4" ht="12.75" x14ac:dyDescent="0.35">
      <c r="A1013" s="4">
        <v>44702</v>
      </c>
      <c r="B1013" s="3" t="s">
        <v>1073</v>
      </c>
      <c r="C1013" s="3">
        <v>81.7</v>
      </c>
      <c r="D1013" s="3">
        <v>3</v>
      </c>
    </row>
    <row r="1014" spans="1:4" ht="12.75" x14ac:dyDescent="0.35">
      <c r="A1014" s="4">
        <v>44825</v>
      </c>
      <c r="B1014" s="3" t="s">
        <v>404</v>
      </c>
      <c r="C1014" s="3">
        <v>81.67</v>
      </c>
      <c r="D1014" s="3">
        <v>1</v>
      </c>
    </row>
    <row r="1015" spans="1:4" ht="12.75" x14ac:dyDescent="0.35">
      <c r="A1015" s="4">
        <v>44672</v>
      </c>
      <c r="B1015" s="3" t="s">
        <v>411</v>
      </c>
      <c r="C1015" s="3">
        <v>81.62</v>
      </c>
      <c r="D1015" s="3">
        <v>1</v>
      </c>
    </row>
    <row r="1016" spans="1:4" ht="12.75" x14ac:dyDescent="0.35">
      <c r="A1016" s="5">
        <v>44733</v>
      </c>
      <c r="B1016" s="3" t="s">
        <v>1002</v>
      </c>
      <c r="C1016" s="3">
        <v>81.52</v>
      </c>
      <c r="D1016" s="3">
        <v>2</v>
      </c>
    </row>
    <row r="1017" spans="1:4" ht="12.75" x14ac:dyDescent="0.35">
      <c r="A1017" s="5">
        <v>44763</v>
      </c>
      <c r="B1017" s="3" t="s">
        <v>911</v>
      </c>
      <c r="C1017" s="3">
        <v>81.48</v>
      </c>
      <c r="D1017" s="3">
        <v>2</v>
      </c>
    </row>
    <row r="1018" spans="1:4" ht="12.75" x14ac:dyDescent="0.35">
      <c r="A1018" s="4">
        <v>44613</v>
      </c>
      <c r="B1018" s="3" t="s">
        <v>56</v>
      </c>
      <c r="C1018" s="3">
        <v>81.349999999999994</v>
      </c>
      <c r="D1018" s="3">
        <v>1</v>
      </c>
    </row>
    <row r="1019" spans="1:4" ht="12.75" x14ac:dyDescent="0.35">
      <c r="A1019" s="4">
        <v>44886</v>
      </c>
      <c r="B1019" s="3" t="s">
        <v>230</v>
      </c>
      <c r="C1019" s="3">
        <v>81.33</v>
      </c>
      <c r="D1019" s="3">
        <v>2</v>
      </c>
    </row>
    <row r="1020" spans="1:4" ht="12.75" x14ac:dyDescent="0.35">
      <c r="A1020" s="4">
        <v>44916</v>
      </c>
      <c r="B1020" s="3" t="s">
        <v>473</v>
      </c>
      <c r="C1020" s="3">
        <v>81.33</v>
      </c>
      <c r="D1020" s="3">
        <v>1</v>
      </c>
    </row>
    <row r="1021" spans="1:4" ht="12.75" x14ac:dyDescent="0.35">
      <c r="A1021" s="4">
        <v>44702</v>
      </c>
      <c r="B1021" s="3" t="s">
        <v>79</v>
      </c>
      <c r="C1021" s="3">
        <v>81.08</v>
      </c>
      <c r="D1021" s="3">
        <v>1</v>
      </c>
    </row>
    <row r="1022" spans="1:4" ht="12.75" x14ac:dyDescent="0.35">
      <c r="A1022" s="4">
        <v>44582</v>
      </c>
      <c r="B1022" s="3" t="s">
        <v>297</v>
      </c>
      <c r="C1022" s="3">
        <v>80.8</v>
      </c>
      <c r="D1022" s="3">
        <v>1</v>
      </c>
    </row>
    <row r="1023" spans="1:4" ht="12.75" x14ac:dyDescent="0.35">
      <c r="A1023" s="4">
        <v>44672</v>
      </c>
      <c r="B1023" s="3" t="s">
        <v>406</v>
      </c>
      <c r="C1023" s="3">
        <v>80.790000000000006</v>
      </c>
      <c r="D1023" s="3">
        <v>2</v>
      </c>
    </row>
    <row r="1024" spans="1:4" ht="12.75" x14ac:dyDescent="0.35">
      <c r="A1024" s="5">
        <v>44763</v>
      </c>
      <c r="B1024" s="3" t="s">
        <v>518</v>
      </c>
      <c r="C1024" s="3">
        <v>80.760000000000005</v>
      </c>
      <c r="D1024" s="3">
        <v>3</v>
      </c>
    </row>
    <row r="1025" spans="1:4" ht="12.75" x14ac:dyDescent="0.35">
      <c r="A1025" s="4">
        <v>44613</v>
      </c>
      <c r="B1025" s="3" t="s">
        <v>248</v>
      </c>
      <c r="C1025" s="3">
        <v>80.61</v>
      </c>
      <c r="D1025" s="3">
        <v>1</v>
      </c>
    </row>
    <row r="1026" spans="1:4" ht="12.75" x14ac:dyDescent="0.35">
      <c r="A1026" s="4">
        <v>44916</v>
      </c>
      <c r="B1026" s="3" t="s">
        <v>245</v>
      </c>
      <c r="C1026" s="3">
        <v>80</v>
      </c>
      <c r="D1026" s="3">
        <v>1</v>
      </c>
    </row>
    <row r="1027" spans="1:4" ht="12.75" x14ac:dyDescent="0.35">
      <c r="A1027" s="5">
        <v>44763</v>
      </c>
      <c r="B1027" s="3" t="s">
        <v>130</v>
      </c>
      <c r="C1027" s="3">
        <v>79.849999999999994</v>
      </c>
      <c r="D1027" s="3">
        <v>1</v>
      </c>
    </row>
    <row r="1028" spans="1:4" ht="12.75" x14ac:dyDescent="0.35">
      <c r="A1028" s="4">
        <v>44916</v>
      </c>
      <c r="B1028" s="3" t="s">
        <v>790</v>
      </c>
      <c r="C1028" s="3">
        <v>79.61</v>
      </c>
      <c r="D1028" s="3">
        <v>1</v>
      </c>
    </row>
    <row r="1029" spans="1:4" ht="12.75" x14ac:dyDescent="0.35">
      <c r="A1029" s="4">
        <v>44613</v>
      </c>
      <c r="B1029" s="3" t="s">
        <v>506</v>
      </c>
      <c r="C1029" s="3">
        <v>79.569999999999993</v>
      </c>
      <c r="D1029" s="3">
        <v>9</v>
      </c>
    </row>
    <row r="1030" spans="1:4" ht="12.75" x14ac:dyDescent="0.35">
      <c r="A1030" s="4">
        <v>44641</v>
      </c>
      <c r="B1030" s="3" t="s">
        <v>760</v>
      </c>
      <c r="C1030" s="3">
        <v>79.5</v>
      </c>
      <c r="D1030" s="3">
        <v>3</v>
      </c>
    </row>
    <row r="1031" spans="1:4" ht="12.75" x14ac:dyDescent="0.35">
      <c r="A1031" s="4">
        <v>44702</v>
      </c>
      <c r="B1031" s="3" t="s">
        <v>243</v>
      </c>
      <c r="C1031" s="3">
        <v>79.48</v>
      </c>
      <c r="D1031" s="3">
        <v>1</v>
      </c>
    </row>
    <row r="1032" spans="1:4" ht="12.75" x14ac:dyDescent="0.35">
      <c r="A1032" s="4">
        <v>44702</v>
      </c>
      <c r="B1032" s="3" t="s">
        <v>244</v>
      </c>
      <c r="C1032" s="3">
        <v>79.45</v>
      </c>
      <c r="D1032" s="3">
        <v>1</v>
      </c>
    </row>
    <row r="1033" spans="1:4" ht="12.75" x14ac:dyDescent="0.35">
      <c r="A1033" s="4">
        <v>44613</v>
      </c>
      <c r="B1033" s="3" t="s">
        <v>401</v>
      </c>
      <c r="C1033" s="3">
        <v>79.430000000000007</v>
      </c>
      <c r="D1033" s="3">
        <v>5</v>
      </c>
    </row>
    <row r="1034" spans="1:4" ht="12.75" x14ac:dyDescent="0.35">
      <c r="A1034" s="4">
        <v>44794</v>
      </c>
      <c r="B1034" s="3" t="s">
        <v>103</v>
      </c>
      <c r="C1034" s="3">
        <v>79.41</v>
      </c>
      <c r="D1034" s="3">
        <v>6</v>
      </c>
    </row>
    <row r="1035" spans="1:4" ht="12.75" x14ac:dyDescent="0.35">
      <c r="A1035" s="4">
        <v>44702</v>
      </c>
      <c r="B1035" s="3" t="s">
        <v>11</v>
      </c>
      <c r="C1035" s="3">
        <v>79.37</v>
      </c>
      <c r="D1035" s="3">
        <v>2</v>
      </c>
    </row>
    <row r="1036" spans="1:4" ht="12.75" x14ac:dyDescent="0.35">
      <c r="A1036" s="5">
        <v>44763</v>
      </c>
      <c r="B1036" s="3" t="s">
        <v>68</v>
      </c>
      <c r="C1036" s="3">
        <v>79.34</v>
      </c>
      <c r="D1036" s="3">
        <v>1</v>
      </c>
    </row>
    <row r="1037" spans="1:4" ht="12.75" x14ac:dyDescent="0.35">
      <c r="A1037" s="4">
        <v>44702</v>
      </c>
      <c r="B1037" s="3" t="s">
        <v>574</v>
      </c>
      <c r="C1037" s="3">
        <v>79.31</v>
      </c>
      <c r="D1037" s="3">
        <v>1</v>
      </c>
    </row>
    <row r="1038" spans="1:4" ht="12.75" x14ac:dyDescent="0.35">
      <c r="A1038" s="4">
        <v>44672</v>
      </c>
      <c r="B1038" s="3" t="s">
        <v>15</v>
      </c>
      <c r="C1038" s="3">
        <v>79.19</v>
      </c>
      <c r="D1038" s="3">
        <v>1</v>
      </c>
    </row>
    <row r="1039" spans="1:4" ht="12.75" x14ac:dyDescent="0.35">
      <c r="A1039" s="4">
        <v>44582</v>
      </c>
      <c r="B1039" s="3" t="s">
        <v>372</v>
      </c>
      <c r="C1039" s="3">
        <v>79.14</v>
      </c>
      <c r="D1039" s="3">
        <v>1</v>
      </c>
    </row>
    <row r="1040" spans="1:4" ht="12.75" x14ac:dyDescent="0.35">
      <c r="A1040" s="5">
        <v>44733</v>
      </c>
      <c r="B1040" s="3" t="s">
        <v>955</v>
      </c>
      <c r="C1040" s="3">
        <v>79.11</v>
      </c>
      <c r="D1040" s="3">
        <v>1</v>
      </c>
    </row>
    <row r="1041" spans="1:4" ht="12.75" x14ac:dyDescent="0.35">
      <c r="A1041" s="4">
        <v>44702</v>
      </c>
      <c r="B1041" s="3" t="s">
        <v>572</v>
      </c>
      <c r="C1041" s="3">
        <v>79.040000000000006</v>
      </c>
      <c r="D1041" s="3">
        <v>2</v>
      </c>
    </row>
    <row r="1042" spans="1:4" ht="12.75" x14ac:dyDescent="0.35">
      <c r="A1042" s="4">
        <v>44702</v>
      </c>
      <c r="B1042" s="3" t="s">
        <v>248</v>
      </c>
      <c r="C1042" s="3">
        <v>79.010000000000005</v>
      </c>
      <c r="D1042" s="3">
        <v>1</v>
      </c>
    </row>
    <row r="1043" spans="1:4" ht="12.75" x14ac:dyDescent="0.35">
      <c r="A1043" s="4">
        <v>44916</v>
      </c>
      <c r="B1043" s="3" t="s">
        <v>404</v>
      </c>
      <c r="C1043" s="3">
        <v>78.92</v>
      </c>
      <c r="D1043" s="3">
        <v>1</v>
      </c>
    </row>
    <row r="1044" spans="1:4" ht="12.75" x14ac:dyDescent="0.35">
      <c r="A1044" s="4">
        <v>44613</v>
      </c>
      <c r="B1044" s="3" t="s">
        <v>160</v>
      </c>
      <c r="C1044" s="3">
        <v>78.89</v>
      </c>
      <c r="D1044" s="3">
        <v>1</v>
      </c>
    </row>
    <row r="1045" spans="1:4" ht="12.75" x14ac:dyDescent="0.35">
      <c r="A1045" s="4">
        <v>44702</v>
      </c>
      <c r="B1045" s="3" t="s">
        <v>577</v>
      </c>
      <c r="C1045" s="3">
        <v>78.84</v>
      </c>
      <c r="D1045" s="3">
        <v>1</v>
      </c>
    </row>
    <row r="1046" spans="1:4" ht="12.75" x14ac:dyDescent="0.35">
      <c r="A1046" s="5">
        <v>44763</v>
      </c>
      <c r="B1046" s="3" t="s">
        <v>122</v>
      </c>
      <c r="C1046" s="3">
        <v>78.790000000000006</v>
      </c>
      <c r="D1046" s="3">
        <v>1</v>
      </c>
    </row>
    <row r="1047" spans="1:4" ht="12.75" x14ac:dyDescent="0.35">
      <c r="A1047" s="4">
        <v>44702</v>
      </c>
      <c r="B1047" s="3" t="s">
        <v>437</v>
      </c>
      <c r="C1047" s="3">
        <v>78.739999999999995</v>
      </c>
      <c r="D1047" s="3">
        <v>1</v>
      </c>
    </row>
    <row r="1048" spans="1:4" ht="12.75" x14ac:dyDescent="0.35">
      <c r="A1048" s="4">
        <v>44672</v>
      </c>
      <c r="B1048" s="3" t="s">
        <v>624</v>
      </c>
      <c r="C1048" s="3">
        <v>78.680000000000007</v>
      </c>
      <c r="D1048" s="3">
        <v>1</v>
      </c>
    </row>
    <row r="1049" spans="1:4" ht="12.75" x14ac:dyDescent="0.35">
      <c r="A1049" s="5">
        <v>44733</v>
      </c>
      <c r="B1049" s="3" t="s">
        <v>566</v>
      </c>
      <c r="C1049" s="3">
        <v>78.5</v>
      </c>
      <c r="D1049" s="3">
        <v>1</v>
      </c>
    </row>
    <row r="1050" spans="1:4" ht="12.75" x14ac:dyDescent="0.35">
      <c r="A1050" s="5">
        <v>44763</v>
      </c>
      <c r="B1050" s="3" t="s">
        <v>96</v>
      </c>
      <c r="C1050" s="3">
        <v>78.349999999999994</v>
      </c>
      <c r="D1050" s="3">
        <v>1</v>
      </c>
    </row>
    <row r="1051" spans="1:4" ht="12.75" x14ac:dyDescent="0.35">
      <c r="A1051" s="4">
        <v>44825</v>
      </c>
      <c r="B1051" s="3" t="s">
        <v>460</v>
      </c>
      <c r="C1051" s="3">
        <v>78.2</v>
      </c>
      <c r="D1051" s="3">
        <v>4</v>
      </c>
    </row>
    <row r="1052" spans="1:4" ht="12.75" x14ac:dyDescent="0.35">
      <c r="A1052" s="5">
        <v>44763</v>
      </c>
      <c r="B1052" s="3" t="s">
        <v>343</v>
      </c>
      <c r="C1052" s="3">
        <v>78.05</v>
      </c>
      <c r="D1052" s="3">
        <v>3</v>
      </c>
    </row>
    <row r="1053" spans="1:4" ht="12.75" x14ac:dyDescent="0.35">
      <c r="A1053" s="4">
        <v>44613</v>
      </c>
      <c r="B1053" s="3" t="s">
        <v>155</v>
      </c>
      <c r="C1053" s="3">
        <v>78.040000000000006</v>
      </c>
      <c r="D1053" s="3">
        <v>1</v>
      </c>
    </row>
    <row r="1054" spans="1:4" ht="12.75" x14ac:dyDescent="0.35">
      <c r="A1054" s="4">
        <v>44672</v>
      </c>
      <c r="B1054" s="3" t="s">
        <v>620</v>
      </c>
      <c r="C1054" s="3">
        <v>78.03</v>
      </c>
      <c r="D1054" s="3">
        <v>4</v>
      </c>
    </row>
    <row r="1055" spans="1:4" ht="12.75" x14ac:dyDescent="0.35">
      <c r="A1055" s="4">
        <v>44855</v>
      </c>
      <c r="B1055" s="3" t="s">
        <v>14</v>
      </c>
      <c r="C1055" s="3">
        <v>77.98</v>
      </c>
      <c r="D1055" s="3">
        <v>2</v>
      </c>
    </row>
    <row r="1056" spans="1:4" ht="12.75" x14ac:dyDescent="0.35">
      <c r="A1056" s="5">
        <v>44733</v>
      </c>
      <c r="B1056" s="3" t="s">
        <v>433</v>
      </c>
      <c r="C1056" s="3">
        <v>77.91</v>
      </c>
      <c r="D1056" s="3">
        <v>1</v>
      </c>
    </row>
    <row r="1057" spans="1:4" ht="12.75" x14ac:dyDescent="0.35">
      <c r="A1057" s="4">
        <v>44855</v>
      </c>
      <c r="B1057" s="3" t="s">
        <v>444</v>
      </c>
      <c r="C1057" s="3">
        <v>77.790000000000006</v>
      </c>
      <c r="D1057" s="3">
        <v>1</v>
      </c>
    </row>
    <row r="1058" spans="1:4" ht="12.75" x14ac:dyDescent="0.35">
      <c r="A1058" s="4">
        <v>44825</v>
      </c>
      <c r="B1058" s="3" t="s">
        <v>134</v>
      </c>
      <c r="C1058" s="3">
        <v>77.77</v>
      </c>
      <c r="D1058" s="3">
        <v>2</v>
      </c>
    </row>
    <row r="1059" spans="1:4" ht="12.75" x14ac:dyDescent="0.35">
      <c r="A1059" s="4">
        <v>44672</v>
      </c>
      <c r="B1059" s="3" t="s">
        <v>334</v>
      </c>
      <c r="C1059" s="3">
        <v>77.709999999999994</v>
      </c>
      <c r="D1059" s="3">
        <v>1</v>
      </c>
    </row>
    <row r="1060" spans="1:4" ht="12.75" x14ac:dyDescent="0.35">
      <c r="A1060" s="4">
        <v>44916</v>
      </c>
      <c r="B1060" s="3" t="s">
        <v>444</v>
      </c>
      <c r="C1060" s="3">
        <v>77.61</v>
      </c>
      <c r="D1060" s="3">
        <v>1</v>
      </c>
    </row>
    <row r="1061" spans="1:4" ht="12.75" x14ac:dyDescent="0.35">
      <c r="A1061" s="4">
        <v>44886</v>
      </c>
      <c r="B1061" s="3" t="s">
        <v>519</v>
      </c>
      <c r="C1061" s="3">
        <v>77.599999999999994</v>
      </c>
      <c r="D1061" s="3">
        <v>4</v>
      </c>
    </row>
    <row r="1062" spans="1:4" ht="12.75" x14ac:dyDescent="0.35">
      <c r="A1062" s="4">
        <v>44794</v>
      </c>
      <c r="B1062" s="3" t="s">
        <v>536</v>
      </c>
      <c r="C1062" s="3">
        <v>77.47</v>
      </c>
      <c r="D1062" s="3">
        <v>9</v>
      </c>
    </row>
    <row r="1063" spans="1:4" ht="12.75" x14ac:dyDescent="0.35">
      <c r="A1063" s="4">
        <v>44855</v>
      </c>
      <c r="B1063" s="3" t="s">
        <v>549</v>
      </c>
      <c r="C1063" s="3">
        <v>77.45</v>
      </c>
      <c r="D1063" s="3">
        <v>1</v>
      </c>
    </row>
    <row r="1064" spans="1:4" ht="12.75" x14ac:dyDescent="0.35">
      <c r="A1064" s="4">
        <v>44613</v>
      </c>
      <c r="B1064" s="3" t="s">
        <v>486</v>
      </c>
      <c r="C1064" s="3">
        <v>77.37</v>
      </c>
      <c r="D1064" s="3">
        <v>1</v>
      </c>
    </row>
    <row r="1065" spans="1:4" ht="12.75" x14ac:dyDescent="0.35">
      <c r="A1065" s="4">
        <v>44702</v>
      </c>
      <c r="B1065" s="3" t="s">
        <v>334</v>
      </c>
      <c r="C1065" s="3">
        <v>77.34</v>
      </c>
      <c r="D1065" s="3">
        <v>1</v>
      </c>
    </row>
    <row r="1066" spans="1:4" ht="12.75" x14ac:dyDescent="0.35">
      <c r="A1066" s="4">
        <v>44855</v>
      </c>
      <c r="B1066" s="3" t="s">
        <v>790</v>
      </c>
      <c r="C1066" s="3">
        <v>77.34</v>
      </c>
      <c r="D1066" s="3">
        <v>1</v>
      </c>
    </row>
    <row r="1067" spans="1:4" ht="12.75" x14ac:dyDescent="0.35">
      <c r="A1067" s="4">
        <v>44702</v>
      </c>
      <c r="B1067" s="3" t="s">
        <v>186</v>
      </c>
      <c r="C1067" s="3">
        <v>77.290000000000006</v>
      </c>
      <c r="D1067" s="3">
        <v>2</v>
      </c>
    </row>
    <row r="1068" spans="1:4" ht="12.75" x14ac:dyDescent="0.35">
      <c r="A1068" s="5">
        <v>44733</v>
      </c>
      <c r="B1068" s="3" t="s">
        <v>295</v>
      </c>
      <c r="C1068" s="3">
        <v>77.27</v>
      </c>
      <c r="D1068" s="3">
        <v>4</v>
      </c>
    </row>
    <row r="1069" spans="1:4" ht="12.75" x14ac:dyDescent="0.35">
      <c r="A1069" s="4">
        <v>44855</v>
      </c>
      <c r="B1069" s="3" t="s">
        <v>143</v>
      </c>
      <c r="C1069" s="3">
        <v>77.27</v>
      </c>
      <c r="D1069" s="3">
        <v>1</v>
      </c>
    </row>
    <row r="1070" spans="1:4" ht="12.75" x14ac:dyDescent="0.35">
      <c r="A1070" s="4">
        <v>44886</v>
      </c>
      <c r="B1070" s="3" t="s">
        <v>1134</v>
      </c>
      <c r="C1070" s="3">
        <v>77.239999999999995</v>
      </c>
      <c r="D1070" s="3">
        <v>1</v>
      </c>
    </row>
    <row r="1071" spans="1:4" ht="12.75" x14ac:dyDescent="0.35">
      <c r="A1071" s="4">
        <v>44855</v>
      </c>
      <c r="B1071" s="3" t="s">
        <v>86</v>
      </c>
      <c r="C1071" s="3">
        <v>77.22</v>
      </c>
      <c r="D1071" s="3">
        <v>2</v>
      </c>
    </row>
    <row r="1072" spans="1:4" ht="12.75" x14ac:dyDescent="0.35">
      <c r="A1072" s="5">
        <v>44763</v>
      </c>
      <c r="B1072" s="3" t="s">
        <v>205</v>
      </c>
      <c r="C1072" s="3">
        <v>77.150000000000006</v>
      </c>
      <c r="D1072" s="3">
        <v>1</v>
      </c>
    </row>
    <row r="1073" spans="1:4" ht="12.75" x14ac:dyDescent="0.35">
      <c r="A1073" s="4">
        <v>44855</v>
      </c>
      <c r="B1073" s="3" t="s">
        <v>244</v>
      </c>
      <c r="C1073" s="3">
        <v>77.150000000000006</v>
      </c>
      <c r="D1073" s="3">
        <v>1</v>
      </c>
    </row>
    <row r="1074" spans="1:4" ht="12.75" x14ac:dyDescent="0.35">
      <c r="A1074" s="4">
        <v>44916</v>
      </c>
      <c r="B1074" s="3" t="s">
        <v>1526</v>
      </c>
      <c r="C1074" s="3">
        <v>76.959999999999994</v>
      </c>
      <c r="D1074" s="3">
        <v>1</v>
      </c>
    </row>
    <row r="1075" spans="1:4" ht="12.75" x14ac:dyDescent="0.35">
      <c r="A1075" s="4">
        <v>44672</v>
      </c>
      <c r="B1075" s="3" t="s">
        <v>362</v>
      </c>
      <c r="C1075" s="3">
        <v>76.91</v>
      </c>
      <c r="D1075" s="3">
        <v>7</v>
      </c>
    </row>
    <row r="1076" spans="1:4" ht="12.75" x14ac:dyDescent="0.35">
      <c r="A1076" s="4">
        <v>44613</v>
      </c>
      <c r="B1076" s="3" t="s">
        <v>30</v>
      </c>
      <c r="C1076" s="3">
        <v>76.709999999999994</v>
      </c>
      <c r="D1076" s="3">
        <v>6</v>
      </c>
    </row>
    <row r="1077" spans="1:4" ht="12.75" x14ac:dyDescent="0.35">
      <c r="A1077" s="4">
        <v>44825</v>
      </c>
      <c r="B1077" s="3" t="s">
        <v>1704</v>
      </c>
      <c r="C1077" s="3">
        <v>76.64</v>
      </c>
      <c r="D1077" s="3">
        <v>2</v>
      </c>
    </row>
    <row r="1078" spans="1:4" ht="12.75" x14ac:dyDescent="0.35">
      <c r="A1078" s="4">
        <v>44886</v>
      </c>
      <c r="B1078" s="3" t="s">
        <v>534</v>
      </c>
      <c r="C1078" s="3">
        <v>76.55</v>
      </c>
      <c r="D1078" s="3">
        <v>7</v>
      </c>
    </row>
    <row r="1079" spans="1:4" ht="12.75" x14ac:dyDescent="0.35">
      <c r="A1079" s="4">
        <v>44641</v>
      </c>
      <c r="B1079" s="3" t="s">
        <v>598</v>
      </c>
      <c r="C1079" s="3">
        <v>76.53</v>
      </c>
      <c r="D1079" s="3">
        <v>1</v>
      </c>
    </row>
    <row r="1080" spans="1:4" ht="12.75" x14ac:dyDescent="0.35">
      <c r="A1080" s="4">
        <v>44702</v>
      </c>
      <c r="B1080" s="3" t="s">
        <v>163</v>
      </c>
      <c r="C1080" s="3">
        <v>76.52</v>
      </c>
      <c r="D1080" s="3">
        <v>3</v>
      </c>
    </row>
    <row r="1081" spans="1:4" ht="12.75" x14ac:dyDescent="0.35">
      <c r="A1081" s="4">
        <v>44613</v>
      </c>
      <c r="B1081" s="3" t="s">
        <v>557</v>
      </c>
      <c r="C1081" s="3">
        <v>76.510000000000005</v>
      </c>
      <c r="D1081" s="3">
        <v>3</v>
      </c>
    </row>
    <row r="1082" spans="1:4" ht="12.75" x14ac:dyDescent="0.35">
      <c r="A1082" s="4">
        <v>44886</v>
      </c>
      <c r="B1082" s="3" t="s">
        <v>21</v>
      </c>
      <c r="C1082" s="3">
        <v>76.489999999999995</v>
      </c>
      <c r="D1082" s="3">
        <v>9</v>
      </c>
    </row>
    <row r="1083" spans="1:4" ht="12.75" x14ac:dyDescent="0.35">
      <c r="A1083" s="5">
        <v>44763</v>
      </c>
      <c r="B1083" s="3" t="s">
        <v>290</v>
      </c>
      <c r="C1083" s="3">
        <v>76.459999999999994</v>
      </c>
      <c r="D1083" s="3">
        <v>3</v>
      </c>
    </row>
    <row r="1084" spans="1:4" ht="12.75" x14ac:dyDescent="0.35">
      <c r="A1084" s="4">
        <v>44886</v>
      </c>
      <c r="B1084" s="3" t="s">
        <v>347</v>
      </c>
      <c r="C1084" s="3">
        <v>76.41</v>
      </c>
      <c r="D1084" s="3">
        <v>1</v>
      </c>
    </row>
    <row r="1085" spans="1:4" ht="12.75" x14ac:dyDescent="0.35">
      <c r="A1085" s="4">
        <v>44916</v>
      </c>
      <c r="B1085" s="3" t="s">
        <v>205</v>
      </c>
      <c r="C1085" s="3">
        <v>76.41</v>
      </c>
      <c r="D1085" s="3">
        <v>1</v>
      </c>
    </row>
    <row r="1086" spans="1:4" ht="12.75" x14ac:dyDescent="0.35">
      <c r="A1086" s="5">
        <v>44763</v>
      </c>
      <c r="B1086" s="3" t="s">
        <v>180</v>
      </c>
      <c r="C1086" s="3">
        <v>76.38</v>
      </c>
      <c r="D1086" s="3">
        <v>1</v>
      </c>
    </row>
    <row r="1087" spans="1:4" ht="12.75" x14ac:dyDescent="0.35">
      <c r="A1087" s="5">
        <v>44733</v>
      </c>
      <c r="B1087" s="3" t="s">
        <v>188</v>
      </c>
      <c r="C1087" s="3">
        <v>76.37</v>
      </c>
      <c r="D1087" s="3">
        <v>1</v>
      </c>
    </row>
    <row r="1088" spans="1:4" ht="12.75" x14ac:dyDescent="0.35">
      <c r="A1088" s="4">
        <v>44794</v>
      </c>
      <c r="B1088" s="3" t="s">
        <v>279</v>
      </c>
      <c r="C1088" s="3">
        <v>76.209999999999994</v>
      </c>
      <c r="D1088" s="3">
        <v>1</v>
      </c>
    </row>
    <row r="1089" spans="1:4" ht="12.75" x14ac:dyDescent="0.35">
      <c r="A1089" s="4">
        <v>44641</v>
      </c>
      <c r="B1089" s="3" t="s">
        <v>302</v>
      </c>
      <c r="C1089" s="3">
        <v>75.900000000000006</v>
      </c>
      <c r="D1089" s="3">
        <v>1</v>
      </c>
    </row>
    <row r="1090" spans="1:4" ht="12.75" x14ac:dyDescent="0.35">
      <c r="A1090" s="4">
        <v>44825</v>
      </c>
      <c r="B1090" s="3" t="s">
        <v>687</v>
      </c>
      <c r="C1090" s="3">
        <v>75.849999999999994</v>
      </c>
      <c r="D1090" s="3">
        <v>3</v>
      </c>
    </row>
    <row r="1091" spans="1:4" ht="12.75" x14ac:dyDescent="0.35">
      <c r="A1091" s="5">
        <v>44763</v>
      </c>
      <c r="B1091" s="3" t="s">
        <v>955</v>
      </c>
      <c r="C1091" s="3">
        <v>75.84</v>
      </c>
      <c r="D1091" s="3">
        <v>1</v>
      </c>
    </row>
    <row r="1092" spans="1:4" ht="12.75" x14ac:dyDescent="0.35">
      <c r="A1092" s="4">
        <v>44855</v>
      </c>
      <c r="B1092" s="3" t="s">
        <v>203</v>
      </c>
      <c r="C1092" s="3">
        <v>75.75</v>
      </c>
      <c r="D1092" s="3">
        <v>6</v>
      </c>
    </row>
    <row r="1093" spans="1:4" ht="12.75" x14ac:dyDescent="0.35">
      <c r="A1093" s="4">
        <v>44582</v>
      </c>
      <c r="B1093" s="3" t="s">
        <v>248</v>
      </c>
      <c r="C1093" s="3">
        <v>75.739999999999995</v>
      </c>
      <c r="D1093" s="3">
        <v>1</v>
      </c>
    </row>
    <row r="1094" spans="1:4" ht="12.75" x14ac:dyDescent="0.35">
      <c r="A1094" s="4">
        <v>44794</v>
      </c>
      <c r="B1094" s="3" t="s">
        <v>853</v>
      </c>
      <c r="C1094" s="3">
        <v>75.709999999999994</v>
      </c>
      <c r="D1094" s="3">
        <v>1</v>
      </c>
    </row>
    <row r="1095" spans="1:4" ht="12.75" x14ac:dyDescent="0.35">
      <c r="A1095" s="5">
        <v>44733</v>
      </c>
      <c r="B1095" s="3" t="s">
        <v>251</v>
      </c>
      <c r="C1095" s="3">
        <v>75.52</v>
      </c>
      <c r="D1095" s="3">
        <v>4</v>
      </c>
    </row>
    <row r="1096" spans="1:4" ht="12.75" x14ac:dyDescent="0.35">
      <c r="A1096" s="5">
        <v>44763</v>
      </c>
      <c r="B1096" s="3" t="s">
        <v>541</v>
      </c>
      <c r="C1096" s="3">
        <v>75.45</v>
      </c>
      <c r="D1096" s="3">
        <v>2</v>
      </c>
    </row>
    <row r="1097" spans="1:4" ht="12.75" x14ac:dyDescent="0.35">
      <c r="A1097" s="4">
        <v>44794</v>
      </c>
      <c r="B1097" s="3" t="s">
        <v>86</v>
      </c>
      <c r="C1097" s="3">
        <v>75.400000000000006</v>
      </c>
      <c r="D1097" s="3">
        <v>2</v>
      </c>
    </row>
    <row r="1098" spans="1:4" ht="12.75" x14ac:dyDescent="0.35">
      <c r="A1098" s="4">
        <v>44641</v>
      </c>
      <c r="B1098" s="3" t="s">
        <v>154</v>
      </c>
      <c r="C1098" s="3">
        <v>75.34</v>
      </c>
      <c r="D1098" s="3">
        <v>2</v>
      </c>
    </row>
    <row r="1099" spans="1:4" ht="12.75" x14ac:dyDescent="0.35">
      <c r="A1099" s="5">
        <v>44733</v>
      </c>
      <c r="B1099" s="3" t="s">
        <v>243</v>
      </c>
      <c r="C1099" s="3">
        <v>75.33</v>
      </c>
      <c r="D1099" s="3">
        <v>1</v>
      </c>
    </row>
    <row r="1100" spans="1:4" ht="12.75" x14ac:dyDescent="0.35">
      <c r="A1100" s="4">
        <v>44916</v>
      </c>
      <c r="B1100" s="3" t="s">
        <v>1942</v>
      </c>
      <c r="C1100" s="3">
        <v>75.319999999999993</v>
      </c>
      <c r="D1100" s="3">
        <v>1</v>
      </c>
    </row>
    <row r="1101" spans="1:4" ht="12.75" x14ac:dyDescent="0.35">
      <c r="A1101" s="4">
        <v>44825</v>
      </c>
      <c r="B1101" s="3" t="s">
        <v>549</v>
      </c>
      <c r="C1101" s="3">
        <v>75.3</v>
      </c>
      <c r="D1101" s="3">
        <v>1</v>
      </c>
    </row>
    <row r="1102" spans="1:4" ht="12.75" x14ac:dyDescent="0.35">
      <c r="A1102" s="4">
        <v>44916</v>
      </c>
      <c r="B1102" s="3" t="s">
        <v>470</v>
      </c>
      <c r="C1102" s="3">
        <v>75.17</v>
      </c>
      <c r="D1102" s="3">
        <v>1</v>
      </c>
    </row>
    <row r="1103" spans="1:4" ht="12.75" x14ac:dyDescent="0.35">
      <c r="A1103" s="4">
        <v>44641</v>
      </c>
      <c r="B1103" s="3" t="s">
        <v>227</v>
      </c>
      <c r="C1103" s="3">
        <v>75.14</v>
      </c>
      <c r="D1103" s="3">
        <v>3</v>
      </c>
    </row>
    <row r="1104" spans="1:4" ht="12.75" x14ac:dyDescent="0.35">
      <c r="A1104" s="4">
        <v>44855</v>
      </c>
      <c r="B1104" s="3" t="s">
        <v>130</v>
      </c>
      <c r="C1104" s="3">
        <v>75.03</v>
      </c>
      <c r="D1104" s="3">
        <v>1</v>
      </c>
    </row>
    <row r="1105" spans="1:4" ht="12.75" x14ac:dyDescent="0.35">
      <c r="A1105" s="4">
        <v>44916</v>
      </c>
      <c r="B1105" s="3" t="s">
        <v>911</v>
      </c>
      <c r="C1105" s="3">
        <v>74.91</v>
      </c>
      <c r="D1105" s="3">
        <v>2</v>
      </c>
    </row>
    <row r="1106" spans="1:4" ht="12.75" x14ac:dyDescent="0.35">
      <c r="A1106" s="4">
        <v>44886</v>
      </c>
      <c r="B1106" s="3" t="s">
        <v>86</v>
      </c>
      <c r="C1106" s="3">
        <v>74.83</v>
      </c>
      <c r="D1106" s="3">
        <v>2</v>
      </c>
    </row>
    <row r="1107" spans="1:4" ht="12.75" x14ac:dyDescent="0.35">
      <c r="A1107" s="4">
        <v>44672</v>
      </c>
      <c r="B1107" s="3" t="s">
        <v>568</v>
      </c>
      <c r="C1107" s="3">
        <v>74.819999999999993</v>
      </c>
      <c r="D1107" s="3">
        <v>6</v>
      </c>
    </row>
    <row r="1108" spans="1:4" ht="12.75" x14ac:dyDescent="0.35">
      <c r="A1108" s="4">
        <v>44855</v>
      </c>
      <c r="B1108" s="3" t="s">
        <v>439</v>
      </c>
      <c r="C1108" s="3">
        <v>74.81</v>
      </c>
      <c r="D1108" s="3">
        <v>3</v>
      </c>
    </row>
    <row r="1109" spans="1:4" ht="12.75" x14ac:dyDescent="0.35">
      <c r="A1109" s="4">
        <v>44916</v>
      </c>
      <c r="B1109" s="3" t="s">
        <v>1959</v>
      </c>
      <c r="C1109" s="3">
        <v>74.81</v>
      </c>
      <c r="D1109" s="3">
        <v>1</v>
      </c>
    </row>
    <row r="1110" spans="1:4" ht="12.75" x14ac:dyDescent="0.35">
      <c r="A1110" s="5">
        <v>44763</v>
      </c>
      <c r="B1110" s="3" t="s">
        <v>289</v>
      </c>
      <c r="C1110" s="3">
        <v>74.709999999999994</v>
      </c>
      <c r="D1110" s="3">
        <v>2</v>
      </c>
    </row>
    <row r="1111" spans="1:4" ht="12.75" x14ac:dyDescent="0.35">
      <c r="A1111" s="4">
        <v>44641</v>
      </c>
      <c r="B1111" s="3" t="s">
        <v>15</v>
      </c>
      <c r="C1111" s="3">
        <v>74.56</v>
      </c>
      <c r="D1111" s="3">
        <v>1</v>
      </c>
    </row>
    <row r="1112" spans="1:4" ht="12.75" x14ac:dyDescent="0.35">
      <c r="A1112" s="4">
        <v>44702</v>
      </c>
      <c r="B1112" s="3" t="s">
        <v>364</v>
      </c>
      <c r="C1112" s="3">
        <v>74.349999999999994</v>
      </c>
      <c r="D1112" s="3">
        <v>1</v>
      </c>
    </row>
    <row r="1113" spans="1:4" ht="12.75" x14ac:dyDescent="0.35">
      <c r="A1113" s="4">
        <v>44886</v>
      </c>
      <c r="B1113" s="3" t="s">
        <v>790</v>
      </c>
      <c r="C1113" s="3">
        <v>74.34</v>
      </c>
      <c r="D1113" s="3">
        <v>1</v>
      </c>
    </row>
    <row r="1114" spans="1:4" ht="12.75" x14ac:dyDescent="0.35">
      <c r="A1114" s="5">
        <v>44763</v>
      </c>
      <c r="B1114" s="3" t="s">
        <v>536</v>
      </c>
      <c r="C1114" s="3">
        <v>74.14</v>
      </c>
      <c r="D1114" s="3">
        <v>9</v>
      </c>
    </row>
    <row r="1115" spans="1:4" ht="12.75" x14ac:dyDescent="0.35">
      <c r="A1115" s="4">
        <v>44613</v>
      </c>
      <c r="B1115" s="3" t="s">
        <v>417</v>
      </c>
      <c r="C1115" s="3">
        <v>74.099999999999994</v>
      </c>
      <c r="D1115" s="3">
        <v>1</v>
      </c>
    </row>
    <row r="1116" spans="1:4" ht="12.75" x14ac:dyDescent="0.35">
      <c r="A1116" s="4">
        <v>44855</v>
      </c>
      <c r="B1116" s="3" t="s">
        <v>279</v>
      </c>
      <c r="C1116" s="3">
        <v>74.099999999999994</v>
      </c>
      <c r="D1116" s="3">
        <v>1</v>
      </c>
    </row>
    <row r="1117" spans="1:4" ht="12.75" x14ac:dyDescent="0.35">
      <c r="A1117" s="4">
        <v>44794</v>
      </c>
      <c r="B1117" s="3" t="s">
        <v>404</v>
      </c>
      <c r="C1117" s="3">
        <v>74.09</v>
      </c>
      <c r="D1117" s="3">
        <v>1</v>
      </c>
    </row>
    <row r="1118" spans="1:4" ht="12.75" x14ac:dyDescent="0.35">
      <c r="A1118" s="4">
        <v>44641</v>
      </c>
      <c r="B1118" s="3" t="s">
        <v>194</v>
      </c>
      <c r="C1118" s="3">
        <v>74.06</v>
      </c>
      <c r="D1118" s="3">
        <v>6</v>
      </c>
    </row>
    <row r="1119" spans="1:4" ht="12.75" x14ac:dyDescent="0.35">
      <c r="A1119" s="4">
        <v>44855</v>
      </c>
      <c r="B1119" s="3" t="s">
        <v>534</v>
      </c>
      <c r="C1119" s="3">
        <v>73.959999999999994</v>
      </c>
      <c r="D1119" s="3">
        <v>7</v>
      </c>
    </row>
    <row r="1120" spans="1:4" ht="12.75" x14ac:dyDescent="0.35">
      <c r="A1120" s="4">
        <v>44855</v>
      </c>
      <c r="B1120" s="3" t="s">
        <v>223</v>
      </c>
      <c r="C1120" s="3">
        <v>73.95</v>
      </c>
      <c r="D1120" s="3">
        <v>1</v>
      </c>
    </row>
    <row r="1121" spans="1:4" ht="12.75" x14ac:dyDescent="0.35">
      <c r="A1121" s="4">
        <v>44794</v>
      </c>
      <c r="B1121" s="3" t="s">
        <v>439</v>
      </c>
      <c r="C1121" s="3">
        <v>73.900000000000006</v>
      </c>
      <c r="D1121" s="3">
        <v>3</v>
      </c>
    </row>
    <row r="1122" spans="1:4" ht="12.75" x14ac:dyDescent="0.35">
      <c r="A1122" s="4">
        <v>44825</v>
      </c>
      <c r="B1122" s="3" t="s">
        <v>444</v>
      </c>
      <c r="C1122" s="3">
        <v>73.87</v>
      </c>
      <c r="D1122" s="3">
        <v>1</v>
      </c>
    </row>
    <row r="1123" spans="1:4" ht="12.75" x14ac:dyDescent="0.35">
      <c r="A1123" s="4">
        <v>44855</v>
      </c>
      <c r="B1123" s="3" t="s">
        <v>45</v>
      </c>
      <c r="C1123" s="3">
        <v>73.87</v>
      </c>
      <c r="D1123" s="3">
        <v>1</v>
      </c>
    </row>
    <row r="1124" spans="1:4" ht="12.75" x14ac:dyDescent="0.35">
      <c r="A1124" s="4">
        <v>44672</v>
      </c>
      <c r="B1124" s="3" t="s">
        <v>265</v>
      </c>
      <c r="C1124" s="3">
        <v>73.849999999999994</v>
      </c>
      <c r="D1124" s="3">
        <v>2</v>
      </c>
    </row>
    <row r="1125" spans="1:4" ht="12.75" x14ac:dyDescent="0.35">
      <c r="A1125" s="5">
        <v>44763</v>
      </c>
      <c r="B1125" s="3" t="s">
        <v>610</v>
      </c>
      <c r="C1125" s="3">
        <v>73.849999999999994</v>
      </c>
      <c r="D1125" s="3">
        <v>1</v>
      </c>
    </row>
    <row r="1126" spans="1:4" ht="12.75" x14ac:dyDescent="0.35">
      <c r="A1126" s="4">
        <v>44886</v>
      </c>
      <c r="B1126" s="3" t="s">
        <v>444</v>
      </c>
      <c r="C1126" s="3">
        <v>73.75</v>
      </c>
      <c r="D1126" s="3">
        <v>1</v>
      </c>
    </row>
    <row r="1127" spans="1:4" ht="12.75" x14ac:dyDescent="0.35">
      <c r="A1127" s="4">
        <v>44886</v>
      </c>
      <c r="B1127" s="3" t="s">
        <v>143</v>
      </c>
      <c r="C1127" s="3">
        <v>73.73</v>
      </c>
      <c r="D1127" s="3">
        <v>1</v>
      </c>
    </row>
    <row r="1128" spans="1:4" ht="12.75" x14ac:dyDescent="0.35">
      <c r="A1128" s="4">
        <v>44916</v>
      </c>
      <c r="B1128" s="3" t="s">
        <v>610</v>
      </c>
      <c r="C1128" s="3">
        <v>73.73</v>
      </c>
      <c r="D1128" s="3">
        <v>1</v>
      </c>
    </row>
    <row r="1129" spans="1:4" ht="12.75" x14ac:dyDescent="0.35">
      <c r="A1129" s="4">
        <v>44886</v>
      </c>
      <c r="B1129" s="3" t="s">
        <v>130</v>
      </c>
      <c r="C1129" s="3">
        <v>73.650000000000006</v>
      </c>
      <c r="D1129" s="3">
        <v>1</v>
      </c>
    </row>
    <row r="1130" spans="1:4" ht="12.75" x14ac:dyDescent="0.35">
      <c r="A1130" s="4">
        <v>44794</v>
      </c>
      <c r="B1130" s="3" t="s">
        <v>444</v>
      </c>
      <c r="C1130" s="3">
        <v>73.53</v>
      </c>
      <c r="D1130" s="3">
        <v>1</v>
      </c>
    </row>
    <row r="1131" spans="1:4" ht="12.75" x14ac:dyDescent="0.35">
      <c r="A1131" s="4">
        <v>44702</v>
      </c>
      <c r="B1131" s="3" t="s">
        <v>444</v>
      </c>
      <c r="C1131" s="3">
        <v>73.48</v>
      </c>
      <c r="D1131" s="3">
        <v>1</v>
      </c>
    </row>
    <row r="1132" spans="1:4" ht="12.75" x14ac:dyDescent="0.35">
      <c r="A1132" s="4">
        <v>44886</v>
      </c>
      <c r="B1132" s="3" t="s">
        <v>1832</v>
      </c>
      <c r="C1132" s="3">
        <v>73.45</v>
      </c>
      <c r="D1132" s="3">
        <v>1</v>
      </c>
    </row>
    <row r="1133" spans="1:4" ht="12.75" x14ac:dyDescent="0.35">
      <c r="A1133" s="4">
        <v>44613</v>
      </c>
      <c r="B1133" s="3" t="s">
        <v>395</v>
      </c>
      <c r="C1133" s="3">
        <v>73.38</v>
      </c>
      <c r="D1133" s="3">
        <v>1</v>
      </c>
    </row>
    <row r="1134" spans="1:4" ht="12.75" x14ac:dyDescent="0.35">
      <c r="A1134" s="4">
        <v>44886</v>
      </c>
      <c r="B1134" s="3" t="s">
        <v>108</v>
      </c>
      <c r="C1134" s="3">
        <v>73.349999999999994</v>
      </c>
      <c r="D1134" s="3">
        <v>1</v>
      </c>
    </row>
    <row r="1135" spans="1:4" ht="12.75" x14ac:dyDescent="0.35">
      <c r="A1135" s="4">
        <v>44582</v>
      </c>
      <c r="B1135" s="3" t="s">
        <v>223</v>
      </c>
      <c r="C1135" s="3">
        <v>73.260000000000005</v>
      </c>
      <c r="D1135" s="3">
        <v>1</v>
      </c>
    </row>
    <row r="1136" spans="1:4" ht="12.75" x14ac:dyDescent="0.35">
      <c r="A1136" s="4">
        <v>44886</v>
      </c>
      <c r="B1136" s="3" t="s">
        <v>41</v>
      </c>
      <c r="C1136" s="3">
        <v>73.06</v>
      </c>
      <c r="D1136" s="3">
        <v>1</v>
      </c>
    </row>
    <row r="1137" spans="1:4" ht="12.75" x14ac:dyDescent="0.35">
      <c r="A1137" s="5">
        <v>44763</v>
      </c>
      <c r="B1137" s="3" t="s">
        <v>438</v>
      </c>
      <c r="C1137" s="3">
        <v>73.010000000000005</v>
      </c>
      <c r="D1137" s="3">
        <v>1</v>
      </c>
    </row>
    <row r="1138" spans="1:4" ht="12.75" x14ac:dyDescent="0.35">
      <c r="A1138" s="4">
        <v>44886</v>
      </c>
      <c r="B1138" s="3" t="s">
        <v>404</v>
      </c>
      <c r="C1138" s="3">
        <v>72.97</v>
      </c>
      <c r="D1138" s="3">
        <v>1</v>
      </c>
    </row>
    <row r="1139" spans="1:4" ht="12.75" x14ac:dyDescent="0.35">
      <c r="A1139" s="4">
        <v>44672</v>
      </c>
      <c r="B1139" s="3" t="s">
        <v>993</v>
      </c>
      <c r="C1139" s="3">
        <v>72.959999999999994</v>
      </c>
      <c r="D1139" s="3">
        <v>1</v>
      </c>
    </row>
    <row r="1140" spans="1:4" ht="12.75" x14ac:dyDescent="0.35">
      <c r="A1140" s="4">
        <v>44916</v>
      </c>
      <c r="B1140" s="3" t="s">
        <v>306</v>
      </c>
      <c r="C1140" s="3">
        <v>72.94</v>
      </c>
      <c r="D1140" s="3">
        <v>1</v>
      </c>
    </row>
    <row r="1141" spans="1:4" ht="12.75" x14ac:dyDescent="0.35">
      <c r="A1141" s="4">
        <v>44855</v>
      </c>
      <c r="B1141" s="3" t="s">
        <v>239</v>
      </c>
      <c r="C1141" s="3">
        <v>72.930000000000007</v>
      </c>
      <c r="D1141" s="3">
        <v>1</v>
      </c>
    </row>
    <row r="1142" spans="1:4" ht="12.75" x14ac:dyDescent="0.35">
      <c r="A1142" s="4">
        <v>44702</v>
      </c>
      <c r="B1142" s="3" t="s">
        <v>15</v>
      </c>
      <c r="C1142" s="3">
        <v>72.89</v>
      </c>
      <c r="D1142" s="3">
        <v>1</v>
      </c>
    </row>
    <row r="1143" spans="1:4" ht="12.75" x14ac:dyDescent="0.35">
      <c r="A1143" s="4">
        <v>44613</v>
      </c>
      <c r="B1143" s="3" t="s">
        <v>372</v>
      </c>
      <c r="C1143" s="3">
        <v>72.87</v>
      </c>
      <c r="D1143" s="3">
        <v>1</v>
      </c>
    </row>
    <row r="1144" spans="1:4" ht="12.75" x14ac:dyDescent="0.35">
      <c r="A1144" s="4">
        <v>44855</v>
      </c>
      <c r="B1144" s="3" t="s">
        <v>574</v>
      </c>
      <c r="C1144" s="3">
        <v>72.87</v>
      </c>
      <c r="D1144" s="3">
        <v>1</v>
      </c>
    </row>
    <row r="1145" spans="1:4" ht="12.75" x14ac:dyDescent="0.35">
      <c r="A1145" s="5">
        <v>44763</v>
      </c>
      <c r="B1145" s="3" t="s">
        <v>396</v>
      </c>
      <c r="C1145" s="3">
        <v>72.69</v>
      </c>
      <c r="D1145" s="3">
        <v>1</v>
      </c>
    </row>
    <row r="1146" spans="1:4" ht="12.75" x14ac:dyDescent="0.35">
      <c r="A1146" s="4">
        <v>44641</v>
      </c>
      <c r="B1146" s="3" t="s">
        <v>69</v>
      </c>
      <c r="C1146" s="3">
        <v>72.650000000000006</v>
      </c>
      <c r="D1146" s="3">
        <v>10</v>
      </c>
    </row>
    <row r="1147" spans="1:4" ht="12.75" x14ac:dyDescent="0.35">
      <c r="A1147" s="4">
        <v>44794</v>
      </c>
      <c r="B1147" s="3" t="s">
        <v>143</v>
      </c>
      <c r="C1147" s="3">
        <v>72.569999999999993</v>
      </c>
      <c r="D1147" s="3">
        <v>1</v>
      </c>
    </row>
    <row r="1148" spans="1:4" ht="12.75" x14ac:dyDescent="0.35">
      <c r="A1148" s="4">
        <v>44855</v>
      </c>
      <c r="B1148" s="3" t="s">
        <v>12</v>
      </c>
      <c r="C1148" s="3">
        <v>72.52</v>
      </c>
      <c r="D1148" s="3">
        <v>1</v>
      </c>
    </row>
    <row r="1149" spans="1:4" ht="12.75" x14ac:dyDescent="0.35">
      <c r="A1149" s="4">
        <v>44702</v>
      </c>
      <c r="B1149" s="3" t="s">
        <v>259</v>
      </c>
      <c r="C1149" s="3">
        <v>72.400000000000006</v>
      </c>
      <c r="D1149" s="3">
        <v>2</v>
      </c>
    </row>
    <row r="1150" spans="1:4" ht="12.75" x14ac:dyDescent="0.35">
      <c r="A1150" s="4">
        <v>44672</v>
      </c>
      <c r="B1150" s="3" t="s">
        <v>395</v>
      </c>
      <c r="C1150" s="3">
        <v>72.349999999999994</v>
      </c>
      <c r="D1150" s="3">
        <v>1</v>
      </c>
    </row>
    <row r="1151" spans="1:4" ht="12.75" x14ac:dyDescent="0.35">
      <c r="A1151" s="4">
        <v>44702</v>
      </c>
      <c r="B1151" s="3" t="s">
        <v>368</v>
      </c>
      <c r="C1151" s="3">
        <v>72.319999999999993</v>
      </c>
      <c r="D1151" s="3">
        <v>1</v>
      </c>
    </row>
    <row r="1152" spans="1:4" ht="12.75" x14ac:dyDescent="0.35">
      <c r="A1152" s="4">
        <v>44855</v>
      </c>
      <c r="B1152" s="3" t="s">
        <v>201</v>
      </c>
      <c r="C1152" s="3">
        <v>72.28</v>
      </c>
      <c r="D1152" s="3">
        <v>1</v>
      </c>
    </row>
    <row r="1153" spans="1:4" ht="12.75" x14ac:dyDescent="0.35">
      <c r="A1153" s="4">
        <v>44702</v>
      </c>
      <c r="B1153" s="3" t="s">
        <v>1041</v>
      </c>
      <c r="C1153" s="3">
        <v>72.2</v>
      </c>
      <c r="D1153" s="3">
        <v>1</v>
      </c>
    </row>
    <row r="1154" spans="1:4" ht="12.75" x14ac:dyDescent="0.35">
      <c r="A1154" s="4">
        <v>44641</v>
      </c>
      <c r="B1154" s="3" t="s">
        <v>103</v>
      </c>
      <c r="C1154" s="3">
        <v>72.19</v>
      </c>
      <c r="D1154" s="3">
        <v>6</v>
      </c>
    </row>
    <row r="1155" spans="1:4" ht="12.75" x14ac:dyDescent="0.35">
      <c r="A1155" s="4">
        <v>44702</v>
      </c>
      <c r="B1155" s="3" t="s">
        <v>738</v>
      </c>
      <c r="C1155" s="3">
        <v>72.180000000000007</v>
      </c>
      <c r="D1155" s="3">
        <v>2</v>
      </c>
    </row>
    <row r="1156" spans="1:4" ht="12.75" x14ac:dyDescent="0.35">
      <c r="A1156" s="4">
        <v>44916</v>
      </c>
      <c r="B1156" s="3" t="s">
        <v>993</v>
      </c>
      <c r="C1156" s="3">
        <v>72.180000000000007</v>
      </c>
      <c r="D1156" s="3">
        <v>1</v>
      </c>
    </row>
    <row r="1157" spans="1:4" ht="12.75" x14ac:dyDescent="0.35">
      <c r="A1157" s="4">
        <v>44855</v>
      </c>
      <c r="B1157" s="3" t="s">
        <v>167</v>
      </c>
      <c r="C1157" s="3">
        <v>72.03</v>
      </c>
      <c r="D1157" s="3">
        <v>1</v>
      </c>
    </row>
    <row r="1158" spans="1:4" ht="12.75" x14ac:dyDescent="0.35">
      <c r="A1158" s="4">
        <v>44825</v>
      </c>
      <c r="B1158" s="3" t="s">
        <v>45</v>
      </c>
      <c r="C1158" s="3">
        <v>71.86</v>
      </c>
      <c r="D1158" s="3">
        <v>1</v>
      </c>
    </row>
    <row r="1159" spans="1:4" ht="12.75" x14ac:dyDescent="0.35">
      <c r="A1159" s="4">
        <v>44855</v>
      </c>
      <c r="B1159" s="3" t="s">
        <v>610</v>
      </c>
      <c r="C1159" s="3">
        <v>71.790000000000006</v>
      </c>
      <c r="D1159" s="3">
        <v>1</v>
      </c>
    </row>
    <row r="1160" spans="1:4" ht="12.75" x14ac:dyDescent="0.35">
      <c r="A1160" s="4">
        <v>44582</v>
      </c>
      <c r="B1160" s="3" t="s">
        <v>88</v>
      </c>
      <c r="C1160" s="3">
        <v>71.78</v>
      </c>
      <c r="D1160" s="3">
        <v>1</v>
      </c>
    </row>
    <row r="1161" spans="1:4" ht="12.75" x14ac:dyDescent="0.35">
      <c r="A1161" s="4">
        <v>44916</v>
      </c>
      <c r="B1161" s="3" t="s">
        <v>122</v>
      </c>
      <c r="C1161" s="3">
        <v>71.73</v>
      </c>
      <c r="D1161" s="3">
        <v>1</v>
      </c>
    </row>
    <row r="1162" spans="1:4" ht="12.75" x14ac:dyDescent="0.35">
      <c r="A1162" s="4">
        <v>44702</v>
      </c>
      <c r="B1162" s="3" t="s">
        <v>508</v>
      </c>
      <c r="C1162" s="3">
        <v>71.64</v>
      </c>
      <c r="D1162" s="3">
        <v>3</v>
      </c>
    </row>
    <row r="1163" spans="1:4" ht="12.75" x14ac:dyDescent="0.35">
      <c r="A1163" s="4">
        <v>44855</v>
      </c>
      <c r="B1163" s="3" t="s">
        <v>473</v>
      </c>
      <c r="C1163" s="3">
        <v>71.510000000000005</v>
      </c>
      <c r="D1163" s="3">
        <v>1</v>
      </c>
    </row>
    <row r="1164" spans="1:4" ht="12.75" x14ac:dyDescent="0.35">
      <c r="A1164" s="4">
        <v>44916</v>
      </c>
      <c r="B1164" s="3" t="s">
        <v>368</v>
      </c>
      <c r="C1164" s="3">
        <v>71.510000000000005</v>
      </c>
      <c r="D1164" s="3">
        <v>1</v>
      </c>
    </row>
    <row r="1165" spans="1:4" ht="12.75" x14ac:dyDescent="0.35">
      <c r="A1165" s="5">
        <v>44763</v>
      </c>
      <c r="B1165" s="3" t="s">
        <v>167</v>
      </c>
      <c r="C1165" s="3">
        <v>71.489999999999995</v>
      </c>
      <c r="D1165" s="3">
        <v>1</v>
      </c>
    </row>
    <row r="1166" spans="1:4" ht="12.75" x14ac:dyDescent="0.35">
      <c r="A1166" s="4">
        <v>44582</v>
      </c>
      <c r="B1166" s="3" t="s">
        <v>360</v>
      </c>
      <c r="C1166" s="3">
        <v>71.44</v>
      </c>
      <c r="D1166" s="3">
        <v>1</v>
      </c>
    </row>
    <row r="1167" spans="1:4" ht="12.75" x14ac:dyDescent="0.35">
      <c r="A1167" s="4">
        <v>44916</v>
      </c>
      <c r="B1167" s="3" t="s">
        <v>126</v>
      </c>
      <c r="C1167" s="3">
        <v>71.41</v>
      </c>
      <c r="D1167" s="3">
        <v>1</v>
      </c>
    </row>
    <row r="1168" spans="1:4" ht="12.75" x14ac:dyDescent="0.35">
      <c r="A1168" s="4">
        <v>44794</v>
      </c>
      <c r="B1168" s="3" t="s">
        <v>244</v>
      </c>
      <c r="C1168" s="3">
        <v>71.34</v>
      </c>
      <c r="D1168" s="3">
        <v>1</v>
      </c>
    </row>
    <row r="1169" spans="1:4" ht="12.75" x14ac:dyDescent="0.35">
      <c r="A1169" s="4">
        <v>44613</v>
      </c>
      <c r="B1169" s="3" t="s">
        <v>258</v>
      </c>
      <c r="C1169" s="3">
        <v>71.33</v>
      </c>
      <c r="D1169" s="3">
        <v>2</v>
      </c>
    </row>
    <row r="1170" spans="1:4" ht="12.75" x14ac:dyDescent="0.35">
      <c r="A1170" s="4">
        <v>44613</v>
      </c>
      <c r="B1170" s="3" t="s">
        <v>586</v>
      </c>
      <c r="C1170" s="3">
        <v>71.25</v>
      </c>
      <c r="D1170" s="3">
        <v>1</v>
      </c>
    </row>
    <row r="1171" spans="1:4" ht="12.75" x14ac:dyDescent="0.35">
      <c r="A1171" s="4">
        <v>44702</v>
      </c>
      <c r="B1171" s="3" t="s">
        <v>333</v>
      </c>
      <c r="C1171" s="3">
        <v>71.239999999999995</v>
      </c>
      <c r="D1171" s="3">
        <v>2</v>
      </c>
    </row>
    <row r="1172" spans="1:4" ht="12.75" x14ac:dyDescent="0.35">
      <c r="A1172" s="4">
        <v>44794</v>
      </c>
      <c r="B1172" s="3" t="s">
        <v>353</v>
      </c>
      <c r="C1172" s="3">
        <v>71.239999999999995</v>
      </c>
      <c r="D1172" s="3">
        <v>2</v>
      </c>
    </row>
    <row r="1173" spans="1:4" ht="12.75" x14ac:dyDescent="0.35">
      <c r="A1173" s="4">
        <v>44702</v>
      </c>
      <c r="B1173" s="3" t="s">
        <v>799</v>
      </c>
      <c r="C1173" s="3">
        <v>71.209999999999994</v>
      </c>
      <c r="D1173" s="3">
        <v>2</v>
      </c>
    </row>
    <row r="1174" spans="1:4" ht="12.75" x14ac:dyDescent="0.35">
      <c r="A1174" s="4">
        <v>44641</v>
      </c>
      <c r="B1174" s="3" t="s">
        <v>248</v>
      </c>
      <c r="C1174" s="3">
        <v>71.19</v>
      </c>
      <c r="D1174" s="3">
        <v>1</v>
      </c>
    </row>
    <row r="1175" spans="1:4" ht="12.75" x14ac:dyDescent="0.35">
      <c r="A1175" s="4">
        <v>44886</v>
      </c>
      <c r="B1175" s="3" t="s">
        <v>223</v>
      </c>
      <c r="C1175" s="3">
        <v>71.17</v>
      </c>
      <c r="D1175" s="3">
        <v>1</v>
      </c>
    </row>
    <row r="1176" spans="1:4" ht="12.75" x14ac:dyDescent="0.35">
      <c r="A1176" s="4">
        <v>44855</v>
      </c>
      <c r="B1176" s="3" t="s">
        <v>95</v>
      </c>
      <c r="C1176" s="3">
        <v>71.14</v>
      </c>
      <c r="D1176" s="3">
        <v>1</v>
      </c>
    </row>
    <row r="1177" spans="1:4" ht="12.75" x14ac:dyDescent="0.35">
      <c r="A1177" s="4">
        <v>44916</v>
      </c>
      <c r="B1177" s="3" t="s">
        <v>574</v>
      </c>
      <c r="C1177" s="3">
        <v>71.069999999999993</v>
      </c>
      <c r="D1177" s="3">
        <v>1</v>
      </c>
    </row>
    <row r="1178" spans="1:4" ht="12.75" x14ac:dyDescent="0.35">
      <c r="A1178" s="4">
        <v>44672</v>
      </c>
      <c r="B1178" s="3" t="s">
        <v>583</v>
      </c>
      <c r="C1178" s="3">
        <v>71.05</v>
      </c>
      <c r="D1178" s="3">
        <v>1</v>
      </c>
    </row>
    <row r="1179" spans="1:4" ht="12.75" x14ac:dyDescent="0.35">
      <c r="A1179" s="4">
        <v>44613</v>
      </c>
      <c r="B1179" s="3" t="s">
        <v>302</v>
      </c>
      <c r="C1179" s="3">
        <v>70.84</v>
      </c>
      <c r="D1179" s="3">
        <v>1</v>
      </c>
    </row>
    <row r="1180" spans="1:4" ht="12.75" x14ac:dyDescent="0.35">
      <c r="A1180" s="5">
        <v>44763</v>
      </c>
      <c r="B1180" s="3" t="s">
        <v>14</v>
      </c>
      <c r="C1180" s="3">
        <v>70.77</v>
      </c>
      <c r="D1180" s="3">
        <v>2</v>
      </c>
    </row>
    <row r="1181" spans="1:4" ht="12.75" x14ac:dyDescent="0.35">
      <c r="A1181" s="4">
        <v>44916</v>
      </c>
      <c r="B1181" s="3" t="s">
        <v>1897</v>
      </c>
      <c r="C1181" s="3">
        <v>70.760000000000005</v>
      </c>
      <c r="D1181" s="3">
        <v>1</v>
      </c>
    </row>
    <row r="1182" spans="1:4" ht="12.75" x14ac:dyDescent="0.35">
      <c r="A1182" s="4">
        <v>44886</v>
      </c>
      <c r="B1182" s="3" t="s">
        <v>290</v>
      </c>
      <c r="C1182" s="3">
        <v>70.599999999999994</v>
      </c>
      <c r="D1182" s="3">
        <v>3</v>
      </c>
    </row>
    <row r="1183" spans="1:4" ht="12.75" x14ac:dyDescent="0.35">
      <c r="A1183" s="4">
        <v>44886</v>
      </c>
      <c r="B1183" s="3" t="s">
        <v>79</v>
      </c>
      <c r="C1183" s="3">
        <v>70.55</v>
      </c>
      <c r="D1183" s="3">
        <v>1</v>
      </c>
    </row>
    <row r="1184" spans="1:4" ht="12.75" x14ac:dyDescent="0.35">
      <c r="A1184" s="5">
        <v>44733</v>
      </c>
      <c r="B1184" s="3" t="s">
        <v>500</v>
      </c>
      <c r="C1184" s="3">
        <v>70.540000000000006</v>
      </c>
      <c r="D1184" s="3">
        <v>7</v>
      </c>
    </row>
    <row r="1185" spans="1:4" ht="12.75" x14ac:dyDescent="0.35">
      <c r="A1185" s="4">
        <v>44855</v>
      </c>
      <c r="B1185" s="3" t="s">
        <v>395</v>
      </c>
      <c r="C1185" s="3">
        <v>70.38</v>
      </c>
      <c r="D1185" s="3">
        <v>1</v>
      </c>
    </row>
    <row r="1186" spans="1:4" ht="12.75" x14ac:dyDescent="0.35">
      <c r="A1186" s="4">
        <v>44886</v>
      </c>
      <c r="B1186" s="3" t="s">
        <v>574</v>
      </c>
      <c r="C1186" s="3">
        <v>70.28</v>
      </c>
      <c r="D1186" s="3">
        <v>1</v>
      </c>
    </row>
    <row r="1187" spans="1:4" ht="12.75" x14ac:dyDescent="0.35">
      <c r="A1187" s="4">
        <v>44855</v>
      </c>
      <c r="B1187" s="3" t="s">
        <v>164</v>
      </c>
      <c r="C1187" s="3">
        <v>70.23</v>
      </c>
      <c r="D1187" s="3">
        <v>2</v>
      </c>
    </row>
    <row r="1188" spans="1:4" ht="12.75" x14ac:dyDescent="0.35">
      <c r="A1188" s="4">
        <v>44825</v>
      </c>
      <c r="B1188" s="3" t="s">
        <v>143</v>
      </c>
      <c r="C1188" s="3">
        <v>70.209999999999994</v>
      </c>
      <c r="D1188" s="3">
        <v>1</v>
      </c>
    </row>
    <row r="1189" spans="1:4" ht="12.75" x14ac:dyDescent="0.35">
      <c r="A1189" s="4">
        <v>44794</v>
      </c>
      <c r="B1189" s="3" t="s">
        <v>76</v>
      </c>
      <c r="C1189" s="3">
        <v>70.180000000000007</v>
      </c>
      <c r="D1189" s="3">
        <v>1</v>
      </c>
    </row>
    <row r="1190" spans="1:4" ht="12.75" x14ac:dyDescent="0.35">
      <c r="A1190" s="4">
        <v>44825</v>
      </c>
      <c r="B1190" s="3" t="s">
        <v>167</v>
      </c>
      <c r="C1190" s="3">
        <v>70.13</v>
      </c>
      <c r="D1190" s="3">
        <v>1</v>
      </c>
    </row>
    <row r="1191" spans="1:4" ht="12.75" x14ac:dyDescent="0.35">
      <c r="A1191" s="4">
        <v>44855</v>
      </c>
      <c r="B1191" s="3" t="s">
        <v>76</v>
      </c>
      <c r="C1191" s="3">
        <v>70.13</v>
      </c>
      <c r="D1191" s="3">
        <v>1</v>
      </c>
    </row>
    <row r="1192" spans="1:4" ht="12.75" x14ac:dyDescent="0.35">
      <c r="A1192" s="4">
        <v>44916</v>
      </c>
      <c r="B1192" s="3" t="s">
        <v>48</v>
      </c>
      <c r="C1192" s="3">
        <v>70.13</v>
      </c>
      <c r="D1192" s="3">
        <v>4</v>
      </c>
    </row>
    <row r="1193" spans="1:4" ht="12.75" x14ac:dyDescent="0.35">
      <c r="A1193" s="4">
        <v>44702</v>
      </c>
      <c r="B1193" s="3" t="s">
        <v>466</v>
      </c>
      <c r="C1193" s="3">
        <v>70.09</v>
      </c>
      <c r="D1193" s="3">
        <v>1</v>
      </c>
    </row>
    <row r="1194" spans="1:4" ht="12.75" x14ac:dyDescent="0.35">
      <c r="A1194" s="5">
        <v>44763</v>
      </c>
      <c r="B1194" s="3" t="s">
        <v>348</v>
      </c>
      <c r="C1194" s="3">
        <v>70.010000000000005</v>
      </c>
      <c r="D1194" s="3">
        <v>1</v>
      </c>
    </row>
    <row r="1195" spans="1:4" ht="12.75" x14ac:dyDescent="0.35">
      <c r="A1195" s="4">
        <v>44825</v>
      </c>
      <c r="B1195" s="3" t="s">
        <v>694</v>
      </c>
      <c r="C1195" s="3">
        <v>70.010000000000005</v>
      </c>
      <c r="D1195" s="3">
        <v>1</v>
      </c>
    </row>
    <row r="1196" spans="1:4" ht="12.75" x14ac:dyDescent="0.35">
      <c r="A1196" s="4">
        <v>44855</v>
      </c>
      <c r="B1196" s="3" t="s">
        <v>68</v>
      </c>
      <c r="C1196" s="3">
        <v>69.94</v>
      </c>
      <c r="D1196" s="3">
        <v>1</v>
      </c>
    </row>
    <row r="1197" spans="1:4" ht="12.75" x14ac:dyDescent="0.35">
      <c r="A1197" s="5">
        <v>44733</v>
      </c>
      <c r="B1197" s="3" t="s">
        <v>154</v>
      </c>
      <c r="C1197" s="3">
        <v>69.86</v>
      </c>
      <c r="D1197" s="3">
        <v>2</v>
      </c>
    </row>
    <row r="1198" spans="1:4" ht="12.75" x14ac:dyDescent="0.35">
      <c r="A1198" s="4">
        <v>44582</v>
      </c>
      <c r="B1198" s="3" t="s">
        <v>18</v>
      </c>
      <c r="C1198" s="3">
        <v>69.739999999999995</v>
      </c>
      <c r="D1198" s="3">
        <v>2</v>
      </c>
    </row>
    <row r="1199" spans="1:4" ht="12.75" x14ac:dyDescent="0.35">
      <c r="A1199" s="4">
        <v>44855</v>
      </c>
      <c r="B1199" s="3" t="s">
        <v>79</v>
      </c>
      <c r="C1199" s="3">
        <v>69.739999999999995</v>
      </c>
      <c r="D1199" s="3">
        <v>1</v>
      </c>
    </row>
    <row r="1200" spans="1:4" ht="12.75" x14ac:dyDescent="0.35">
      <c r="A1200" s="4">
        <v>44794</v>
      </c>
      <c r="B1200" s="3" t="s">
        <v>1002</v>
      </c>
      <c r="C1200" s="3">
        <v>69.72</v>
      </c>
      <c r="D1200" s="3">
        <v>2</v>
      </c>
    </row>
    <row r="1201" spans="1:4" ht="12.75" x14ac:dyDescent="0.35">
      <c r="A1201" s="4">
        <v>44641</v>
      </c>
      <c r="B1201" s="3" t="s">
        <v>697</v>
      </c>
      <c r="C1201" s="3">
        <v>69.69</v>
      </c>
      <c r="D1201" s="3">
        <v>2</v>
      </c>
    </row>
    <row r="1202" spans="1:4" ht="12.75" x14ac:dyDescent="0.35">
      <c r="A1202" s="4">
        <v>44886</v>
      </c>
      <c r="B1202" s="3" t="s">
        <v>276</v>
      </c>
      <c r="C1202" s="3">
        <v>69.67</v>
      </c>
      <c r="D1202" s="3">
        <v>1</v>
      </c>
    </row>
    <row r="1203" spans="1:4" ht="12.75" x14ac:dyDescent="0.35">
      <c r="A1203" s="4">
        <v>44702</v>
      </c>
      <c r="B1203" s="3" t="s">
        <v>668</v>
      </c>
      <c r="C1203" s="3">
        <v>69.64</v>
      </c>
      <c r="D1203" s="3">
        <v>1</v>
      </c>
    </row>
    <row r="1204" spans="1:4" ht="12.75" x14ac:dyDescent="0.35">
      <c r="A1204" s="4">
        <v>44794</v>
      </c>
      <c r="B1204" s="3" t="s">
        <v>79</v>
      </c>
      <c r="C1204" s="3">
        <v>69.540000000000006</v>
      </c>
      <c r="D1204" s="3">
        <v>1</v>
      </c>
    </row>
    <row r="1205" spans="1:4" ht="12.75" x14ac:dyDescent="0.35">
      <c r="A1205" s="4">
        <v>44825</v>
      </c>
      <c r="B1205" s="3" t="s">
        <v>790</v>
      </c>
      <c r="C1205" s="3">
        <v>69.540000000000006</v>
      </c>
      <c r="D1205" s="3">
        <v>1</v>
      </c>
    </row>
    <row r="1206" spans="1:4" ht="12.75" x14ac:dyDescent="0.35">
      <c r="A1206" s="5">
        <v>44733</v>
      </c>
      <c r="B1206" s="3" t="s">
        <v>783</v>
      </c>
      <c r="C1206" s="3">
        <v>69.48</v>
      </c>
      <c r="D1206" s="3">
        <v>1</v>
      </c>
    </row>
    <row r="1207" spans="1:4" ht="12.75" x14ac:dyDescent="0.35">
      <c r="A1207" s="4">
        <v>44855</v>
      </c>
      <c r="B1207" s="3" t="s">
        <v>205</v>
      </c>
      <c r="C1207" s="3">
        <v>69.47</v>
      </c>
      <c r="D1207" s="3">
        <v>1</v>
      </c>
    </row>
    <row r="1208" spans="1:4" ht="12.75" x14ac:dyDescent="0.35">
      <c r="A1208" s="4">
        <v>44613</v>
      </c>
      <c r="B1208" s="3" t="s">
        <v>198</v>
      </c>
      <c r="C1208" s="3">
        <v>69.45</v>
      </c>
      <c r="D1208" s="3">
        <v>4</v>
      </c>
    </row>
    <row r="1209" spans="1:4" ht="12.75" x14ac:dyDescent="0.35">
      <c r="A1209" s="4">
        <v>44916</v>
      </c>
      <c r="B1209" s="3" t="s">
        <v>160</v>
      </c>
      <c r="C1209" s="3">
        <v>69.400000000000006</v>
      </c>
      <c r="D1209" s="3">
        <v>1</v>
      </c>
    </row>
    <row r="1210" spans="1:4" ht="12.75" x14ac:dyDescent="0.35">
      <c r="A1210" s="4">
        <v>44825</v>
      </c>
      <c r="B1210" s="3" t="s">
        <v>473</v>
      </c>
      <c r="C1210" s="3">
        <v>69.37</v>
      </c>
      <c r="D1210" s="3">
        <v>1</v>
      </c>
    </row>
    <row r="1211" spans="1:4" ht="12.75" x14ac:dyDescent="0.35">
      <c r="A1211" s="4">
        <v>44855</v>
      </c>
      <c r="B1211" s="3" t="s">
        <v>1538</v>
      </c>
      <c r="C1211" s="3">
        <v>69.3</v>
      </c>
      <c r="D1211" s="3">
        <v>1</v>
      </c>
    </row>
    <row r="1212" spans="1:4" ht="12.75" x14ac:dyDescent="0.35">
      <c r="A1212" s="4">
        <v>44855</v>
      </c>
      <c r="B1212" s="3" t="s">
        <v>518</v>
      </c>
      <c r="C1212" s="3">
        <v>69.25</v>
      </c>
      <c r="D1212" s="3">
        <v>3</v>
      </c>
    </row>
    <row r="1213" spans="1:4" ht="12.75" x14ac:dyDescent="0.35">
      <c r="A1213" s="5">
        <v>44763</v>
      </c>
      <c r="B1213" s="3" t="s">
        <v>188</v>
      </c>
      <c r="C1213" s="3">
        <v>69.22</v>
      </c>
      <c r="D1213" s="3">
        <v>1</v>
      </c>
    </row>
    <row r="1214" spans="1:4" ht="12.75" x14ac:dyDescent="0.35">
      <c r="A1214" s="4">
        <v>44794</v>
      </c>
      <c r="B1214" s="3" t="s">
        <v>518</v>
      </c>
      <c r="C1214" s="3">
        <v>69.22</v>
      </c>
      <c r="D1214" s="3">
        <v>3</v>
      </c>
    </row>
    <row r="1215" spans="1:4" ht="12.75" x14ac:dyDescent="0.35">
      <c r="A1215" s="4">
        <v>44886</v>
      </c>
      <c r="B1215" s="3" t="s">
        <v>931</v>
      </c>
      <c r="C1215" s="3">
        <v>69.22</v>
      </c>
      <c r="D1215" s="3">
        <v>1</v>
      </c>
    </row>
    <row r="1216" spans="1:4" ht="12.75" x14ac:dyDescent="0.35">
      <c r="A1216" s="4">
        <v>44825</v>
      </c>
      <c r="B1216" s="3" t="s">
        <v>347</v>
      </c>
      <c r="C1216" s="3">
        <v>69.2</v>
      </c>
      <c r="D1216" s="3">
        <v>1</v>
      </c>
    </row>
    <row r="1217" spans="1:4" ht="12.75" x14ac:dyDescent="0.35">
      <c r="A1217" s="4">
        <v>44825</v>
      </c>
      <c r="B1217" s="3" t="s">
        <v>574</v>
      </c>
      <c r="C1217" s="3">
        <v>69.2</v>
      </c>
      <c r="D1217" s="3">
        <v>1</v>
      </c>
    </row>
    <row r="1218" spans="1:4" ht="12.75" x14ac:dyDescent="0.35">
      <c r="A1218" s="5">
        <v>44733</v>
      </c>
      <c r="B1218" s="3" t="s">
        <v>160</v>
      </c>
      <c r="C1218" s="3">
        <v>69.150000000000006</v>
      </c>
      <c r="D1218" s="3">
        <v>1</v>
      </c>
    </row>
    <row r="1219" spans="1:4" ht="12.75" x14ac:dyDescent="0.35">
      <c r="A1219" s="4">
        <v>44916</v>
      </c>
      <c r="B1219" s="3" t="s">
        <v>95</v>
      </c>
      <c r="C1219" s="3">
        <v>69.150000000000006</v>
      </c>
      <c r="D1219" s="3">
        <v>1</v>
      </c>
    </row>
    <row r="1220" spans="1:4" ht="12.75" x14ac:dyDescent="0.35">
      <c r="A1220" s="4">
        <v>44702</v>
      </c>
      <c r="B1220" s="3" t="s">
        <v>669</v>
      </c>
      <c r="C1220" s="3">
        <v>69.13</v>
      </c>
      <c r="D1220" s="3">
        <v>1</v>
      </c>
    </row>
    <row r="1221" spans="1:4" ht="12.75" x14ac:dyDescent="0.35">
      <c r="A1221" s="4">
        <v>44794</v>
      </c>
      <c r="B1221" s="3" t="s">
        <v>20</v>
      </c>
      <c r="C1221" s="3">
        <v>69.099999999999994</v>
      </c>
      <c r="D1221" s="3">
        <v>1</v>
      </c>
    </row>
    <row r="1222" spans="1:4" ht="12.75" x14ac:dyDescent="0.35">
      <c r="A1222" s="4">
        <v>44855</v>
      </c>
      <c r="B1222" s="3" t="s">
        <v>274</v>
      </c>
      <c r="C1222" s="3">
        <v>69.08</v>
      </c>
      <c r="D1222" s="3">
        <v>1</v>
      </c>
    </row>
    <row r="1223" spans="1:4" ht="12.75" x14ac:dyDescent="0.35">
      <c r="A1223" s="5">
        <v>44763</v>
      </c>
      <c r="B1223" s="3" t="s">
        <v>79</v>
      </c>
      <c r="C1223" s="3">
        <v>69.03</v>
      </c>
      <c r="D1223" s="3">
        <v>1</v>
      </c>
    </row>
    <row r="1224" spans="1:4" ht="12.75" x14ac:dyDescent="0.35">
      <c r="A1224" s="5">
        <v>44763</v>
      </c>
      <c r="B1224" s="3" t="s">
        <v>164</v>
      </c>
      <c r="C1224" s="3">
        <v>69</v>
      </c>
      <c r="D1224" s="3">
        <v>2</v>
      </c>
    </row>
    <row r="1225" spans="1:4" ht="12.75" x14ac:dyDescent="0.35">
      <c r="A1225" s="4">
        <v>44794</v>
      </c>
      <c r="B1225" s="3" t="s">
        <v>122</v>
      </c>
      <c r="C1225" s="3">
        <v>69</v>
      </c>
      <c r="D1225" s="3">
        <v>1</v>
      </c>
    </row>
    <row r="1226" spans="1:4" ht="12.75" x14ac:dyDescent="0.35">
      <c r="A1226" s="4">
        <v>44825</v>
      </c>
      <c r="B1226" s="3" t="s">
        <v>79</v>
      </c>
      <c r="C1226" s="3">
        <v>69</v>
      </c>
      <c r="D1226" s="3">
        <v>1</v>
      </c>
    </row>
    <row r="1227" spans="1:4" ht="12.75" x14ac:dyDescent="0.35">
      <c r="A1227" s="4">
        <v>44672</v>
      </c>
      <c r="B1227" s="3" t="s">
        <v>546</v>
      </c>
      <c r="C1227" s="3">
        <v>68.98</v>
      </c>
      <c r="D1227" s="3">
        <v>1</v>
      </c>
    </row>
    <row r="1228" spans="1:4" ht="12.75" x14ac:dyDescent="0.35">
      <c r="A1228" s="4">
        <v>44855</v>
      </c>
      <c r="B1228" s="3" t="s">
        <v>911</v>
      </c>
      <c r="C1228" s="3">
        <v>68.98</v>
      </c>
      <c r="D1228" s="3">
        <v>2</v>
      </c>
    </row>
    <row r="1229" spans="1:4" ht="12.75" x14ac:dyDescent="0.35">
      <c r="A1229" s="4">
        <v>44641</v>
      </c>
      <c r="B1229" s="3" t="s">
        <v>593</v>
      </c>
      <c r="C1229" s="3">
        <v>68.95</v>
      </c>
      <c r="D1229" s="3">
        <v>1</v>
      </c>
    </row>
    <row r="1230" spans="1:4" ht="12.75" x14ac:dyDescent="0.35">
      <c r="A1230" s="4">
        <v>44825</v>
      </c>
      <c r="B1230" s="3" t="s">
        <v>244</v>
      </c>
      <c r="C1230" s="3">
        <v>68.95</v>
      </c>
      <c r="D1230" s="3">
        <v>1</v>
      </c>
    </row>
    <row r="1231" spans="1:4" ht="12.75" x14ac:dyDescent="0.35">
      <c r="A1231" s="4">
        <v>44825</v>
      </c>
      <c r="B1231" s="3" t="s">
        <v>205</v>
      </c>
      <c r="C1231" s="3">
        <v>68.930000000000007</v>
      </c>
      <c r="D1231" s="3">
        <v>1</v>
      </c>
    </row>
    <row r="1232" spans="1:4" ht="12.75" x14ac:dyDescent="0.35">
      <c r="A1232" s="4">
        <v>44825</v>
      </c>
      <c r="B1232" s="3" t="s">
        <v>203</v>
      </c>
      <c r="C1232" s="3">
        <v>68.92</v>
      </c>
      <c r="D1232" s="3">
        <v>6</v>
      </c>
    </row>
    <row r="1233" spans="1:4" ht="12.75" x14ac:dyDescent="0.35">
      <c r="A1233" s="4">
        <v>44794</v>
      </c>
      <c r="B1233" s="3" t="s">
        <v>277</v>
      </c>
      <c r="C1233" s="3">
        <v>68.91</v>
      </c>
      <c r="D1233" s="3">
        <v>1</v>
      </c>
    </row>
    <row r="1234" spans="1:4" ht="12.75" x14ac:dyDescent="0.35">
      <c r="A1234" s="4">
        <v>44702</v>
      </c>
      <c r="B1234" s="3" t="s">
        <v>358</v>
      </c>
      <c r="C1234" s="3">
        <v>68.86</v>
      </c>
      <c r="D1234" s="3">
        <v>2</v>
      </c>
    </row>
    <row r="1235" spans="1:4" ht="12.75" x14ac:dyDescent="0.35">
      <c r="A1235" s="5">
        <v>44763</v>
      </c>
      <c r="B1235" s="3" t="s">
        <v>520</v>
      </c>
      <c r="C1235" s="3">
        <v>68.81</v>
      </c>
      <c r="D1235" s="3">
        <v>1</v>
      </c>
    </row>
    <row r="1236" spans="1:4" ht="12.75" x14ac:dyDescent="0.35">
      <c r="A1236" s="5">
        <v>44763</v>
      </c>
      <c r="B1236" s="3" t="s">
        <v>627</v>
      </c>
      <c r="C1236" s="3">
        <v>68.790000000000006</v>
      </c>
      <c r="D1236" s="3">
        <v>2</v>
      </c>
    </row>
    <row r="1237" spans="1:4" ht="12.75" x14ac:dyDescent="0.35">
      <c r="A1237" s="4">
        <v>44794</v>
      </c>
      <c r="B1237" s="3" t="s">
        <v>245</v>
      </c>
      <c r="C1237" s="3">
        <v>68.73</v>
      </c>
      <c r="D1237" s="3">
        <v>1</v>
      </c>
    </row>
    <row r="1238" spans="1:4" ht="12.75" x14ac:dyDescent="0.35">
      <c r="A1238" s="4">
        <v>44794</v>
      </c>
      <c r="B1238" s="3" t="s">
        <v>160</v>
      </c>
      <c r="C1238" s="3">
        <v>68.73</v>
      </c>
      <c r="D1238" s="3">
        <v>1</v>
      </c>
    </row>
    <row r="1239" spans="1:4" ht="12.75" x14ac:dyDescent="0.35">
      <c r="A1239" s="4">
        <v>44794</v>
      </c>
      <c r="B1239" s="3" t="s">
        <v>368</v>
      </c>
      <c r="C1239" s="3">
        <v>68.709999999999994</v>
      </c>
      <c r="D1239" s="3">
        <v>1</v>
      </c>
    </row>
    <row r="1240" spans="1:4" ht="12.75" x14ac:dyDescent="0.35">
      <c r="A1240" s="4">
        <v>44855</v>
      </c>
      <c r="B1240" s="3" t="s">
        <v>62</v>
      </c>
      <c r="C1240" s="3">
        <v>68.680000000000007</v>
      </c>
      <c r="D1240" s="3">
        <v>1</v>
      </c>
    </row>
    <row r="1241" spans="1:4" ht="12.75" x14ac:dyDescent="0.35">
      <c r="A1241" s="4">
        <v>44855</v>
      </c>
      <c r="B1241" s="3" t="s">
        <v>237</v>
      </c>
      <c r="C1241" s="3">
        <v>68.680000000000007</v>
      </c>
      <c r="D1241" s="3">
        <v>3</v>
      </c>
    </row>
    <row r="1242" spans="1:4" ht="12.75" x14ac:dyDescent="0.35">
      <c r="A1242" s="4">
        <v>44794</v>
      </c>
      <c r="B1242" s="3" t="s">
        <v>911</v>
      </c>
      <c r="C1242" s="3">
        <v>68.63</v>
      </c>
      <c r="D1242" s="3">
        <v>2</v>
      </c>
    </row>
    <row r="1243" spans="1:4" ht="12.75" x14ac:dyDescent="0.35">
      <c r="A1243" s="4">
        <v>44825</v>
      </c>
      <c r="B1243" s="3" t="s">
        <v>188</v>
      </c>
      <c r="C1243" s="3">
        <v>68.56</v>
      </c>
      <c r="D1243" s="3">
        <v>1</v>
      </c>
    </row>
    <row r="1244" spans="1:4" ht="12.75" x14ac:dyDescent="0.35">
      <c r="A1244" s="4">
        <v>44794</v>
      </c>
      <c r="B1244" s="3" t="s">
        <v>567</v>
      </c>
      <c r="C1244" s="3">
        <v>68.540000000000006</v>
      </c>
      <c r="D1244" s="3">
        <v>1</v>
      </c>
    </row>
    <row r="1245" spans="1:4" ht="12.75" x14ac:dyDescent="0.35">
      <c r="A1245" s="4">
        <v>44702</v>
      </c>
      <c r="B1245" s="3" t="s">
        <v>545</v>
      </c>
      <c r="C1245" s="3">
        <v>68.52</v>
      </c>
      <c r="D1245" s="3">
        <v>3</v>
      </c>
    </row>
    <row r="1246" spans="1:4" ht="12.75" x14ac:dyDescent="0.35">
      <c r="A1246" s="4">
        <v>44702</v>
      </c>
      <c r="B1246" s="3" t="s">
        <v>568</v>
      </c>
      <c r="C1246" s="3">
        <v>68.510000000000005</v>
      </c>
      <c r="D1246" s="3">
        <v>6</v>
      </c>
    </row>
    <row r="1247" spans="1:4" ht="12.75" x14ac:dyDescent="0.35">
      <c r="A1247" s="4">
        <v>44582</v>
      </c>
      <c r="B1247" s="3" t="s">
        <v>177</v>
      </c>
      <c r="C1247" s="3">
        <v>68.489999999999995</v>
      </c>
      <c r="D1247" s="3">
        <v>2</v>
      </c>
    </row>
    <row r="1248" spans="1:4" ht="12.75" x14ac:dyDescent="0.35">
      <c r="A1248" s="4">
        <v>44916</v>
      </c>
      <c r="B1248" s="3" t="s">
        <v>979</v>
      </c>
      <c r="C1248" s="3">
        <v>68.489999999999995</v>
      </c>
      <c r="D1248" s="3">
        <v>1</v>
      </c>
    </row>
    <row r="1249" spans="1:4" ht="12.75" x14ac:dyDescent="0.35">
      <c r="A1249" s="4">
        <v>44855</v>
      </c>
      <c r="B1249" s="3" t="s">
        <v>191</v>
      </c>
      <c r="C1249" s="3">
        <v>68.48</v>
      </c>
      <c r="D1249" s="3">
        <v>8</v>
      </c>
    </row>
    <row r="1250" spans="1:4" ht="12.75" x14ac:dyDescent="0.35">
      <c r="A1250" s="4">
        <v>44672</v>
      </c>
      <c r="B1250" s="3" t="s">
        <v>738</v>
      </c>
      <c r="C1250" s="3">
        <v>68.430000000000007</v>
      </c>
      <c r="D1250" s="3">
        <v>2</v>
      </c>
    </row>
    <row r="1251" spans="1:4" ht="12.75" x14ac:dyDescent="0.35">
      <c r="A1251" s="4">
        <v>44641</v>
      </c>
      <c r="B1251" s="3" t="s">
        <v>594</v>
      </c>
      <c r="C1251" s="3">
        <v>68.39</v>
      </c>
      <c r="D1251" s="3">
        <v>4</v>
      </c>
    </row>
    <row r="1252" spans="1:4" ht="12.75" x14ac:dyDescent="0.35">
      <c r="A1252" s="5">
        <v>44763</v>
      </c>
      <c r="B1252" s="3" t="s">
        <v>147</v>
      </c>
      <c r="C1252" s="3">
        <v>68.36</v>
      </c>
      <c r="D1252" s="3">
        <v>1</v>
      </c>
    </row>
    <row r="1253" spans="1:4" ht="12.75" x14ac:dyDescent="0.35">
      <c r="A1253" s="4">
        <v>44672</v>
      </c>
      <c r="B1253" s="3" t="s">
        <v>506</v>
      </c>
      <c r="C1253" s="3">
        <v>68.34</v>
      </c>
      <c r="D1253" s="3">
        <v>9</v>
      </c>
    </row>
    <row r="1254" spans="1:4" ht="12.75" x14ac:dyDescent="0.35">
      <c r="A1254" s="4">
        <v>44855</v>
      </c>
      <c r="B1254" s="3" t="s">
        <v>955</v>
      </c>
      <c r="C1254" s="3">
        <v>68.31</v>
      </c>
      <c r="D1254" s="3">
        <v>1</v>
      </c>
    </row>
    <row r="1255" spans="1:4" ht="12.75" x14ac:dyDescent="0.35">
      <c r="A1255" s="4">
        <v>44702</v>
      </c>
      <c r="B1255" s="3" t="s">
        <v>836</v>
      </c>
      <c r="C1255" s="3">
        <v>68.3</v>
      </c>
      <c r="D1255" s="3">
        <v>1</v>
      </c>
    </row>
    <row r="1256" spans="1:4" ht="12.75" x14ac:dyDescent="0.35">
      <c r="A1256" s="4">
        <v>44825</v>
      </c>
      <c r="B1256" s="3" t="s">
        <v>14</v>
      </c>
      <c r="C1256" s="3">
        <v>68.27</v>
      </c>
      <c r="D1256" s="3">
        <v>2</v>
      </c>
    </row>
    <row r="1257" spans="1:4" ht="12.75" x14ac:dyDescent="0.35">
      <c r="A1257" s="4">
        <v>44886</v>
      </c>
      <c r="B1257" s="3" t="s">
        <v>382</v>
      </c>
      <c r="C1257" s="3">
        <v>68.17</v>
      </c>
      <c r="D1257" s="3">
        <v>2</v>
      </c>
    </row>
    <row r="1258" spans="1:4" ht="12.75" x14ac:dyDescent="0.35">
      <c r="A1258" s="4">
        <v>44794</v>
      </c>
      <c r="B1258" s="3" t="s">
        <v>715</v>
      </c>
      <c r="C1258" s="3">
        <v>68.12</v>
      </c>
      <c r="D1258" s="3">
        <v>1</v>
      </c>
    </row>
    <row r="1259" spans="1:4" ht="12.75" x14ac:dyDescent="0.35">
      <c r="A1259" s="4">
        <v>44825</v>
      </c>
      <c r="B1259" s="3" t="s">
        <v>1538</v>
      </c>
      <c r="C1259" s="3">
        <v>68.12</v>
      </c>
      <c r="D1259" s="3">
        <v>1</v>
      </c>
    </row>
    <row r="1260" spans="1:4" ht="12.75" x14ac:dyDescent="0.35">
      <c r="A1260" s="4">
        <v>44855</v>
      </c>
      <c r="B1260" s="3" t="s">
        <v>126</v>
      </c>
      <c r="C1260" s="3">
        <v>68.12</v>
      </c>
      <c r="D1260" s="3">
        <v>1</v>
      </c>
    </row>
    <row r="1261" spans="1:4" ht="12.75" x14ac:dyDescent="0.35">
      <c r="A1261" s="5">
        <v>44763</v>
      </c>
      <c r="B1261" s="3" t="s">
        <v>95</v>
      </c>
      <c r="C1261" s="3">
        <v>68.09</v>
      </c>
      <c r="D1261" s="3">
        <v>1</v>
      </c>
    </row>
    <row r="1262" spans="1:4" ht="12.75" x14ac:dyDescent="0.35">
      <c r="A1262" s="5">
        <v>44763</v>
      </c>
      <c r="B1262" s="3" t="s">
        <v>358</v>
      </c>
      <c r="C1262" s="3">
        <v>68.040000000000006</v>
      </c>
      <c r="D1262" s="3">
        <v>2</v>
      </c>
    </row>
    <row r="1263" spans="1:4" ht="12.75" x14ac:dyDescent="0.35">
      <c r="A1263" s="4">
        <v>44794</v>
      </c>
      <c r="B1263" s="3" t="s">
        <v>126</v>
      </c>
      <c r="C1263" s="3">
        <v>68.040000000000006</v>
      </c>
      <c r="D1263" s="3">
        <v>1</v>
      </c>
    </row>
    <row r="1264" spans="1:4" ht="12.75" x14ac:dyDescent="0.35">
      <c r="A1264" s="4">
        <v>44613</v>
      </c>
      <c r="B1264" s="3" t="s">
        <v>572</v>
      </c>
      <c r="C1264" s="3">
        <v>68.02</v>
      </c>
      <c r="D1264" s="3">
        <v>2</v>
      </c>
    </row>
    <row r="1265" spans="1:4" ht="12.75" x14ac:dyDescent="0.35">
      <c r="A1265" s="4">
        <v>44702</v>
      </c>
      <c r="B1265" s="3" t="s">
        <v>34</v>
      </c>
      <c r="C1265" s="3">
        <v>68.02</v>
      </c>
      <c r="D1265" s="3">
        <v>1</v>
      </c>
    </row>
    <row r="1266" spans="1:4" ht="12.75" x14ac:dyDescent="0.35">
      <c r="A1266" s="4">
        <v>44702</v>
      </c>
      <c r="B1266" s="3" t="s">
        <v>134</v>
      </c>
      <c r="C1266" s="3">
        <v>67.95</v>
      </c>
      <c r="D1266" s="3">
        <v>2</v>
      </c>
    </row>
    <row r="1267" spans="1:4" ht="12.75" x14ac:dyDescent="0.35">
      <c r="A1267" s="4">
        <v>44886</v>
      </c>
      <c r="B1267" s="3" t="s">
        <v>68</v>
      </c>
      <c r="C1267" s="3">
        <v>67.819999999999993</v>
      </c>
      <c r="D1267" s="3">
        <v>1</v>
      </c>
    </row>
    <row r="1268" spans="1:4" ht="12.75" x14ac:dyDescent="0.35">
      <c r="A1268" s="5">
        <v>44763</v>
      </c>
      <c r="B1268" s="3" t="s">
        <v>759</v>
      </c>
      <c r="C1268" s="3">
        <v>67.77</v>
      </c>
      <c r="D1268" s="3">
        <v>1</v>
      </c>
    </row>
    <row r="1269" spans="1:4" ht="12.75" x14ac:dyDescent="0.35">
      <c r="A1269" s="4">
        <v>44825</v>
      </c>
      <c r="B1269" s="3" t="s">
        <v>68</v>
      </c>
      <c r="C1269" s="3">
        <v>67.650000000000006</v>
      </c>
      <c r="D1269" s="3">
        <v>1</v>
      </c>
    </row>
    <row r="1270" spans="1:4" ht="12.75" x14ac:dyDescent="0.35">
      <c r="A1270" s="4">
        <v>44886</v>
      </c>
      <c r="B1270" s="3" t="s">
        <v>780</v>
      </c>
      <c r="C1270" s="3">
        <v>67.650000000000006</v>
      </c>
      <c r="D1270" s="3">
        <v>2</v>
      </c>
    </row>
    <row r="1271" spans="1:4" ht="12.75" x14ac:dyDescent="0.35">
      <c r="A1271" s="4">
        <v>44702</v>
      </c>
      <c r="B1271" s="3" t="s">
        <v>546</v>
      </c>
      <c r="C1271" s="3">
        <v>67.63</v>
      </c>
      <c r="D1271" s="3">
        <v>1</v>
      </c>
    </row>
    <row r="1272" spans="1:4" ht="12.75" x14ac:dyDescent="0.35">
      <c r="A1272" s="4">
        <v>44794</v>
      </c>
      <c r="B1272" s="3" t="s">
        <v>290</v>
      </c>
      <c r="C1272" s="3">
        <v>67.58</v>
      </c>
      <c r="D1272" s="3">
        <v>3</v>
      </c>
    </row>
    <row r="1273" spans="1:4" ht="12.75" x14ac:dyDescent="0.35">
      <c r="A1273" s="4">
        <v>44825</v>
      </c>
      <c r="B1273" s="3" t="s">
        <v>274</v>
      </c>
      <c r="C1273" s="3">
        <v>67.45</v>
      </c>
      <c r="D1273" s="3">
        <v>1</v>
      </c>
    </row>
    <row r="1274" spans="1:4" ht="12.75" x14ac:dyDescent="0.35">
      <c r="A1274" s="5">
        <v>44733</v>
      </c>
      <c r="B1274" s="3" t="s">
        <v>541</v>
      </c>
      <c r="C1274" s="3">
        <v>67.430000000000007</v>
      </c>
      <c r="D1274" s="3">
        <v>2</v>
      </c>
    </row>
    <row r="1275" spans="1:4" ht="12.75" x14ac:dyDescent="0.35">
      <c r="A1275" s="4">
        <v>44702</v>
      </c>
      <c r="B1275" s="3" t="s">
        <v>18</v>
      </c>
      <c r="C1275" s="3">
        <v>67.42</v>
      </c>
      <c r="D1275" s="3">
        <v>2</v>
      </c>
    </row>
    <row r="1276" spans="1:4" ht="12.75" x14ac:dyDescent="0.35">
      <c r="A1276" s="4">
        <v>44702</v>
      </c>
      <c r="B1276" s="3" t="s">
        <v>1154</v>
      </c>
      <c r="C1276" s="3">
        <v>67.36</v>
      </c>
      <c r="D1276" s="3">
        <v>1</v>
      </c>
    </row>
    <row r="1277" spans="1:4" ht="12.75" x14ac:dyDescent="0.35">
      <c r="A1277" s="4">
        <v>44825</v>
      </c>
      <c r="B1277" s="3" t="s">
        <v>518</v>
      </c>
      <c r="C1277" s="3">
        <v>67.349999999999994</v>
      </c>
      <c r="D1277" s="3">
        <v>3</v>
      </c>
    </row>
    <row r="1278" spans="1:4" ht="12.75" x14ac:dyDescent="0.35">
      <c r="A1278" s="4">
        <v>44855</v>
      </c>
      <c r="B1278" s="3" t="s">
        <v>357</v>
      </c>
      <c r="C1278" s="3">
        <v>67.209999999999994</v>
      </c>
      <c r="D1278" s="3">
        <v>2</v>
      </c>
    </row>
    <row r="1279" spans="1:4" ht="12.75" x14ac:dyDescent="0.35">
      <c r="A1279" s="4">
        <v>44825</v>
      </c>
      <c r="B1279" s="3" t="s">
        <v>955</v>
      </c>
      <c r="C1279" s="3">
        <v>67.13</v>
      </c>
      <c r="D1279" s="3">
        <v>1</v>
      </c>
    </row>
    <row r="1280" spans="1:4" ht="12.75" x14ac:dyDescent="0.35">
      <c r="A1280" s="4">
        <v>44613</v>
      </c>
      <c r="B1280" s="3" t="s">
        <v>577</v>
      </c>
      <c r="C1280" s="3">
        <v>67.11</v>
      </c>
      <c r="D1280" s="3">
        <v>1</v>
      </c>
    </row>
    <row r="1281" spans="1:4" ht="12.75" x14ac:dyDescent="0.35">
      <c r="A1281" s="5">
        <v>44763</v>
      </c>
      <c r="B1281" s="3" t="s">
        <v>897</v>
      </c>
      <c r="C1281" s="3">
        <v>67.08</v>
      </c>
      <c r="D1281" s="3">
        <v>1</v>
      </c>
    </row>
    <row r="1282" spans="1:4" ht="12.75" x14ac:dyDescent="0.35">
      <c r="A1282" s="4">
        <v>44825</v>
      </c>
      <c r="B1282" s="3" t="s">
        <v>239</v>
      </c>
      <c r="C1282" s="3">
        <v>67.08</v>
      </c>
      <c r="D1282" s="3">
        <v>1</v>
      </c>
    </row>
    <row r="1283" spans="1:4" ht="12.75" x14ac:dyDescent="0.35">
      <c r="A1283" s="4">
        <v>44582</v>
      </c>
      <c r="B1283" s="3" t="s">
        <v>119</v>
      </c>
      <c r="C1283" s="3">
        <v>67.069999999999993</v>
      </c>
      <c r="D1283" s="3">
        <v>1</v>
      </c>
    </row>
    <row r="1284" spans="1:4" ht="12.75" x14ac:dyDescent="0.35">
      <c r="A1284" s="4">
        <v>44702</v>
      </c>
      <c r="B1284" s="3" t="s">
        <v>275</v>
      </c>
      <c r="C1284" s="3">
        <v>67.06</v>
      </c>
      <c r="D1284" s="3">
        <v>1</v>
      </c>
    </row>
    <row r="1285" spans="1:4" ht="12.75" x14ac:dyDescent="0.35">
      <c r="A1285" s="4">
        <v>44886</v>
      </c>
      <c r="B1285" s="3" t="s">
        <v>5</v>
      </c>
      <c r="C1285" s="3">
        <v>67.040000000000006</v>
      </c>
      <c r="D1285" s="3">
        <v>1</v>
      </c>
    </row>
    <row r="1286" spans="1:4" ht="12.75" x14ac:dyDescent="0.35">
      <c r="A1286" s="4">
        <v>44825</v>
      </c>
      <c r="B1286" s="3" t="s">
        <v>62</v>
      </c>
      <c r="C1286" s="3">
        <v>67.03</v>
      </c>
      <c r="D1286" s="3">
        <v>1</v>
      </c>
    </row>
    <row r="1287" spans="1:4" ht="12.75" x14ac:dyDescent="0.35">
      <c r="A1287" s="4">
        <v>44794</v>
      </c>
      <c r="B1287" s="3" t="s">
        <v>759</v>
      </c>
      <c r="C1287" s="3">
        <v>67.010000000000005</v>
      </c>
      <c r="D1287" s="3">
        <v>1</v>
      </c>
    </row>
    <row r="1288" spans="1:4" ht="12.75" x14ac:dyDescent="0.35">
      <c r="A1288" s="4">
        <v>44825</v>
      </c>
      <c r="B1288" s="3" t="s">
        <v>20</v>
      </c>
      <c r="C1288" s="3">
        <v>67.010000000000005</v>
      </c>
      <c r="D1288" s="3">
        <v>1</v>
      </c>
    </row>
    <row r="1289" spans="1:4" ht="12.75" x14ac:dyDescent="0.35">
      <c r="A1289" s="4">
        <v>44916</v>
      </c>
      <c r="B1289" s="3" t="s">
        <v>715</v>
      </c>
      <c r="C1289" s="3">
        <v>67.010000000000005</v>
      </c>
      <c r="D1289" s="3">
        <v>1</v>
      </c>
    </row>
    <row r="1290" spans="1:4" ht="12.75" x14ac:dyDescent="0.35">
      <c r="A1290" s="4">
        <v>44702</v>
      </c>
      <c r="B1290" s="3" t="s">
        <v>656</v>
      </c>
      <c r="C1290" s="3">
        <v>67</v>
      </c>
      <c r="D1290" s="3">
        <v>2</v>
      </c>
    </row>
    <row r="1291" spans="1:4" ht="12.75" x14ac:dyDescent="0.35">
      <c r="A1291" s="4">
        <v>44825</v>
      </c>
      <c r="B1291" s="3" t="s">
        <v>48</v>
      </c>
      <c r="C1291" s="3">
        <v>66.97</v>
      </c>
      <c r="D1291" s="3">
        <v>4</v>
      </c>
    </row>
    <row r="1292" spans="1:4" ht="12.75" x14ac:dyDescent="0.35">
      <c r="A1292" s="4">
        <v>44825</v>
      </c>
      <c r="B1292" s="3" t="s">
        <v>121</v>
      </c>
      <c r="C1292" s="3">
        <v>66.94</v>
      </c>
      <c r="D1292" s="3">
        <v>1</v>
      </c>
    </row>
    <row r="1293" spans="1:4" ht="12.75" x14ac:dyDescent="0.35">
      <c r="A1293" s="4">
        <v>44825</v>
      </c>
      <c r="B1293" s="3" t="s">
        <v>1002</v>
      </c>
      <c r="C1293" s="3">
        <v>66.89</v>
      </c>
      <c r="D1293" s="3">
        <v>2</v>
      </c>
    </row>
    <row r="1294" spans="1:4" ht="12.75" x14ac:dyDescent="0.35">
      <c r="A1294" s="4">
        <v>44825</v>
      </c>
      <c r="B1294" s="3" t="s">
        <v>290</v>
      </c>
      <c r="C1294" s="3">
        <v>66.86</v>
      </c>
      <c r="D1294" s="3">
        <v>3</v>
      </c>
    </row>
    <row r="1295" spans="1:4" ht="12.75" x14ac:dyDescent="0.35">
      <c r="A1295" s="4">
        <v>44825</v>
      </c>
      <c r="B1295" s="3" t="s">
        <v>911</v>
      </c>
      <c r="C1295" s="3">
        <v>66.790000000000006</v>
      </c>
      <c r="D1295" s="3">
        <v>2</v>
      </c>
    </row>
    <row r="1296" spans="1:4" ht="12.75" x14ac:dyDescent="0.35">
      <c r="A1296" s="4">
        <v>44886</v>
      </c>
      <c r="B1296" s="3" t="s">
        <v>20</v>
      </c>
      <c r="C1296" s="3">
        <v>66.790000000000006</v>
      </c>
      <c r="D1296" s="3">
        <v>1</v>
      </c>
    </row>
    <row r="1297" spans="1:4" ht="12.75" x14ac:dyDescent="0.35">
      <c r="A1297" s="4">
        <v>44794</v>
      </c>
      <c r="B1297" s="3" t="s">
        <v>687</v>
      </c>
      <c r="C1297" s="3">
        <v>66.760000000000005</v>
      </c>
      <c r="D1297" s="3">
        <v>3</v>
      </c>
    </row>
    <row r="1298" spans="1:4" ht="12.75" x14ac:dyDescent="0.35">
      <c r="A1298" s="5">
        <v>44763</v>
      </c>
      <c r="B1298" s="3" t="s">
        <v>237</v>
      </c>
      <c r="C1298" s="3">
        <v>66.72</v>
      </c>
      <c r="D1298" s="3">
        <v>3</v>
      </c>
    </row>
    <row r="1299" spans="1:4" ht="12.75" x14ac:dyDescent="0.35">
      <c r="A1299" s="4">
        <v>44886</v>
      </c>
      <c r="B1299" s="3" t="s">
        <v>160</v>
      </c>
      <c r="C1299" s="3">
        <v>66.72</v>
      </c>
      <c r="D1299" s="3">
        <v>1</v>
      </c>
    </row>
    <row r="1300" spans="1:4" ht="12.75" x14ac:dyDescent="0.35">
      <c r="A1300" s="4">
        <v>44582</v>
      </c>
      <c r="B1300" s="3" t="s">
        <v>4</v>
      </c>
      <c r="C1300" s="3">
        <v>66.69</v>
      </c>
      <c r="D1300" s="3">
        <v>1</v>
      </c>
    </row>
    <row r="1301" spans="1:4" ht="12.75" x14ac:dyDescent="0.35">
      <c r="A1301" s="4">
        <v>44825</v>
      </c>
      <c r="B1301" s="3" t="s">
        <v>1557</v>
      </c>
      <c r="C1301" s="3">
        <v>66.680000000000007</v>
      </c>
      <c r="D1301" s="3">
        <v>2</v>
      </c>
    </row>
    <row r="1302" spans="1:4" ht="12.75" x14ac:dyDescent="0.35">
      <c r="A1302" s="4">
        <v>44825</v>
      </c>
      <c r="B1302" s="3" t="s">
        <v>160</v>
      </c>
      <c r="C1302" s="3">
        <v>66.64</v>
      </c>
      <c r="D1302" s="3">
        <v>1</v>
      </c>
    </row>
    <row r="1303" spans="1:4" ht="12.75" x14ac:dyDescent="0.35">
      <c r="A1303" s="4">
        <v>44886</v>
      </c>
      <c r="B1303" s="3" t="s">
        <v>274</v>
      </c>
      <c r="C1303" s="3">
        <v>66.64</v>
      </c>
      <c r="D1303" s="3">
        <v>1</v>
      </c>
    </row>
    <row r="1304" spans="1:4" ht="12.75" x14ac:dyDescent="0.35">
      <c r="A1304" s="4">
        <v>44702</v>
      </c>
      <c r="B1304" s="3" t="s">
        <v>401</v>
      </c>
      <c r="C1304" s="3">
        <v>66.61</v>
      </c>
      <c r="D1304" s="3">
        <v>5</v>
      </c>
    </row>
    <row r="1305" spans="1:4" ht="12.75" x14ac:dyDescent="0.35">
      <c r="A1305" s="4">
        <v>44794</v>
      </c>
      <c r="B1305" s="3" t="s">
        <v>897</v>
      </c>
      <c r="C1305" s="3">
        <v>66.59</v>
      </c>
      <c r="D1305" s="3">
        <v>1</v>
      </c>
    </row>
    <row r="1306" spans="1:4" ht="12.75" x14ac:dyDescent="0.35">
      <c r="A1306" s="5">
        <v>44763</v>
      </c>
      <c r="B1306" s="3" t="s">
        <v>566</v>
      </c>
      <c r="C1306" s="3">
        <v>66.569999999999993</v>
      </c>
      <c r="D1306" s="3">
        <v>1</v>
      </c>
    </row>
    <row r="1307" spans="1:4" ht="12.75" x14ac:dyDescent="0.35">
      <c r="A1307" s="4">
        <v>44825</v>
      </c>
      <c r="B1307" s="3" t="s">
        <v>126</v>
      </c>
      <c r="C1307" s="3">
        <v>66.569999999999993</v>
      </c>
      <c r="D1307" s="3">
        <v>1</v>
      </c>
    </row>
    <row r="1308" spans="1:4" ht="12.75" x14ac:dyDescent="0.35">
      <c r="A1308" s="4">
        <v>44825</v>
      </c>
      <c r="B1308" s="3" t="s">
        <v>628</v>
      </c>
      <c r="C1308" s="3">
        <v>66.540000000000006</v>
      </c>
      <c r="D1308" s="3">
        <v>4</v>
      </c>
    </row>
    <row r="1309" spans="1:4" ht="12.75" x14ac:dyDescent="0.35">
      <c r="A1309" s="4">
        <v>44886</v>
      </c>
      <c r="B1309" s="3" t="s">
        <v>277</v>
      </c>
      <c r="C1309" s="3">
        <v>66.52</v>
      </c>
      <c r="D1309" s="3">
        <v>1</v>
      </c>
    </row>
    <row r="1310" spans="1:4" ht="12.75" x14ac:dyDescent="0.35">
      <c r="A1310" s="4">
        <v>44825</v>
      </c>
      <c r="B1310" s="3" t="s">
        <v>438</v>
      </c>
      <c r="C1310" s="3">
        <v>66.489999999999995</v>
      </c>
      <c r="D1310" s="3">
        <v>1</v>
      </c>
    </row>
    <row r="1311" spans="1:4" ht="12.75" x14ac:dyDescent="0.35">
      <c r="A1311" s="4">
        <v>44794</v>
      </c>
      <c r="B1311" s="3" t="s">
        <v>939</v>
      </c>
      <c r="C1311" s="3">
        <v>66.47</v>
      </c>
      <c r="D1311" s="3">
        <v>2</v>
      </c>
    </row>
    <row r="1312" spans="1:4" ht="12.75" x14ac:dyDescent="0.35">
      <c r="A1312" s="5">
        <v>44733</v>
      </c>
      <c r="B1312" s="3" t="s">
        <v>430</v>
      </c>
      <c r="C1312" s="3">
        <v>66.44</v>
      </c>
      <c r="D1312" s="3">
        <v>1</v>
      </c>
    </row>
    <row r="1313" spans="1:4" ht="12.75" x14ac:dyDescent="0.35">
      <c r="A1313" s="5">
        <v>44733</v>
      </c>
      <c r="B1313" s="3" t="s">
        <v>1350</v>
      </c>
      <c r="C1313" s="3">
        <v>66.400000000000006</v>
      </c>
      <c r="D1313" s="3">
        <v>1</v>
      </c>
    </row>
    <row r="1314" spans="1:4" ht="12.75" x14ac:dyDescent="0.35">
      <c r="A1314" s="4">
        <v>44855</v>
      </c>
      <c r="B1314" s="3" t="s">
        <v>1131</v>
      </c>
      <c r="C1314" s="3">
        <v>66.349999999999994</v>
      </c>
      <c r="D1314" s="3">
        <v>2</v>
      </c>
    </row>
    <row r="1315" spans="1:4" ht="12.75" x14ac:dyDescent="0.35">
      <c r="A1315" s="4">
        <v>44582</v>
      </c>
      <c r="B1315" s="3" t="s">
        <v>183</v>
      </c>
      <c r="C1315" s="3">
        <v>66.290000000000006</v>
      </c>
      <c r="D1315" s="3">
        <v>1</v>
      </c>
    </row>
    <row r="1316" spans="1:4" ht="12.75" x14ac:dyDescent="0.35">
      <c r="A1316" s="4">
        <v>44794</v>
      </c>
      <c r="B1316" s="3" t="s">
        <v>24</v>
      </c>
      <c r="C1316" s="3">
        <v>66.27</v>
      </c>
      <c r="D1316" s="3">
        <v>2</v>
      </c>
    </row>
    <row r="1317" spans="1:4" ht="12.75" x14ac:dyDescent="0.35">
      <c r="A1317" s="4">
        <v>44886</v>
      </c>
      <c r="B1317" s="3" t="s">
        <v>126</v>
      </c>
      <c r="C1317" s="3">
        <v>66.17</v>
      </c>
      <c r="D1317" s="3">
        <v>1</v>
      </c>
    </row>
    <row r="1318" spans="1:4" ht="12.75" x14ac:dyDescent="0.35">
      <c r="A1318" s="4">
        <v>44886</v>
      </c>
      <c r="B1318" s="3" t="s">
        <v>76</v>
      </c>
      <c r="C1318" s="3">
        <v>66.12</v>
      </c>
      <c r="D1318" s="3">
        <v>1</v>
      </c>
    </row>
    <row r="1319" spans="1:4" ht="12.75" x14ac:dyDescent="0.35">
      <c r="A1319" s="4">
        <v>44825</v>
      </c>
      <c r="B1319" s="3" t="s">
        <v>5</v>
      </c>
      <c r="C1319" s="3">
        <v>66.099999999999994</v>
      </c>
      <c r="D1319" s="3">
        <v>1</v>
      </c>
    </row>
    <row r="1320" spans="1:4" ht="12.75" x14ac:dyDescent="0.35">
      <c r="A1320" s="4">
        <v>44916</v>
      </c>
      <c r="B1320" s="3" t="s">
        <v>465</v>
      </c>
      <c r="C1320" s="3">
        <v>65.98</v>
      </c>
      <c r="D1320" s="3">
        <v>1</v>
      </c>
    </row>
    <row r="1321" spans="1:4" ht="12.75" x14ac:dyDescent="0.35">
      <c r="A1321" s="4">
        <v>44825</v>
      </c>
      <c r="B1321" s="3" t="s">
        <v>567</v>
      </c>
      <c r="C1321" s="3">
        <v>65.95</v>
      </c>
      <c r="D1321" s="3">
        <v>1</v>
      </c>
    </row>
    <row r="1322" spans="1:4" ht="12.75" x14ac:dyDescent="0.35">
      <c r="A1322" s="4">
        <v>44886</v>
      </c>
      <c r="B1322" s="3" t="s">
        <v>518</v>
      </c>
      <c r="C1322" s="3">
        <v>65.95</v>
      </c>
      <c r="D1322" s="3">
        <v>3</v>
      </c>
    </row>
    <row r="1323" spans="1:4" ht="12.75" x14ac:dyDescent="0.35">
      <c r="A1323" s="5">
        <v>44763</v>
      </c>
      <c r="B1323" s="3" t="s">
        <v>414</v>
      </c>
      <c r="C1323" s="3">
        <v>65.88</v>
      </c>
      <c r="D1323" s="3">
        <v>2</v>
      </c>
    </row>
    <row r="1324" spans="1:4" ht="12.75" x14ac:dyDescent="0.35">
      <c r="A1324" s="4">
        <v>44641</v>
      </c>
      <c r="B1324" s="3" t="s">
        <v>606</v>
      </c>
      <c r="C1324" s="3">
        <v>65.81</v>
      </c>
      <c r="D1324" s="3">
        <v>3</v>
      </c>
    </row>
    <row r="1325" spans="1:4" ht="12.75" x14ac:dyDescent="0.35">
      <c r="A1325" s="4">
        <v>44916</v>
      </c>
      <c r="B1325" s="3" t="s">
        <v>76</v>
      </c>
      <c r="C1325" s="3">
        <v>65.81</v>
      </c>
      <c r="D1325" s="3">
        <v>1</v>
      </c>
    </row>
    <row r="1326" spans="1:4" ht="12.75" x14ac:dyDescent="0.35">
      <c r="A1326" s="4">
        <v>44582</v>
      </c>
      <c r="B1326" s="3" t="s">
        <v>52</v>
      </c>
      <c r="C1326" s="3">
        <v>65.77</v>
      </c>
      <c r="D1326" s="3">
        <v>2</v>
      </c>
    </row>
    <row r="1327" spans="1:4" ht="12.75" x14ac:dyDescent="0.35">
      <c r="A1327" s="4">
        <v>44672</v>
      </c>
      <c r="B1327" s="3" t="s">
        <v>586</v>
      </c>
      <c r="C1327" s="3">
        <v>65.739999999999995</v>
      </c>
      <c r="D1327" s="3">
        <v>1</v>
      </c>
    </row>
    <row r="1328" spans="1:4" ht="12.75" x14ac:dyDescent="0.35">
      <c r="A1328" s="4">
        <v>44794</v>
      </c>
      <c r="B1328" s="3" t="s">
        <v>180</v>
      </c>
      <c r="C1328" s="3">
        <v>65.73</v>
      </c>
      <c r="D1328" s="3">
        <v>1</v>
      </c>
    </row>
    <row r="1329" spans="1:4" ht="12.75" x14ac:dyDescent="0.35">
      <c r="A1329" s="4">
        <v>44855</v>
      </c>
      <c r="B1329" s="3" t="s">
        <v>523</v>
      </c>
      <c r="C1329" s="3">
        <v>65.680000000000007</v>
      </c>
      <c r="D1329" s="3">
        <v>1</v>
      </c>
    </row>
    <row r="1330" spans="1:4" ht="12.75" x14ac:dyDescent="0.35">
      <c r="A1330" s="4">
        <v>44613</v>
      </c>
      <c r="B1330" s="3" t="s">
        <v>410</v>
      </c>
      <c r="C1330" s="3">
        <v>65.64</v>
      </c>
      <c r="D1330" s="3">
        <v>2</v>
      </c>
    </row>
    <row r="1331" spans="1:4" ht="12.75" x14ac:dyDescent="0.35">
      <c r="A1331" s="4">
        <v>44702</v>
      </c>
      <c r="B1331" s="3" t="s">
        <v>348</v>
      </c>
      <c r="C1331" s="3">
        <v>65.61</v>
      </c>
      <c r="D1331" s="3">
        <v>1</v>
      </c>
    </row>
    <row r="1332" spans="1:4" ht="12.75" x14ac:dyDescent="0.35">
      <c r="A1332" s="4">
        <v>44825</v>
      </c>
      <c r="B1332" s="3" t="s">
        <v>357</v>
      </c>
      <c r="C1332" s="3">
        <v>65.61</v>
      </c>
      <c r="D1332" s="3">
        <v>2</v>
      </c>
    </row>
    <row r="1333" spans="1:4" ht="12.75" x14ac:dyDescent="0.35">
      <c r="A1333" s="4">
        <v>44886</v>
      </c>
      <c r="B1333" s="3" t="s">
        <v>357</v>
      </c>
      <c r="C1333" s="3">
        <v>65.61</v>
      </c>
      <c r="D1333" s="3">
        <v>2</v>
      </c>
    </row>
    <row r="1334" spans="1:4" ht="12.75" x14ac:dyDescent="0.35">
      <c r="A1334" s="4">
        <v>44702</v>
      </c>
      <c r="B1334" s="3" t="s">
        <v>534</v>
      </c>
      <c r="C1334" s="3">
        <v>65.569999999999993</v>
      </c>
      <c r="D1334" s="3">
        <v>7</v>
      </c>
    </row>
    <row r="1335" spans="1:4" ht="12.75" x14ac:dyDescent="0.35">
      <c r="A1335" s="4">
        <v>44825</v>
      </c>
      <c r="B1335" s="3" t="s">
        <v>130</v>
      </c>
      <c r="C1335" s="3">
        <v>65.510000000000005</v>
      </c>
      <c r="D1335" s="3">
        <v>1</v>
      </c>
    </row>
    <row r="1336" spans="1:4" ht="12.75" x14ac:dyDescent="0.35">
      <c r="A1336" s="4">
        <v>44916</v>
      </c>
      <c r="B1336" s="3" t="s">
        <v>759</v>
      </c>
      <c r="C1336" s="3">
        <v>65.459999999999994</v>
      </c>
      <c r="D1336" s="3">
        <v>1</v>
      </c>
    </row>
    <row r="1337" spans="1:4" ht="12.75" x14ac:dyDescent="0.35">
      <c r="A1337" s="4">
        <v>44855</v>
      </c>
      <c r="B1337" s="3" t="s">
        <v>566</v>
      </c>
      <c r="C1337" s="3">
        <v>65.44</v>
      </c>
      <c r="D1337" s="3">
        <v>1</v>
      </c>
    </row>
    <row r="1338" spans="1:4" ht="12.75" x14ac:dyDescent="0.35">
      <c r="A1338" s="4">
        <v>44672</v>
      </c>
      <c r="B1338" s="3" t="s">
        <v>565</v>
      </c>
      <c r="C1338" s="3">
        <v>65.42</v>
      </c>
      <c r="D1338" s="3">
        <v>3</v>
      </c>
    </row>
    <row r="1339" spans="1:4" ht="12.75" x14ac:dyDescent="0.35">
      <c r="A1339" s="5">
        <v>44733</v>
      </c>
      <c r="B1339" s="3" t="s">
        <v>738</v>
      </c>
      <c r="C1339" s="3">
        <v>65.37</v>
      </c>
      <c r="D1339" s="3">
        <v>2</v>
      </c>
    </row>
    <row r="1340" spans="1:4" ht="12.75" x14ac:dyDescent="0.35">
      <c r="A1340" s="4">
        <v>44916</v>
      </c>
      <c r="B1340" s="3" t="s">
        <v>549</v>
      </c>
      <c r="C1340" s="3">
        <v>65.34</v>
      </c>
      <c r="D1340" s="3">
        <v>1</v>
      </c>
    </row>
    <row r="1341" spans="1:4" ht="12.75" x14ac:dyDescent="0.35">
      <c r="A1341" s="4">
        <v>44886</v>
      </c>
      <c r="B1341" s="3" t="s">
        <v>47</v>
      </c>
      <c r="C1341" s="3">
        <v>65.19</v>
      </c>
      <c r="D1341" s="3">
        <v>1</v>
      </c>
    </row>
    <row r="1342" spans="1:4" ht="12.75" x14ac:dyDescent="0.35">
      <c r="A1342" s="4">
        <v>44825</v>
      </c>
      <c r="B1342" s="3" t="s">
        <v>465</v>
      </c>
      <c r="C1342" s="3">
        <v>65.17</v>
      </c>
      <c r="D1342" s="3">
        <v>1</v>
      </c>
    </row>
    <row r="1343" spans="1:4" ht="12.75" x14ac:dyDescent="0.35">
      <c r="A1343" s="4">
        <v>44855</v>
      </c>
      <c r="B1343" s="3" t="s">
        <v>6</v>
      </c>
      <c r="C1343" s="3">
        <v>65.17</v>
      </c>
      <c r="D1343" s="3">
        <v>1</v>
      </c>
    </row>
    <row r="1344" spans="1:4" ht="12.75" x14ac:dyDescent="0.35">
      <c r="A1344" s="4">
        <v>44886</v>
      </c>
      <c r="B1344" s="3" t="s">
        <v>142</v>
      </c>
      <c r="C1344" s="3">
        <v>65.12</v>
      </c>
      <c r="D1344" s="3">
        <v>1</v>
      </c>
    </row>
    <row r="1345" spans="1:4" ht="12.75" x14ac:dyDescent="0.35">
      <c r="A1345" s="4">
        <v>44641</v>
      </c>
      <c r="B1345" s="3" t="s">
        <v>502</v>
      </c>
      <c r="C1345" s="3">
        <v>65.08</v>
      </c>
      <c r="D1345" s="3">
        <v>1</v>
      </c>
    </row>
    <row r="1346" spans="1:4" ht="12.75" x14ac:dyDescent="0.35">
      <c r="A1346" s="4">
        <v>44916</v>
      </c>
      <c r="B1346" s="3" t="s">
        <v>1868</v>
      </c>
      <c r="C1346" s="3">
        <v>65.010000000000005</v>
      </c>
      <c r="D1346" s="3">
        <v>1</v>
      </c>
    </row>
    <row r="1347" spans="1:4" ht="12.75" x14ac:dyDescent="0.35">
      <c r="A1347" s="4">
        <v>44702</v>
      </c>
      <c r="B1347" s="3" t="s">
        <v>783</v>
      </c>
      <c r="C1347" s="3">
        <v>64.989999999999995</v>
      </c>
      <c r="D1347" s="3">
        <v>1</v>
      </c>
    </row>
    <row r="1348" spans="1:4" ht="12.75" x14ac:dyDescent="0.35">
      <c r="A1348" s="4">
        <v>44794</v>
      </c>
      <c r="B1348" s="3" t="s">
        <v>276</v>
      </c>
      <c r="C1348" s="3">
        <v>64.989999999999995</v>
      </c>
      <c r="D1348" s="3">
        <v>1</v>
      </c>
    </row>
    <row r="1349" spans="1:4" ht="12.75" x14ac:dyDescent="0.35">
      <c r="A1349" s="4">
        <v>44702</v>
      </c>
      <c r="B1349" s="3" t="s">
        <v>395</v>
      </c>
      <c r="C1349" s="3">
        <v>64.97</v>
      </c>
      <c r="D1349" s="3">
        <v>1</v>
      </c>
    </row>
    <row r="1350" spans="1:4" ht="12.75" x14ac:dyDescent="0.35">
      <c r="A1350" s="4">
        <v>44825</v>
      </c>
      <c r="B1350" s="3" t="s">
        <v>523</v>
      </c>
      <c r="C1350" s="3">
        <v>64.97</v>
      </c>
      <c r="D1350" s="3">
        <v>1</v>
      </c>
    </row>
    <row r="1351" spans="1:4" ht="12.75" x14ac:dyDescent="0.35">
      <c r="A1351" s="4">
        <v>44886</v>
      </c>
      <c r="B1351" s="3" t="s">
        <v>237</v>
      </c>
      <c r="C1351" s="3">
        <v>64.94</v>
      </c>
      <c r="D1351" s="3">
        <v>3</v>
      </c>
    </row>
    <row r="1352" spans="1:4" ht="12.75" x14ac:dyDescent="0.35">
      <c r="A1352" s="4">
        <v>44641</v>
      </c>
      <c r="B1352" s="3" t="s">
        <v>348</v>
      </c>
      <c r="C1352" s="3">
        <v>64.92</v>
      </c>
      <c r="D1352" s="3">
        <v>1</v>
      </c>
    </row>
    <row r="1353" spans="1:4" ht="12.75" x14ac:dyDescent="0.35">
      <c r="A1353" s="4">
        <v>44855</v>
      </c>
      <c r="B1353" s="3" t="s">
        <v>1149</v>
      </c>
      <c r="C1353" s="3">
        <v>64.87</v>
      </c>
      <c r="D1353" s="3">
        <v>1</v>
      </c>
    </row>
    <row r="1354" spans="1:4" ht="12.75" x14ac:dyDescent="0.35">
      <c r="A1354" s="4">
        <v>44916</v>
      </c>
      <c r="B1354" s="3" t="s">
        <v>569</v>
      </c>
      <c r="C1354" s="3">
        <v>64.86</v>
      </c>
      <c r="D1354" s="3">
        <v>2</v>
      </c>
    </row>
    <row r="1355" spans="1:4" ht="12.75" x14ac:dyDescent="0.35">
      <c r="A1355" s="5">
        <v>44763</v>
      </c>
      <c r="B1355" s="3" t="s">
        <v>106</v>
      </c>
      <c r="C1355" s="3">
        <v>64.849999999999994</v>
      </c>
      <c r="D1355" s="3">
        <v>1</v>
      </c>
    </row>
    <row r="1356" spans="1:4" ht="12.75" x14ac:dyDescent="0.35">
      <c r="A1356" s="4">
        <v>44613</v>
      </c>
      <c r="B1356" s="3" t="s">
        <v>563</v>
      </c>
      <c r="C1356" s="3">
        <v>64.84</v>
      </c>
      <c r="D1356" s="3">
        <v>1</v>
      </c>
    </row>
    <row r="1357" spans="1:4" ht="12.75" x14ac:dyDescent="0.35">
      <c r="A1357" s="4">
        <v>44582</v>
      </c>
      <c r="B1357" s="3" t="s">
        <v>163</v>
      </c>
      <c r="C1357" s="3">
        <v>64.760000000000005</v>
      </c>
      <c r="D1357" s="3">
        <v>3</v>
      </c>
    </row>
    <row r="1358" spans="1:4" ht="12.75" x14ac:dyDescent="0.35">
      <c r="A1358" s="4">
        <v>44855</v>
      </c>
      <c r="B1358" s="3" t="s">
        <v>612</v>
      </c>
      <c r="C1358" s="3">
        <v>64.75</v>
      </c>
      <c r="D1358" s="3">
        <v>3</v>
      </c>
    </row>
    <row r="1359" spans="1:4" ht="12.75" x14ac:dyDescent="0.35">
      <c r="A1359" s="5">
        <v>44763</v>
      </c>
      <c r="B1359" s="3" t="s">
        <v>190</v>
      </c>
      <c r="C1359" s="3">
        <v>64.72</v>
      </c>
      <c r="D1359" s="3">
        <v>1</v>
      </c>
    </row>
    <row r="1360" spans="1:4" ht="12.75" x14ac:dyDescent="0.35">
      <c r="A1360" s="4">
        <v>44825</v>
      </c>
      <c r="B1360" s="3" t="s">
        <v>201</v>
      </c>
      <c r="C1360" s="3">
        <v>64.72</v>
      </c>
      <c r="D1360" s="3">
        <v>1</v>
      </c>
    </row>
    <row r="1361" spans="1:4" ht="12.75" x14ac:dyDescent="0.35">
      <c r="A1361" s="4">
        <v>44825</v>
      </c>
      <c r="B1361" s="3" t="s">
        <v>368</v>
      </c>
      <c r="C1361" s="3">
        <v>64.62</v>
      </c>
      <c r="D1361" s="3">
        <v>1</v>
      </c>
    </row>
    <row r="1362" spans="1:4" ht="12.75" x14ac:dyDescent="0.35">
      <c r="A1362" s="4">
        <v>44886</v>
      </c>
      <c r="B1362" s="3" t="s">
        <v>18</v>
      </c>
      <c r="C1362" s="3">
        <v>64.61</v>
      </c>
      <c r="D1362" s="3">
        <v>2</v>
      </c>
    </row>
    <row r="1363" spans="1:4" ht="12.75" x14ac:dyDescent="0.35">
      <c r="A1363" s="4">
        <v>44794</v>
      </c>
      <c r="B1363" s="3" t="s">
        <v>357</v>
      </c>
      <c r="C1363" s="3">
        <v>64.58</v>
      </c>
      <c r="D1363" s="3">
        <v>2</v>
      </c>
    </row>
    <row r="1364" spans="1:4" ht="12.75" x14ac:dyDescent="0.35">
      <c r="A1364" s="4">
        <v>44855</v>
      </c>
      <c r="B1364" s="3" t="s">
        <v>715</v>
      </c>
      <c r="C1364" s="3">
        <v>64.58</v>
      </c>
      <c r="D1364" s="3">
        <v>1</v>
      </c>
    </row>
    <row r="1365" spans="1:4" ht="12.75" x14ac:dyDescent="0.35">
      <c r="A1365" s="4">
        <v>44672</v>
      </c>
      <c r="B1365" s="3" t="s">
        <v>11</v>
      </c>
      <c r="C1365" s="3">
        <v>64.44</v>
      </c>
      <c r="D1365" s="3">
        <v>2</v>
      </c>
    </row>
    <row r="1366" spans="1:4" ht="12.75" x14ac:dyDescent="0.35">
      <c r="A1366" s="4">
        <v>44825</v>
      </c>
      <c r="B1366" s="3" t="s">
        <v>1131</v>
      </c>
      <c r="C1366" s="3">
        <v>64.400000000000006</v>
      </c>
      <c r="D1366" s="3">
        <v>2</v>
      </c>
    </row>
    <row r="1367" spans="1:4" ht="12.75" x14ac:dyDescent="0.35">
      <c r="A1367" s="4">
        <v>44825</v>
      </c>
      <c r="B1367" s="3" t="s">
        <v>759</v>
      </c>
      <c r="C1367" s="3">
        <v>64.38</v>
      </c>
      <c r="D1367" s="3">
        <v>1</v>
      </c>
    </row>
    <row r="1368" spans="1:4" ht="12.75" x14ac:dyDescent="0.35">
      <c r="A1368" s="4">
        <v>44702</v>
      </c>
      <c r="B1368" s="3" t="s">
        <v>407</v>
      </c>
      <c r="C1368" s="3">
        <v>64.34</v>
      </c>
      <c r="D1368" s="3">
        <v>4</v>
      </c>
    </row>
    <row r="1369" spans="1:4" ht="12.75" x14ac:dyDescent="0.35">
      <c r="A1369" s="4">
        <v>44886</v>
      </c>
      <c r="B1369" s="3" t="s">
        <v>439</v>
      </c>
      <c r="C1369" s="3">
        <v>64.33</v>
      </c>
      <c r="D1369" s="3">
        <v>3</v>
      </c>
    </row>
    <row r="1370" spans="1:4" ht="12.75" x14ac:dyDescent="0.35">
      <c r="A1370" s="4">
        <v>44825</v>
      </c>
      <c r="B1370" s="3" t="s">
        <v>108</v>
      </c>
      <c r="C1370" s="3">
        <v>64.260000000000005</v>
      </c>
      <c r="D1370" s="3">
        <v>1</v>
      </c>
    </row>
    <row r="1371" spans="1:4" ht="12.75" x14ac:dyDescent="0.35">
      <c r="A1371" s="4">
        <v>44794</v>
      </c>
      <c r="B1371" s="3" t="s">
        <v>566</v>
      </c>
      <c r="C1371" s="3">
        <v>64.180000000000007</v>
      </c>
      <c r="D1371" s="3">
        <v>1</v>
      </c>
    </row>
    <row r="1372" spans="1:4" ht="12.75" x14ac:dyDescent="0.35">
      <c r="A1372" s="4">
        <v>44794</v>
      </c>
      <c r="B1372" s="3" t="s">
        <v>6</v>
      </c>
      <c r="C1372" s="3">
        <v>64.03</v>
      </c>
      <c r="D1372" s="3">
        <v>1</v>
      </c>
    </row>
    <row r="1373" spans="1:4" ht="12.75" x14ac:dyDescent="0.35">
      <c r="A1373" s="4">
        <v>44886</v>
      </c>
      <c r="B1373" s="3" t="s">
        <v>577</v>
      </c>
      <c r="C1373" s="3">
        <v>64.03</v>
      </c>
      <c r="D1373" s="3">
        <v>1</v>
      </c>
    </row>
    <row r="1374" spans="1:4" ht="12.75" x14ac:dyDescent="0.35">
      <c r="A1374" s="4">
        <v>44794</v>
      </c>
      <c r="B1374" s="3" t="s">
        <v>377</v>
      </c>
      <c r="C1374" s="3">
        <v>63.94</v>
      </c>
      <c r="D1374" s="3">
        <v>1</v>
      </c>
    </row>
    <row r="1375" spans="1:4" ht="12.75" x14ac:dyDescent="0.35">
      <c r="A1375" s="5">
        <v>44733</v>
      </c>
      <c r="B1375" s="3" t="s">
        <v>72</v>
      </c>
      <c r="C1375" s="3">
        <v>63.92</v>
      </c>
      <c r="D1375" s="3">
        <v>1</v>
      </c>
    </row>
    <row r="1376" spans="1:4" ht="12.75" x14ac:dyDescent="0.35">
      <c r="A1376" s="4">
        <v>44702</v>
      </c>
      <c r="B1376" s="3" t="s">
        <v>374</v>
      </c>
      <c r="C1376" s="3">
        <v>63.9</v>
      </c>
      <c r="D1376" s="3">
        <v>1</v>
      </c>
    </row>
    <row r="1377" spans="1:4" ht="12.75" x14ac:dyDescent="0.35">
      <c r="A1377" s="4">
        <v>44855</v>
      </c>
      <c r="B1377" s="3" t="s">
        <v>142</v>
      </c>
      <c r="C1377" s="3">
        <v>63.76</v>
      </c>
      <c r="D1377" s="3">
        <v>1</v>
      </c>
    </row>
    <row r="1378" spans="1:4" ht="12.75" x14ac:dyDescent="0.35">
      <c r="A1378" s="4">
        <v>44886</v>
      </c>
      <c r="B1378" s="3" t="s">
        <v>566</v>
      </c>
      <c r="C1378" s="3">
        <v>63.76</v>
      </c>
      <c r="D1378" s="3">
        <v>1</v>
      </c>
    </row>
    <row r="1379" spans="1:4" ht="12.75" x14ac:dyDescent="0.35">
      <c r="A1379" s="5">
        <v>44733</v>
      </c>
      <c r="B1379" s="3" t="s">
        <v>95</v>
      </c>
      <c r="C1379" s="3">
        <v>63.71</v>
      </c>
      <c r="D1379" s="3">
        <v>1</v>
      </c>
    </row>
    <row r="1380" spans="1:4" ht="12.75" x14ac:dyDescent="0.35">
      <c r="A1380" s="4">
        <v>44886</v>
      </c>
      <c r="B1380" s="3" t="s">
        <v>549</v>
      </c>
      <c r="C1380" s="3">
        <v>63.69</v>
      </c>
      <c r="D1380" s="3">
        <v>1</v>
      </c>
    </row>
    <row r="1381" spans="1:4" ht="12.75" x14ac:dyDescent="0.35">
      <c r="A1381" s="4">
        <v>44794</v>
      </c>
      <c r="B1381" s="3" t="s">
        <v>48</v>
      </c>
      <c r="C1381" s="3">
        <v>63.67</v>
      </c>
      <c r="D1381" s="3">
        <v>4</v>
      </c>
    </row>
    <row r="1382" spans="1:4" ht="12.75" x14ac:dyDescent="0.35">
      <c r="A1382" s="4">
        <v>44641</v>
      </c>
      <c r="B1382" s="3" t="s">
        <v>550</v>
      </c>
      <c r="C1382" s="3">
        <v>63.61</v>
      </c>
      <c r="D1382" s="3">
        <v>2</v>
      </c>
    </row>
    <row r="1383" spans="1:4" ht="12.75" x14ac:dyDescent="0.35">
      <c r="A1383" s="4">
        <v>44613</v>
      </c>
      <c r="B1383" s="3" t="s">
        <v>444</v>
      </c>
      <c r="C1383" s="3">
        <v>63.59</v>
      </c>
      <c r="D1383" s="3">
        <v>1</v>
      </c>
    </row>
    <row r="1384" spans="1:4" ht="12.75" x14ac:dyDescent="0.35">
      <c r="A1384" s="4">
        <v>44916</v>
      </c>
      <c r="B1384" s="3" t="s">
        <v>251</v>
      </c>
      <c r="C1384" s="3">
        <v>63.59</v>
      </c>
      <c r="D1384" s="3">
        <v>4</v>
      </c>
    </row>
    <row r="1385" spans="1:4" ht="12.75" x14ac:dyDescent="0.35">
      <c r="A1385" s="4">
        <v>44825</v>
      </c>
      <c r="B1385" s="3" t="s">
        <v>456</v>
      </c>
      <c r="C1385" s="3">
        <v>63.57</v>
      </c>
      <c r="D1385" s="3">
        <v>4</v>
      </c>
    </row>
    <row r="1386" spans="1:4" ht="12.75" x14ac:dyDescent="0.35">
      <c r="A1386" s="4">
        <v>44794</v>
      </c>
      <c r="B1386" s="3" t="s">
        <v>903</v>
      </c>
      <c r="C1386" s="3">
        <v>63.51</v>
      </c>
      <c r="D1386" s="3">
        <v>1</v>
      </c>
    </row>
    <row r="1387" spans="1:4" ht="12.75" x14ac:dyDescent="0.35">
      <c r="A1387" s="4">
        <v>44613</v>
      </c>
      <c r="B1387" s="3" t="s">
        <v>286</v>
      </c>
      <c r="C1387" s="3">
        <v>63.49</v>
      </c>
      <c r="D1387" s="3">
        <v>1</v>
      </c>
    </row>
    <row r="1388" spans="1:4" ht="12.75" x14ac:dyDescent="0.35">
      <c r="A1388" s="4">
        <v>44672</v>
      </c>
      <c r="B1388" s="3" t="s">
        <v>348</v>
      </c>
      <c r="C1388" s="3">
        <v>63.49</v>
      </c>
      <c r="D1388" s="3">
        <v>1</v>
      </c>
    </row>
    <row r="1389" spans="1:4" ht="12.75" x14ac:dyDescent="0.35">
      <c r="A1389" s="4">
        <v>44886</v>
      </c>
      <c r="B1389" s="3" t="s">
        <v>1804</v>
      </c>
      <c r="C1389" s="3">
        <v>63.49</v>
      </c>
      <c r="D1389" s="3">
        <v>1</v>
      </c>
    </row>
    <row r="1390" spans="1:4" ht="12.75" x14ac:dyDescent="0.35">
      <c r="A1390" s="4">
        <v>44702</v>
      </c>
      <c r="B1390" s="3" t="s">
        <v>412</v>
      </c>
      <c r="C1390" s="3">
        <v>63.48</v>
      </c>
      <c r="D1390" s="3">
        <v>4</v>
      </c>
    </row>
    <row r="1391" spans="1:4" ht="12.75" x14ac:dyDescent="0.35">
      <c r="A1391" s="4">
        <v>44855</v>
      </c>
      <c r="B1391" s="3" t="s">
        <v>569</v>
      </c>
      <c r="C1391" s="3">
        <v>63.48</v>
      </c>
      <c r="D1391" s="3">
        <v>2</v>
      </c>
    </row>
    <row r="1392" spans="1:4" ht="12.75" x14ac:dyDescent="0.35">
      <c r="A1392" s="5">
        <v>44763</v>
      </c>
      <c r="B1392" s="3" t="s">
        <v>276</v>
      </c>
      <c r="C1392" s="3">
        <v>63.37</v>
      </c>
      <c r="D1392" s="3">
        <v>1</v>
      </c>
    </row>
    <row r="1393" spans="1:4" ht="12.75" x14ac:dyDescent="0.35">
      <c r="A1393" s="4">
        <v>44582</v>
      </c>
      <c r="B1393" s="3" t="s">
        <v>30</v>
      </c>
      <c r="C1393" s="3">
        <v>63.35</v>
      </c>
      <c r="D1393" s="3">
        <v>6</v>
      </c>
    </row>
    <row r="1394" spans="1:4" ht="12.75" x14ac:dyDescent="0.35">
      <c r="A1394" s="5">
        <v>44733</v>
      </c>
      <c r="B1394" s="3" t="s">
        <v>977</v>
      </c>
      <c r="C1394" s="3">
        <v>63.32</v>
      </c>
      <c r="D1394" s="3">
        <v>1</v>
      </c>
    </row>
    <row r="1395" spans="1:4" ht="12.75" x14ac:dyDescent="0.35">
      <c r="A1395" s="4">
        <v>44886</v>
      </c>
      <c r="B1395" s="3" t="s">
        <v>536</v>
      </c>
      <c r="C1395" s="3">
        <v>63.31</v>
      </c>
      <c r="D1395" s="3">
        <v>9</v>
      </c>
    </row>
    <row r="1396" spans="1:4" ht="12.75" x14ac:dyDescent="0.35">
      <c r="A1396" s="4">
        <v>44794</v>
      </c>
      <c r="B1396" s="3" t="s">
        <v>430</v>
      </c>
      <c r="C1396" s="3">
        <v>63.25</v>
      </c>
      <c r="D1396" s="3">
        <v>1</v>
      </c>
    </row>
    <row r="1397" spans="1:4" ht="12.75" x14ac:dyDescent="0.35">
      <c r="A1397" s="4">
        <v>44672</v>
      </c>
      <c r="B1397" s="3" t="s">
        <v>407</v>
      </c>
      <c r="C1397" s="3">
        <v>63.23</v>
      </c>
      <c r="D1397" s="3">
        <v>4</v>
      </c>
    </row>
    <row r="1398" spans="1:4" ht="12.75" x14ac:dyDescent="0.35">
      <c r="A1398" s="4">
        <v>44613</v>
      </c>
      <c r="B1398" s="3" t="s">
        <v>460</v>
      </c>
      <c r="C1398" s="3">
        <v>63.1</v>
      </c>
      <c r="D1398" s="3">
        <v>4</v>
      </c>
    </row>
    <row r="1399" spans="1:4" ht="12.75" x14ac:dyDescent="0.35">
      <c r="A1399" s="4">
        <v>44825</v>
      </c>
      <c r="B1399" s="3" t="s">
        <v>279</v>
      </c>
      <c r="C1399" s="3">
        <v>63.1</v>
      </c>
      <c r="D1399" s="3">
        <v>1</v>
      </c>
    </row>
    <row r="1400" spans="1:4" ht="12.75" x14ac:dyDescent="0.35">
      <c r="A1400" s="4">
        <v>44794</v>
      </c>
      <c r="B1400" s="3" t="s">
        <v>465</v>
      </c>
      <c r="C1400" s="3">
        <v>63</v>
      </c>
      <c r="D1400" s="3">
        <v>1</v>
      </c>
    </row>
    <row r="1401" spans="1:4" ht="12.75" x14ac:dyDescent="0.35">
      <c r="A1401" s="4">
        <v>44825</v>
      </c>
      <c r="B1401" s="3" t="s">
        <v>47</v>
      </c>
      <c r="C1401" s="3">
        <v>62.98</v>
      </c>
      <c r="D1401" s="3">
        <v>1</v>
      </c>
    </row>
    <row r="1402" spans="1:4" ht="12.75" x14ac:dyDescent="0.35">
      <c r="A1402" s="4">
        <v>44916</v>
      </c>
      <c r="B1402" s="3" t="s">
        <v>785</v>
      </c>
      <c r="C1402" s="3">
        <v>62.91</v>
      </c>
      <c r="D1402" s="3">
        <v>1</v>
      </c>
    </row>
    <row r="1403" spans="1:4" ht="12.75" x14ac:dyDescent="0.35">
      <c r="A1403" s="5">
        <v>44763</v>
      </c>
      <c r="B1403" s="3" t="s">
        <v>34</v>
      </c>
      <c r="C1403" s="3">
        <v>62.9</v>
      </c>
      <c r="D1403" s="3">
        <v>1</v>
      </c>
    </row>
    <row r="1404" spans="1:4" ht="12.75" x14ac:dyDescent="0.35">
      <c r="A1404" s="4">
        <v>44825</v>
      </c>
      <c r="B1404" s="3" t="s">
        <v>276</v>
      </c>
      <c r="C1404" s="3">
        <v>62.78</v>
      </c>
      <c r="D1404" s="3">
        <v>1</v>
      </c>
    </row>
    <row r="1405" spans="1:4" ht="12.75" x14ac:dyDescent="0.35">
      <c r="A1405" s="4">
        <v>44886</v>
      </c>
      <c r="B1405" s="3" t="s">
        <v>897</v>
      </c>
      <c r="C1405" s="3">
        <v>62.68</v>
      </c>
      <c r="D1405" s="3">
        <v>1</v>
      </c>
    </row>
    <row r="1406" spans="1:4" ht="12.75" x14ac:dyDescent="0.35">
      <c r="A1406" s="4">
        <v>44794</v>
      </c>
      <c r="B1406" s="3" t="s">
        <v>760</v>
      </c>
      <c r="C1406" s="3">
        <v>62.59</v>
      </c>
      <c r="D1406" s="3">
        <v>3</v>
      </c>
    </row>
    <row r="1407" spans="1:4" ht="12.75" x14ac:dyDescent="0.35">
      <c r="A1407" s="4">
        <v>44916</v>
      </c>
      <c r="B1407" s="3" t="s">
        <v>1952</v>
      </c>
      <c r="C1407" s="3">
        <v>62.38</v>
      </c>
      <c r="D1407" s="3">
        <v>1</v>
      </c>
    </row>
    <row r="1408" spans="1:4" ht="12.75" x14ac:dyDescent="0.35">
      <c r="A1408" s="4">
        <v>44855</v>
      </c>
      <c r="B1408" s="3" t="s">
        <v>1302</v>
      </c>
      <c r="C1408" s="3">
        <v>62.34</v>
      </c>
      <c r="D1408" s="3">
        <v>2</v>
      </c>
    </row>
    <row r="1409" spans="1:4" ht="12.75" x14ac:dyDescent="0.35">
      <c r="A1409" s="4">
        <v>44855</v>
      </c>
      <c r="B1409" s="3" t="s">
        <v>139</v>
      </c>
      <c r="C1409" s="3">
        <v>62.31</v>
      </c>
      <c r="D1409" s="3">
        <v>2</v>
      </c>
    </row>
    <row r="1410" spans="1:4" ht="12.75" x14ac:dyDescent="0.35">
      <c r="A1410" s="5">
        <v>44763</v>
      </c>
      <c r="B1410" s="3" t="s">
        <v>176</v>
      </c>
      <c r="C1410" s="3">
        <v>62.21</v>
      </c>
      <c r="D1410" s="3">
        <v>1</v>
      </c>
    </row>
    <row r="1411" spans="1:4" ht="12.75" x14ac:dyDescent="0.35">
      <c r="A1411" s="4">
        <v>44702</v>
      </c>
      <c r="B1411" s="3" t="s">
        <v>569</v>
      </c>
      <c r="C1411" s="3">
        <v>62.2</v>
      </c>
      <c r="D1411" s="3">
        <v>2</v>
      </c>
    </row>
    <row r="1412" spans="1:4" ht="12.75" x14ac:dyDescent="0.35">
      <c r="A1412" s="4">
        <v>44672</v>
      </c>
      <c r="B1412" s="3" t="s">
        <v>18</v>
      </c>
      <c r="C1412" s="3">
        <v>62.12</v>
      </c>
      <c r="D1412" s="3">
        <v>2</v>
      </c>
    </row>
    <row r="1413" spans="1:4" ht="12.75" x14ac:dyDescent="0.35">
      <c r="A1413" s="4">
        <v>44886</v>
      </c>
      <c r="B1413" s="3" t="s">
        <v>955</v>
      </c>
      <c r="C1413" s="3">
        <v>62.12</v>
      </c>
      <c r="D1413" s="3">
        <v>1</v>
      </c>
    </row>
    <row r="1414" spans="1:4" ht="12.75" x14ac:dyDescent="0.35">
      <c r="A1414" s="4">
        <v>44825</v>
      </c>
      <c r="B1414" s="3" t="s">
        <v>81</v>
      </c>
      <c r="C1414" s="3">
        <v>62.09</v>
      </c>
      <c r="D1414" s="3">
        <v>1</v>
      </c>
    </row>
    <row r="1415" spans="1:4" ht="12.75" x14ac:dyDescent="0.35">
      <c r="A1415" s="4">
        <v>44794</v>
      </c>
      <c r="B1415" s="3" t="s">
        <v>612</v>
      </c>
      <c r="C1415" s="3">
        <v>62.07</v>
      </c>
      <c r="D1415" s="3">
        <v>3</v>
      </c>
    </row>
    <row r="1416" spans="1:4" ht="12.75" x14ac:dyDescent="0.35">
      <c r="A1416" s="4">
        <v>44916</v>
      </c>
      <c r="B1416" s="3" t="s">
        <v>566</v>
      </c>
      <c r="C1416" s="3">
        <v>62.02</v>
      </c>
      <c r="D1416" s="3">
        <v>1</v>
      </c>
    </row>
    <row r="1417" spans="1:4" ht="12.75" x14ac:dyDescent="0.35">
      <c r="A1417" s="4">
        <v>44613</v>
      </c>
      <c r="B1417" s="3" t="s">
        <v>149</v>
      </c>
      <c r="C1417" s="3">
        <v>61.84</v>
      </c>
      <c r="D1417" s="3">
        <v>1</v>
      </c>
    </row>
    <row r="1418" spans="1:4" ht="12.75" x14ac:dyDescent="0.35">
      <c r="A1418" s="4">
        <v>44702</v>
      </c>
      <c r="B1418" s="3" t="s">
        <v>592</v>
      </c>
      <c r="C1418" s="3">
        <v>61.82</v>
      </c>
      <c r="D1418" s="3">
        <v>1</v>
      </c>
    </row>
    <row r="1419" spans="1:4" ht="12.75" x14ac:dyDescent="0.35">
      <c r="A1419" s="4">
        <v>44672</v>
      </c>
      <c r="B1419" s="3" t="s">
        <v>785</v>
      </c>
      <c r="C1419" s="3">
        <v>61.79</v>
      </c>
      <c r="D1419" s="3">
        <v>1</v>
      </c>
    </row>
    <row r="1420" spans="1:4" ht="12.75" x14ac:dyDescent="0.35">
      <c r="A1420" s="5">
        <v>44763</v>
      </c>
      <c r="B1420" s="3" t="s">
        <v>979</v>
      </c>
      <c r="C1420" s="3">
        <v>61.75</v>
      </c>
      <c r="D1420" s="3">
        <v>1</v>
      </c>
    </row>
    <row r="1421" spans="1:4" ht="12.75" x14ac:dyDescent="0.35">
      <c r="A1421" s="4">
        <v>44825</v>
      </c>
      <c r="B1421" s="3" t="s">
        <v>931</v>
      </c>
      <c r="C1421" s="3">
        <v>61.75</v>
      </c>
      <c r="D1421" s="3">
        <v>1</v>
      </c>
    </row>
    <row r="1422" spans="1:4" ht="12.75" x14ac:dyDescent="0.35">
      <c r="A1422" s="4">
        <v>44855</v>
      </c>
      <c r="B1422" s="3" t="s">
        <v>979</v>
      </c>
      <c r="C1422" s="3">
        <v>61.72</v>
      </c>
      <c r="D1422" s="3">
        <v>1</v>
      </c>
    </row>
    <row r="1423" spans="1:4" ht="12.75" x14ac:dyDescent="0.35">
      <c r="A1423" s="4">
        <v>44916</v>
      </c>
      <c r="B1423" s="3" t="s">
        <v>1857</v>
      </c>
      <c r="C1423" s="3">
        <v>61.63</v>
      </c>
      <c r="D1423" s="3">
        <v>1</v>
      </c>
    </row>
    <row r="1424" spans="1:4" ht="12.75" x14ac:dyDescent="0.35">
      <c r="A1424" s="4">
        <v>44886</v>
      </c>
      <c r="B1424" s="3" t="s">
        <v>979</v>
      </c>
      <c r="C1424" s="3">
        <v>61.55</v>
      </c>
      <c r="D1424" s="3">
        <v>1</v>
      </c>
    </row>
    <row r="1425" spans="1:4" ht="12.75" x14ac:dyDescent="0.35">
      <c r="A1425" s="4">
        <v>44613</v>
      </c>
      <c r="B1425" s="3" t="s">
        <v>127</v>
      </c>
      <c r="C1425" s="3">
        <v>61.53</v>
      </c>
      <c r="D1425" s="3">
        <v>4</v>
      </c>
    </row>
    <row r="1426" spans="1:4" ht="12.75" x14ac:dyDescent="0.35">
      <c r="A1426" s="4">
        <v>44916</v>
      </c>
      <c r="B1426" s="3" t="s">
        <v>1849</v>
      </c>
      <c r="C1426" s="3">
        <v>61.53</v>
      </c>
      <c r="D1426" s="3">
        <v>1</v>
      </c>
    </row>
    <row r="1427" spans="1:4" ht="12.75" x14ac:dyDescent="0.35">
      <c r="A1427" s="5">
        <v>44763</v>
      </c>
      <c r="B1427" s="3" t="s">
        <v>853</v>
      </c>
      <c r="C1427" s="3">
        <v>61.45</v>
      </c>
      <c r="D1427" s="3">
        <v>1</v>
      </c>
    </row>
    <row r="1428" spans="1:4" ht="12.75" x14ac:dyDescent="0.35">
      <c r="A1428" s="4">
        <v>44794</v>
      </c>
      <c r="B1428" s="3" t="s">
        <v>145</v>
      </c>
      <c r="C1428" s="3">
        <v>61.38</v>
      </c>
      <c r="D1428" s="3">
        <v>1</v>
      </c>
    </row>
    <row r="1429" spans="1:4" ht="12.75" x14ac:dyDescent="0.35">
      <c r="A1429" s="4">
        <v>44672</v>
      </c>
      <c r="B1429" s="3" t="s">
        <v>534</v>
      </c>
      <c r="C1429" s="3">
        <v>61.3</v>
      </c>
      <c r="D1429" s="3">
        <v>7</v>
      </c>
    </row>
    <row r="1430" spans="1:4" ht="12.75" x14ac:dyDescent="0.35">
      <c r="A1430" s="4">
        <v>44702</v>
      </c>
      <c r="B1430" s="3" t="s">
        <v>113</v>
      </c>
      <c r="C1430" s="3">
        <v>61.3</v>
      </c>
      <c r="D1430" s="3">
        <v>1</v>
      </c>
    </row>
    <row r="1431" spans="1:4" ht="12.75" x14ac:dyDescent="0.35">
      <c r="A1431" s="4">
        <v>44794</v>
      </c>
      <c r="B1431" s="3" t="s">
        <v>81</v>
      </c>
      <c r="C1431" s="3">
        <v>61.16</v>
      </c>
      <c r="D1431" s="3">
        <v>1</v>
      </c>
    </row>
    <row r="1432" spans="1:4" ht="12.75" x14ac:dyDescent="0.35">
      <c r="A1432" s="4">
        <v>44582</v>
      </c>
      <c r="B1432" s="3" t="s">
        <v>81</v>
      </c>
      <c r="C1432" s="3">
        <v>61.11</v>
      </c>
      <c r="D1432" s="3">
        <v>1</v>
      </c>
    </row>
    <row r="1433" spans="1:4" ht="12.75" x14ac:dyDescent="0.35">
      <c r="A1433" s="4">
        <v>44641</v>
      </c>
      <c r="B1433" s="3" t="s">
        <v>703</v>
      </c>
      <c r="C1433" s="3">
        <v>61.11</v>
      </c>
      <c r="D1433" s="3">
        <v>2</v>
      </c>
    </row>
    <row r="1434" spans="1:4" ht="12.75" x14ac:dyDescent="0.35">
      <c r="A1434" s="4">
        <v>44794</v>
      </c>
      <c r="B1434" s="3" t="s">
        <v>34</v>
      </c>
      <c r="C1434" s="3">
        <v>61.06</v>
      </c>
      <c r="D1434" s="3">
        <v>1</v>
      </c>
    </row>
    <row r="1435" spans="1:4" ht="12.75" x14ac:dyDescent="0.35">
      <c r="A1435" s="5">
        <v>44733</v>
      </c>
      <c r="B1435" s="3" t="s">
        <v>439</v>
      </c>
      <c r="C1435" s="3">
        <v>61.01</v>
      </c>
      <c r="D1435" s="3">
        <v>3</v>
      </c>
    </row>
    <row r="1436" spans="1:4" ht="12.75" x14ac:dyDescent="0.35">
      <c r="A1436" s="4">
        <v>44886</v>
      </c>
      <c r="B1436" s="3" t="s">
        <v>243</v>
      </c>
      <c r="C1436" s="3">
        <v>60.91</v>
      </c>
      <c r="D1436" s="3">
        <v>1</v>
      </c>
    </row>
    <row r="1437" spans="1:4" ht="12.75" x14ac:dyDescent="0.35">
      <c r="A1437" s="4">
        <v>44855</v>
      </c>
      <c r="B1437" s="3" t="s">
        <v>81</v>
      </c>
      <c r="C1437" s="3">
        <v>60.81</v>
      </c>
      <c r="D1437" s="3">
        <v>1</v>
      </c>
    </row>
    <row r="1438" spans="1:4" ht="12.75" x14ac:dyDescent="0.35">
      <c r="A1438" s="4">
        <v>44916</v>
      </c>
      <c r="B1438" s="3" t="s">
        <v>289</v>
      </c>
      <c r="C1438" s="3">
        <v>60.74</v>
      </c>
      <c r="D1438" s="3">
        <v>2</v>
      </c>
    </row>
    <row r="1439" spans="1:4" ht="12.75" x14ac:dyDescent="0.35">
      <c r="A1439" s="4">
        <v>44672</v>
      </c>
      <c r="B1439" s="3" t="s">
        <v>435</v>
      </c>
      <c r="C1439" s="3">
        <v>60.69</v>
      </c>
      <c r="D1439" s="3">
        <v>3</v>
      </c>
    </row>
    <row r="1440" spans="1:4" ht="12.75" x14ac:dyDescent="0.35">
      <c r="A1440" s="5">
        <v>44733</v>
      </c>
      <c r="B1440" s="3" t="s">
        <v>103</v>
      </c>
      <c r="C1440" s="3">
        <v>60.69</v>
      </c>
      <c r="D1440" s="3">
        <v>6</v>
      </c>
    </row>
    <row r="1441" spans="1:4" ht="12.75" x14ac:dyDescent="0.35">
      <c r="A1441" s="4">
        <v>44825</v>
      </c>
      <c r="B1441" s="3" t="s">
        <v>1750</v>
      </c>
      <c r="C1441" s="3">
        <v>60.57</v>
      </c>
      <c r="D1441" s="3">
        <v>2</v>
      </c>
    </row>
    <row r="1442" spans="1:4" ht="12.75" x14ac:dyDescent="0.35">
      <c r="A1442" s="5">
        <v>44763</v>
      </c>
      <c r="B1442" s="3" t="s">
        <v>502</v>
      </c>
      <c r="C1442" s="3">
        <v>60.52</v>
      </c>
      <c r="D1442" s="3">
        <v>1</v>
      </c>
    </row>
    <row r="1443" spans="1:4" ht="12.75" x14ac:dyDescent="0.35">
      <c r="A1443" s="4">
        <v>44794</v>
      </c>
      <c r="B1443" s="3" t="s">
        <v>1302</v>
      </c>
      <c r="C1443" s="3">
        <v>60.52</v>
      </c>
      <c r="D1443" s="3">
        <v>2</v>
      </c>
    </row>
    <row r="1444" spans="1:4" ht="12.75" x14ac:dyDescent="0.35">
      <c r="A1444" s="4">
        <v>44672</v>
      </c>
      <c r="B1444" s="3" t="s">
        <v>197</v>
      </c>
      <c r="C1444" s="3">
        <v>60.41</v>
      </c>
      <c r="D1444" s="3">
        <v>1</v>
      </c>
    </row>
    <row r="1445" spans="1:4" ht="12.75" x14ac:dyDescent="0.35">
      <c r="A1445" s="4">
        <v>44886</v>
      </c>
      <c r="B1445" s="3" t="s">
        <v>353</v>
      </c>
      <c r="C1445" s="3">
        <v>60.37</v>
      </c>
      <c r="D1445" s="3">
        <v>2</v>
      </c>
    </row>
    <row r="1446" spans="1:4" ht="12.75" x14ac:dyDescent="0.35">
      <c r="A1446" s="4">
        <v>44702</v>
      </c>
      <c r="B1446" s="3" t="s">
        <v>362</v>
      </c>
      <c r="C1446" s="3">
        <v>60.27</v>
      </c>
      <c r="D1446" s="3">
        <v>7</v>
      </c>
    </row>
    <row r="1447" spans="1:4" ht="12.75" x14ac:dyDescent="0.35">
      <c r="A1447" s="4">
        <v>44794</v>
      </c>
      <c r="B1447" s="3" t="s">
        <v>1025</v>
      </c>
      <c r="C1447" s="3">
        <v>60.25</v>
      </c>
      <c r="D1447" s="3">
        <v>1</v>
      </c>
    </row>
    <row r="1448" spans="1:4" ht="12.75" x14ac:dyDescent="0.35">
      <c r="A1448" s="4">
        <v>44825</v>
      </c>
      <c r="B1448" s="3" t="s">
        <v>1127</v>
      </c>
      <c r="C1448" s="3">
        <v>60.23</v>
      </c>
      <c r="D1448" s="3">
        <v>1</v>
      </c>
    </row>
    <row r="1449" spans="1:4" ht="12.75" x14ac:dyDescent="0.35">
      <c r="A1449" s="4">
        <v>44613</v>
      </c>
      <c r="B1449" s="3" t="s">
        <v>282</v>
      </c>
      <c r="C1449" s="3">
        <v>60.22</v>
      </c>
      <c r="D1449" s="3">
        <v>1</v>
      </c>
    </row>
    <row r="1450" spans="1:4" ht="12.75" x14ac:dyDescent="0.35">
      <c r="A1450" s="5">
        <v>44733</v>
      </c>
      <c r="B1450" s="3" t="s">
        <v>457</v>
      </c>
      <c r="C1450" s="3">
        <v>60.09</v>
      </c>
      <c r="D1450" s="3">
        <v>1</v>
      </c>
    </row>
    <row r="1451" spans="1:4" ht="12.75" x14ac:dyDescent="0.35">
      <c r="A1451" s="4">
        <v>44916</v>
      </c>
      <c r="B1451" s="3" t="s">
        <v>687</v>
      </c>
      <c r="C1451" s="3">
        <v>60.05</v>
      </c>
      <c r="D1451" s="3">
        <v>3</v>
      </c>
    </row>
    <row r="1452" spans="1:4" ht="12.75" x14ac:dyDescent="0.35">
      <c r="A1452" s="4">
        <v>44672</v>
      </c>
      <c r="B1452" s="3" t="s">
        <v>521</v>
      </c>
      <c r="C1452" s="3">
        <v>60.02</v>
      </c>
      <c r="D1452" s="3">
        <v>2</v>
      </c>
    </row>
    <row r="1453" spans="1:4" ht="12.75" x14ac:dyDescent="0.35">
      <c r="A1453" s="4">
        <v>44886</v>
      </c>
      <c r="B1453" s="3" t="s">
        <v>759</v>
      </c>
      <c r="C1453" s="3">
        <v>59.97</v>
      </c>
      <c r="D1453" s="3">
        <v>1</v>
      </c>
    </row>
    <row r="1454" spans="1:4" ht="12.75" x14ac:dyDescent="0.35">
      <c r="A1454" s="4">
        <v>44886</v>
      </c>
      <c r="B1454" s="3" t="s">
        <v>366</v>
      </c>
      <c r="C1454" s="3">
        <v>59.86</v>
      </c>
      <c r="D1454" s="3">
        <v>8</v>
      </c>
    </row>
    <row r="1455" spans="1:4" ht="12.75" x14ac:dyDescent="0.35">
      <c r="A1455" s="4">
        <v>44916</v>
      </c>
      <c r="B1455" s="3" t="s">
        <v>897</v>
      </c>
      <c r="C1455" s="3">
        <v>59.85</v>
      </c>
      <c r="D1455" s="3">
        <v>1</v>
      </c>
    </row>
    <row r="1456" spans="1:4" ht="12.75" x14ac:dyDescent="0.35">
      <c r="A1456" s="4">
        <v>44825</v>
      </c>
      <c r="B1456" s="3" t="s">
        <v>1302</v>
      </c>
      <c r="C1456" s="3">
        <v>59.75</v>
      </c>
      <c r="D1456" s="3">
        <v>2</v>
      </c>
    </row>
    <row r="1457" spans="1:4" ht="12.75" x14ac:dyDescent="0.35">
      <c r="A1457" s="4">
        <v>44886</v>
      </c>
      <c r="B1457" s="3" t="s">
        <v>44</v>
      </c>
      <c r="C1457" s="3">
        <v>59.51</v>
      </c>
      <c r="D1457" s="3">
        <v>1</v>
      </c>
    </row>
    <row r="1458" spans="1:4" ht="12.75" x14ac:dyDescent="0.35">
      <c r="A1458" s="4">
        <v>44794</v>
      </c>
      <c r="B1458" s="3" t="s">
        <v>519</v>
      </c>
      <c r="C1458" s="3">
        <v>59.49</v>
      </c>
      <c r="D1458" s="3">
        <v>4</v>
      </c>
    </row>
    <row r="1459" spans="1:4" ht="12.75" x14ac:dyDescent="0.35">
      <c r="A1459" s="4">
        <v>44672</v>
      </c>
      <c r="B1459" s="3" t="s">
        <v>157</v>
      </c>
      <c r="C1459" s="3">
        <v>59.48</v>
      </c>
      <c r="D1459" s="3">
        <v>2</v>
      </c>
    </row>
    <row r="1460" spans="1:4" ht="12.75" x14ac:dyDescent="0.35">
      <c r="A1460" s="4">
        <v>44916</v>
      </c>
      <c r="B1460" s="3" t="s">
        <v>1961</v>
      </c>
      <c r="C1460" s="3">
        <v>59.44</v>
      </c>
      <c r="D1460" s="3">
        <v>1</v>
      </c>
    </row>
    <row r="1461" spans="1:4" ht="12.75" x14ac:dyDescent="0.35">
      <c r="A1461" s="4">
        <v>44825</v>
      </c>
      <c r="B1461" s="3" t="s">
        <v>18</v>
      </c>
      <c r="C1461" s="3">
        <v>59.38</v>
      </c>
      <c r="D1461" s="3">
        <v>2</v>
      </c>
    </row>
    <row r="1462" spans="1:4" ht="12.75" x14ac:dyDescent="0.35">
      <c r="A1462" s="4">
        <v>44641</v>
      </c>
      <c r="B1462" s="3" t="s">
        <v>18</v>
      </c>
      <c r="C1462" s="3">
        <v>59.29</v>
      </c>
      <c r="D1462" s="3">
        <v>2</v>
      </c>
    </row>
    <row r="1463" spans="1:4" ht="12.75" x14ac:dyDescent="0.35">
      <c r="A1463" s="5">
        <v>44763</v>
      </c>
      <c r="B1463" s="3" t="s">
        <v>81</v>
      </c>
      <c r="C1463" s="3">
        <v>59.26</v>
      </c>
      <c r="D1463" s="3">
        <v>1</v>
      </c>
    </row>
    <row r="1464" spans="1:4" ht="12.75" x14ac:dyDescent="0.35">
      <c r="A1464" s="4">
        <v>44855</v>
      </c>
      <c r="B1464" s="3" t="s">
        <v>482</v>
      </c>
      <c r="C1464" s="3">
        <v>59.24</v>
      </c>
      <c r="D1464" s="3">
        <v>1</v>
      </c>
    </row>
    <row r="1465" spans="1:4" ht="12.75" x14ac:dyDescent="0.35">
      <c r="A1465" s="4">
        <v>44886</v>
      </c>
      <c r="B1465" s="3" t="s">
        <v>465</v>
      </c>
      <c r="C1465" s="3">
        <v>59.16</v>
      </c>
      <c r="D1465" s="3">
        <v>1</v>
      </c>
    </row>
    <row r="1466" spans="1:4" ht="12.75" x14ac:dyDescent="0.35">
      <c r="A1466" s="4">
        <v>44582</v>
      </c>
      <c r="B1466" s="3" t="s">
        <v>253</v>
      </c>
      <c r="C1466" s="3">
        <v>59.13</v>
      </c>
      <c r="D1466" s="3">
        <v>3</v>
      </c>
    </row>
    <row r="1467" spans="1:4" ht="12.75" x14ac:dyDescent="0.35">
      <c r="A1467" s="4">
        <v>44855</v>
      </c>
      <c r="B1467" s="3" t="s">
        <v>853</v>
      </c>
      <c r="C1467" s="3">
        <v>59.08</v>
      </c>
      <c r="D1467" s="3">
        <v>1</v>
      </c>
    </row>
    <row r="1468" spans="1:4" ht="12.75" x14ac:dyDescent="0.35">
      <c r="A1468" s="4">
        <v>44794</v>
      </c>
      <c r="B1468" s="3" t="s">
        <v>176</v>
      </c>
      <c r="C1468" s="3">
        <v>59.06</v>
      </c>
      <c r="D1468" s="3">
        <v>1</v>
      </c>
    </row>
    <row r="1469" spans="1:4" ht="12.75" x14ac:dyDescent="0.35">
      <c r="A1469" s="4">
        <v>44613</v>
      </c>
      <c r="B1469" s="3" t="s">
        <v>406</v>
      </c>
      <c r="C1469" s="3">
        <v>59.04</v>
      </c>
      <c r="D1469" s="3">
        <v>2</v>
      </c>
    </row>
    <row r="1470" spans="1:4" ht="12.75" x14ac:dyDescent="0.35">
      <c r="A1470" s="4">
        <v>44825</v>
      </c>
      <c r="B1470" s="3" t="s">
        <v>259</v>
      </c>
      <c r="C1470" s="3">
        <v>59.04</v>
      </c>
      <c r="D1470" s="3">
        <v>2</v>
      </c>
    </row>
    <row r="1471" spans="1:4" ht="12.75" x14ac:dyDescent="0.35">
      <c r="A1471" s="4">
        <v>44702</v>
      </c>
      <c r="B1471" s="3" t="s">
        <v>1097</v>
      </c>
      <c r="C1471" s="3">
        <v>58.99</v>
      </c>
      <c r="D1471" s="3">
        <v>1</v>
      </c>
    </row>
    <row r="1472" spans="1:4" ht="12.75" x14ac:dyDescent="0.35">
      <c r="A1472" s="4">
        <v>44825</v>
      </c>
      <c r="B1472" s="3" t="s">
        <v>537</v>
      </c>
      <c r="C1472" s="3">
        <v>58.87</v>
      </c>
      <c r="D1472" s="3">
        <v>1</v>
      </c>
    </row>
    <row r="1473" spans="1:4" ht="12.75" x14ac:dyDescent="0.35">
      <c r="A1473" s="4">
        <v>44916</v>
      </c>
      <c r="B1473" s="3" t="s">
        <v>147</v>
      </c>
      <c r="C1473" s="3">
        <v>58.84</v>
      </c>
      <c r="D1473" s="3">
        <v>1</v>
      </c>
    </row>
    <row r="1474" spans="1:4" ht="12.75" x14ac:dyDescent="0.35">
      <c r="A1474" s="4">
        <v>44855</v>
      </c>
      <c r="B1474" s="3" t="s">
        <v>243</v>
      </c>
      <c r="C1474" s="3">
        <v>58.82</v>
      </c>
      <c r="D1474" s="3">
        <v>1</v>
      </c>
    </row>
    <row r="1475" spans="1:4" ht="12.75" x14ac:dyDescent="0.35">
      <c r="A1475" s="4">
        <v>44702</v>
      </c>
      <c r="B1475" s="3" t="s">
        <v>993</v>
      </c>
      <c r="C1475" s="3">
        <v>58.72</v>
      </c>
      <c r="D1475" s="3">
        <v>1</v>
      </c>
    </row>
    <row r="1476" spans="1:4" ht="12.75" x14ac:dyDescent="0.35">
      <c r="A1476" s="4">
        <v>44702</v>
      </c>
      <c r="B1476" s="3" t="s">
        <v>261</v>
      </c>
      <c r="C1476" s="3">
        <v>58.7</v>
      </c>
      <c r="D1476" s="3">
        <v>1</v>
      </c>
    </row>
    <row r="1477" spans="1:4" ht="12.75" x14ac:dyDescent="0.35">
      <c r="A1477" s="5">
        <v>44763</v>
      </c>
      <c r="B1477" s="3" t="s">
        <v>18</v>
      </c>
      <c r="C1477" s="3">
        <v>58.67</v>
      </c>
      <c r="D1477" s="3">
        <v>2</v>
      </c>
    </row>
    <row r="1478" spans="1:4" ht="12.75" x14ac:dyDescent="0.35">
      <c r="A1478" s="4">
        <v>44702</v>
      </c>
      <c r="B1478" s="3" t="s">
        <v>869</v>
      </c>
      <c r="C1478" s="3">
        <v>58.65</v>
      </c>
      <c r="D1478" s="3">
        <v>1</v>
      </c>
    </row>
    <row r="1479" spans="1:4" ht="12.75" x14ac:dyDescent="0.35">
      <c r="A1479" s="4">
        <v>44825</v>
      </c>
      <c r="B1479" s="3" t="s">
        <v>520</v>
      </c>
      <c r="C1479" s="3">
        <v>58.62</v>
      </c>
      <c r="D1479" s="3">
        <v>1</v>
      </c>
    </row>
    <row r="1480" spans="1:4" ht="12.75" x14ac:dyDescent="0.35">
      <c r="A1480" s="4">
        <v>44672</v>
      </c>
      <c r="B1480" s="3" t="s">
        <v>806</v>
      </c>
      <c r="C1480" s="3">
        <v>58.48</v>
      </c>
      <c r="D1480" s="3">
        <v>1</v>
      </c>
    </row>
    <row r="1481" spans="1:4" ht="12.75" x14ac:dyDescent="0.35">
      <c r="A1481" s="4">
        <v>44916</v>
      </c>
      <c r="B1481" s="3" t="s">
        <v>145</v>
      </c>
      <c r="C1481" s="3">
        <v>58.47</v>
      </c>
      <c r="D1481" s="3">
        <v>1</v>
      </c>
    </row>
    <row r="1482" spans="1:4" ht="12.75" x14ac:dyDescent="0.35">
      <c r="A1482" s="4">
        <v>44825</v>
      </c>
      <c r="B1482" s="3" t="s">
        <v>41</v>
      </c>
      <c r="C1482" s="3">
        <v>58.33</v>
      </c>
      <c r="D1482" s="3">
        <v>1</v>
      </c>
    </row>
    <row r="1483" spans="1:4" ht="12.75" x14ac:dyDescent="0.35">
      <c r="A1483" s="4">
        <v>44641</v>
      </c>
      <c r="B1483" s="3" t="s">
        <v>783</v>
      </c>
      <c r="C1483" s="3">
        <v>58.31</v>
      </c>
      <c r="D1483" s="3">
        <v>1</v>
      </c>
    </row>
    <row r="1484" spans="1:4" ht="12.75" x14ac:dyDescent="0.35">
      <c r="A1484" s="4">
        <v>44916</v>
      </c>
      <c r="B1484" s="3" t="s">
        <v>34</v>
      </c>
      <c r="C1484" s="3">
        <v>58.28</v>
      </c>
      <c r="D1484" s="3">
        <v>1</v>
      </c>
    </row>
    <row r="1485" spans="1:4" ht="12.75" x14ac:dyDescent="0.35">
      <c r="A1485" s="5">
        <v>44763</v>
      </c>
      <c r="B1485" s="3" t="s">
        <v>201</v>
      </c>
      <c r="C1485" s="3">
        <v>58.23</v>
      </c>
      <c r="D1485" s="3">
        <v>1</v>
      </c>
    </row>
    <row r="1486" spans="1:4" ht="12.75" x14ac:dyDescent="0.35">
      <c r="A1486" s="4">
        <v>44582</v>
      </c>
      <c r="B1486" s="3" t="s">
        <v>333</v>
      </c>
      <c r="C1486" s="3">
        <v>58.22</v>
      </c>
      <c r="D1486" s="3">
        <v>2</v>
      </c>
    </row>
    <row r="1487" spans="1:4" ht="12.75" x14ac:dyDescent="0.35">
      <c r="A1487" s="4">
        <v>44825</v>
      </c>
      <c r="B1487" s="3" t="s">
        <v>98</v>
      </c>
      <c r="C1487" s="3">
        <v>58.1</v>
      </c>
      <c r="D1487" s="3">
        <v>1</v>
      </c>
    </row>
    <row r="1488" spans="1:4" ht="12.75" x14ac:dyDescent="0.35">
      <c r="A1488" s="5">
        <v>44763</v>
      </c>
      <c r="B1488" s="3" t="s">
        <v>387</v>
      </c>
      <c r="C1488" s="3">
        <v>58.08</v>
      </c>
      <c r="D1488" s="3">
        <v>7</v>
      </c>
    </row>
    <row r="1489" spans="1:4" ht="12.75" x14ac:dyDescent="0.35">
      <c r="A1489" s="4">
        <v>44855</v>
      </c>
      <c r="B1489" s="3" t="s">
        <v>582</v>
      </c>
      <c r="C1489" s="3">
        <v>58.08</v>
      </c>
      <c r="D1489" s="3">
        <v>1</v>
      </c>
    </row>
    <row r="1490" spans="1:4" ht="12.75" x14ac:dyDescent="0.35">
      <c r="A1490" s="4">
        <v>44582</v>
      </c>
      <c r="B1490" s="3" t="s">
        <v>258</v>
      </c>
      <c r="C1490" s="3">
        <v>58.07</v>
      </c>
      <c r="D1490" s="3">
        <v>2</v>
      </c>
    </row>
    <row r="1491" spans="1:4" ht="12.75" x14ac:dyDescent="0.35">
      <c r="A1491" s="4">
        <v>44886</v>
      </c>
      <c r="B1491" s="3" t="s">
        <v>520</v>
      </c>
      <c r="C1491" s="3">
        <v>58.03</v>
      </c>
      <c r="D1491" s="3">
        <v>1</v>
      </c>
    </row>
    <row r="1492" spans="1:4" ht="12.75" x14ac:dyDescent="0.35">
      <c r="A1492" s="4">
        <v>44855</v>
      </c>
      <c r="B1492" s="3" t="s">
        <v>145</v>
      </c>
      <c r="C1492" s="3">
        <v>57.98</v>
      </c>
      <c r="D1492" s="3">
        <v>1</v>
      </c>
    </row>
    <row r="1493" spans="1:4" ht="12.75" x14ac:dyDescent="0.35">
      <c r="A1493" s="4">
        <v>44672</v>
      </c>
      <c r="B1493" s="3" t="s">
        <v>88</v>
      </c>
      <c r="C1493" s="3">
        <v>57.96</v>
      </c>
      <c r="D1493" s="3">
        <v>1</v>
      </c>
    </row>
    <row r="1494" spans="1:4" ht="12.75" x14ac:dyDescent="0.35">
      <c r="A1494" s="4">
        <v>44702</v>
      </c>
      <c r="B1494" s="3" t="s">
        <v>265</v>
      </c>
      <c r="C1494" s="3">
        <v>57.96</v>
      </c>
      <c r="D1494" s="3">
        <v>2</v>
      </c>
    </row>
    <row r="1495" spans="1:4" ht="12.75" x14ac:dyDescent="0.35">
      <c r="A1495" s="4">
        <v>44702</v>
      </c>
      <c r="B1495" s="3" t="s">
        <v>519</v>
      </c>
      <c r="C1495" s="3">
        <v>57.91</v>
      </c>
      <c r="D1495" s="3">
        <v>4</v>
      </c>
    </row>
    <row r="1496" spans="1:4" ht="12.75" x14ac:dyDescent="0.35">
      <c r="A1496" s="4">
        <v>44794</v>
      </c>
      <c r="B1496" s="3" t="s">
        <v>287</v>
      </c>
      <c r="C1496" s="3">
        <v>57.86</v>
      </c>
      <c r="D1496" s="3">
        <v>1</v>
      </c>
    </row>
    <row r="1497" spans="1:4" ht="12.75" x14ac:dyDescent="0.35">
      <c r="A1497" s="4">
        <v>44855</v>
      </c>
      <c r="B1497" s="3" t="s">
        <v>123</v>
      </c>
      <c r="C1497" s="3">
        <v>57.79</v>
      </c>
      <c r="D1497" s="3">
        <v>1</v>
      </c>
    </row>
    <row r="1498" spans="1:4" ht="12.75" x14ac:dyDescent="0.35">
      <c r="A1498" s="4">
        <v>44582</v>
      </c>
      <c r="B1498" s="3" t="s">
        <v>15</v>
      </c>
      <c r="C1498" s="3">
        <v>57.76</v>
      </c>
      <c r="D1498" s="3">
        <v>1</v>
      </c>
    </row>
    <row r="1499" spans="1:4" ht="12.75" x14ac:dyDescent="0.35">
      <c r="A1499" s="4">
        <v>44613</v>
      </c>
      <c r="B1499" s="3" t="s">
        <v>587</v>
      </c>
      <c r="C1499" s="3">
        <v>57.76</v>
      </c>
      <c r="D1499" s="3">
        <v>2</v>
      </c>
    </row>
    <row r="1500" spans="1:4" ht="12.75" x14ac:dyDescent="0.35">
      <c r="A1500" s="5">
        <v>44763</v>
      </c>
      <c r="B1500" s="3" t="s">
        <v>215</v>
      </c>
      <c r="C1500" s="3">
        <v>57.74</v>
      </c>
      <c r="D1500" s="3">
        <v>7</v>
      </c>
    </row>
    <row r="1501" spans="1:4" ht="12.75" x14ac:dyDescent="0.35">
      <c r="A1501" s="4">
        <v>44794</v>
      </c>
      <c r="B1501" s="3" t="s">
        <v>209</v>
      </c>
      <c r="C1501" s="3">
        <v>57.71</v>
      </c>
      <c r="D1501" s="3">
        <v>1</v>
      </c>
    </row>
    <row r="1502" spans="1:4" ht="12.75" x14ac:dyDescent="0.35">
      <c r="A1502" s="4">
        <v>44916</v>
      </c>
      <c r="B1502" s="3" t="s">
        <v>582</v>
      </c>
      <c r="C1502" s="3">
        <v>57.71</v>
      </c>
      <c r="D1502" s="3">
        <v>1</v>
      </c>
    </row>
    <row r="1503" spans="1:4" ht="12.75" x14ac:dyDescent="0.35">
      <c r="A1503" s="4">
        <v>44825</v>
      </c>
      <c r="B1503" s="3" t="s">
        <v>180</v>
      </c>
      <c r="C1503" s="3">
        <v>57.69</v>
      </c>
      <c r="D1503" s="3">
        <v>1</v>
      </c>
    </row>
    <row r="1504" spans="1:4" ht="12.75" x14ac:dyDescent="0.35">
      <c r="A1504" s="4">
        <v>44794</v>
      </c>
      <c r="B1504" s="3" t="s">
        <v>259</v>
      </c>
      <c r="C1504" s="3">
        <v>57.59</v>
      </c>
      <c r="D1504" s="3">
        <v>2</v>
      </c>
    </row>
    <row r="1505" spans="1:4" ht="12.75" x14ac:dyDescent="0.35">
      <c r="A1505" s="5">
        <v>44763</v>
      </c>
      <c r="B1505" s="3" t="s">
        <v>273</v>
      </c>
      <c r="C1505" s="3">
        <v>57.52</v>
      </c>
      <c r="D1505" s="3">
        <v>2</v>
      </c>
    </row>
    <row r="1506" spans="1:4" ht="12.75" x14ac:dyDescent="0.35">
      <c r="A1506" s="4">
        <v>44702</v>
      </c>
      <c r="B1506" s="3" t="s">
        <v>88</v>
      </c>
      <c r="C1506" s="3">
        <v>57.51</v>
      </c>
      <c r="D1506" s="3">
        <v>1</v>
      </c>
    </row>
    <row r="1507" spans="1:4" ht="12.75" x14ac:dyDescent="0.35">
      <c r="A1507" s="4">
        <v>44794</v>
      </c>
      <c r="B1507" s="3" t="s">
        <v>19</v>
      </c>
      <c r="C1507" s="3">
        <v>57.39</v>
      </c>
      <c r="D1507" s="3">
        <v>1</v>
      </c>
    </row>
    <row r="1508" spans="1:4" ht="12.75" x14ac:dyDescent="0.35">
      <c r="A1508" s="4">
        <v>44916</v>
      </c>
      <c r="B1508" s="3" t="s">
        <v>123</v>
      </c>
      <c r="C1508" s="3">
        <v>57.34</v>
      </c>
      <c r="D1508" s="3">
        <v>1</v>
      </c>
    </row>
    <row r="1509" spans="1:4" ht="12.75" x14ac:dyDescent="0.35">
      <c r="A1509" s="4">
        <v>44641</v>
      </c>
      <c r="B1509" s="3" t="s">
        <v>506</v>
      </c>
      <c r="C1509" s="3">
        <v>57.33</v>
      </c>
      <c r="D1509" s="3">
        <v>9</v>
      </c>
    </row>
    <row r="1510" spans="1:4" ht="12.75" x14ac:dyDescent="0.35">
      <c r="A1510" s="4">
        <v>44582</v>
      </c>
      <c r="B1510" s="3" t="s">
        <v>238</v>
      </c>
      <c r="C1510" s="3">
        <v>57.3</v>
      </c>
      <c r="D1510" s="3">
        <v>1</v>
      </c>
    </row>
    <row r="1511" spans="1:4" ht="12.75" x14ac:dyDescent="0.35">
      <c r="A1511" s="4">
        <v>44641</v>
      </c>
      <c r="B1511" s="3" t="s">
        <v>81</v>
      </c>
      <c r="C1511" s="3">
        <v>57.12</v>
      </c>
      <c r="D1511" s="3">
        <v>1</v>
      </c>
    </row>
    <row r="1512" spans="1:4" ht="12.75" x14ac:dyDescent="0.35">
      <c r="A1512" s="5">
        <v>44763</v>
      </c>
      <c r="B1512" s="3" t="s">
        <v>259</v>
      </c>
      <c r="C1512" s="3">
        <v>57.12</v>
      </c>
      <c r="D1512" s="3">
        <v>2</v>
      </c>
    </row>
    <row r="1513" spans="1:4" ht="12.75" x14ac:dyDescent="0.35">
      <c r="A1513" s="4">
        <v>44916</v>
      </c>
      <c r="B1513" s="3" t="s">
        <v>1677</v>
      </c>
      <c r="C1513" s="3">
        <v>2</v>
      </c>
      <c r="D1513" s="3">
        <v>1</v>
      </c>
    </row>
    <row r="1514" spans="1:4" ht="12.75" x14ac:dyDescent="0.35">
      <c r="A1514" s="4">
        <v>44702</v>
      </c>
      <c r="B1514" s="3" t="s">
        <v>653</v>
      </c>
      <c r="C1514" s="3">
        <v>57.07</v>
      </c>
      <c r="D1514" s="3">
        <v>1</v>
      </c>
    </row>
    <row r="1515" spans="1:4" ht="12.75" x14ac:dyDescent="0.35">
      <c r="A1515" s="4">
        <v>44794</v>
      </c>
      <c r="B1515" s="3" t="s">
        <v>555</v>
      </c>
      <c r="C1515" s="3">
        <v>57.03</v>
      </c>
      <c r="D1515" s="3">
        <v>2</v>
      </c>
    </row>
    <row r="1516" spans="1:4" ht="12.75" x14ac:dyDescent="0.35">
      <c r="A1516" s="4">
        <v>44794</v>
      </c>
      <c r="B1516" s="3" t="s">
        <v>289</v>
      </c>
      <c r="C1516" s="3">
        <v>56.85</v>
      </c>
      <c r="D1516" s="3">
        <v>2</v>
      </c>
    </row>
    <row r="1517" spans="1:4" ht="12.75" x14ac:dyDescent="0.35">
      <c r="A1517" s="4">
        <v>44582</v>
      </c>
      <c r="B1517" s="3" t="s">
        <v>47</v>
      </c>
      <c r="C1517" s="3">
        <v>56.8</v>
      </c>
      <c r="D1517" s="3">
        <v>1</v>
      </c>
    </row>
    <row r="1518" spans="1:4" ht="12.75" x14ac:dyDescent="0.35">
      <c r="A1518" s="4">
        <v>44613</v>
      </c>
      <c r="B1518" s="3" t="s">
        <v>470</v>
      </c>
      <c r="C1518" s="3">
        <v>56.7</v>
      </c>
      <c r="D1518" s="3">
        <v>1</v>
      </c>
    </row>
    <row r="1519" spans="1:4" ht="12.75" x14ac:dyDescent="0.35">
      <c r="A1519" s="4">
        <v>44794</v>
      </c>
      <c r="B1519" s="3" t="s">
        <v>520</v>
      </c>
      <c r="C1519" s="3">
        <v>56.63</v>
      </c>
      <c r="D1519" s="3">
        <v>1</v>
      </c>
    </row>
    <row r="1520" spans="1:4" ht="12.75" x14ac:dyDescent="0.35">
      <c r="A1520" s="4">
        <v>44886</v>
      </c>
      <c r="B1520" s="3" t="s">
        <v>1565</v>
      </c>
      <c r="C1520" s="3">
        <v>56.48</v>
      </c>
      <c r="D1520" s="3">
        <v>1</v>
      </c>
    </row>
    <row r="1521" spans="1:4" ht="12.75" x14ac:dyDescent="0.35">
      <c r="A1521" s="4">
        <v>44825</v>
      </c>
      <c r="B1521" s="3" t="s">
        <v>541</v>
      </c>
      <c r="C1521" s="3">
        <v>56.38</v>
      </c>
      <c r="D1521" s="3">
        <v>2</v>
      </c>
    </row>
    <row r="1522" spans="1:4" ht="12.75" x14ac:dyDescent="0.35">
      <c r="A1522" s="4">
        <v>44855</v>
      </c>
      <c r="B1522" s="3" t="s">
        <v>334</v>
      </c>
      <c r="C1522" s="3">
        <v>56.33</v>
      </c>
      <c r="D1522" s="3">
        <v>1</v>
      </c>
    </row>
    <row r="1523" spans="1:4" ht="12.75" x14ac:dyDescent="0.35">
      <c r="A1523" s="4">
        <v>44794</v>
      </c>
      <c r="B1523" s="3" t="s">
        <v>424</v>
      </c>
      <c r="C1523" s="3">
        <v>56.3</v>
      </c>
      <c r="D1523" s="3">
        <v>1</v>
      </c>
    </row>
    <row r="1524" spans="1:4" ht="12.75" x14ac:dyDescent="0.35">
      <c r="A1524" s="4">
        <v>44886</v>
      </c>
      <c r="B1524" s="3" t="s">
        <v>592</v>
      </c>
      <c r="C1524" s="3">
        <v>56.17</v>
      </c>
      <c r="D1524" s="3">
        <v>1</v>
      </c>
    </row>
    <row r="1525" spans="1:4" ht="12.75" x14ac:dyDescent="0.35">
      <c r="A1525" s="4">
        <v>44702</v>
      </c>
      <c r="B1525" s="3" t="s">
        <v>153</v>
      </c>
      <c r="C1525" s="3">
        <v>56.1</v>
      </c>
      <c r="D1525" s="3">
        <v>1</v>
      </c>
    </row>
    <row r="1526" spans="1:4" ht="12.75" x14ac:dyDescent="0.35">
      <c r="A1526" s="4">
        <v>44582</v>
      </c>
      <c r="B1526" s="3" t="s">
        <v>351</v>
      </c>
      <c r="C1526" s="3">
        <v>56.09</v>
      </c>
      <c r="D1526" s="3">
        <v>3</v>
      </c>
    </row>
    <row r="1527" spans="1:4" ht="12.75" x14ac:dyDescent="0.35">
      <c r="A1527" s="4">
        <v>44672</v>
      </c>
      <c r="B1527" s="3" t="s">
        <v>125</v>
      </c>
      <c r="C1527" s="3">
        <v>56.04</v>
      </c>
      <c r="D1527" s="3">
        <v>5</v>
      </c>
    </row>
    <row r="1528" spans="1:4" ht="12.75" x14ac:dyDescent="0.35">
      <c r="A1528" s="4">
        <v>44825</v>
      </c>
      <c r="B1528" s="3" t="s">
        <v>396</v>
      </c>
      <c r="C1528" s="3">
        <v>56.04</v>
      </c>
      <c r="D1528" s="3">
        <v>1</v>
      </c>
    </row>
    <row r="1529" spans="1:4" ht="12.75" x14ac:dyDescent="0.35">
      <c r="A1529" s="5">
        <v>44733</v>
      </c>
      <c r="B1529" s="3" t="s">
        <v>392</v>
      </c>
      <c r="C1529" s="3">
        <v>55.94</v>
      </c>
      <c r="D1529" s="3">
        <v>1</v>
      </c>
    </row>
    <row r="1530" spans="1:4" ht="12.75" x14ac:dyDescent="0.35">
      <c r="A1530" s="4">
        <v>44916</v>
      </c>
      <c r="B1530" s="3" t="s">
        <v>1804</v>
      </c>
      <c r="C1530" s="3">
        <v>55.75</v>
      </c>
      <c r="D1530" s="3">
        <v>1</v>
      </c>
    </row>
    <row r="1531" spans="1:4" ht="12.75" x14ac:dyDescent="0.35">
      <c r="A1531" s="4">
        <v>44825</v>
      </c>
      <c r="B1531" s="3" t="s">
        <v>577</v>
      </c>
      <c r="C1531" s="3">
        <v>55.74</v>
      </c>
      <c r="D1531" s="3">
        <v>1</v>
      </c>
    </row>
    <row r="1532" spans="1:4" ht="12.75" x14ac:dyDescent="0.35">
      <c r="A1532" s="4">
        <v>44613</v>
      </c>
      <c r="B1532" s="3" t="s">
        <v>540</v>
      </c>
      <c r="C1532" s="3">
        <v>55.7</v>
      </c>
      <c r="D1532" s="3">
        <v>5</v>
      </c>
    </row>
    <row r="1533" spans="1:4" ht="12.75" x14ac:dyDescent="0.35">
      <c r="A1533" s="4">
        <v>44794</v>
      </c>
      <c r="B1533" s="3" t="s">
        <v>285</v>
      </c>
      <c r="C1533" s="3">
        <v>55.65</v>
      </c>
      <c r="D1533" s="3">
        <v>1</v>
      </c>
    </row>
    <row r="1534" spans="1:4" ht="12.75" x14ac:dyDescent="0.35">
      <c r="A1534" s="5">
        <v>44763</v>
      </c>
      <c r="B1534" s="3" t="s">
        <v>1526</v>
      </c>
      <c r="C1534" s="3">
        <v>55.6</v>
      </c>
      <c r="D1534" s="3">
        <v>1</v>
      </c>
    </row>
    <row r="1535" spans="1:4" ht="12.75" x14ac:dyDescent="0.35">
      <c r="A1535" s="4">
        <v>44672</v>
      </c>
      <c r="B1535" s="3" t="s">
        <v>595</v>
      </c>
      <c r="C1535" s="3">
        <v>55.58</v>
      </c>
      <c r="D1535" s="3">
        <v>5</v>
      </c>
    </row>
    <row r="1536" spans="1:4" ht="12.75" x14ac:dyDescent="0.35">
      <c r="A1536" s="4">
        <v>44825</v>
      </c>
      <c r="B1536" s="3" t="s">
        <v>430</v>
      </c>
      <c r="C1536" s="3">
        <v>55.4</v>
      </c>
      <c r="D1536" s="3">
        <v>1</v>
      </c>
    </row>
    <row r="1537" spans="1:4" ht="12.75" x14ac:dyDescent="0.35">
      <c r="A1537" s="4">
        <v>44886</v>
      </c>
      <c r="B1537" s="3" t="s">
        <v>74</v>
      </c>
      <c r="C1537" s="3">
        <v>55.4</v>
      </c>
      <c r="D1537" s="3">
        <v>2</v>
      </c>
    </row>
    <row r="1538" spans="1:4" ht="12.75" x14ac:dyDescent="0.35">
      <c r="A1538" s="5">
        <v>44733</v>
      </c>
      <c r="B1538" s="3" t="s">
        <v>1293</v>
      </c>
      <c r="C1538" s="3">
        <v>55.37</v>
      </c>
      <c r="D1538" s="3">
        <v>1</v>
      </c>
    </row>
    <row r="1539" spans="1:4" ht="12.75" x14ac:dyDescent="0.35">
      <c r="A1539" s="4">
        <v>44641</v>
      </c>
      <c r="B1539" s="3" t="s">
        <v>390</v>
      </c>
      <c r="C1539" s="3">
        <v>55.35</v>
      </c>
      <c r="D1539" s="3">
        <v>1</v>
      </c>
    </row>
    <row r="1540" spans="1:4" ht="12.75" x14ac:dyDescent="0.35">
      <c r="A1540" s="4">
        <v>44702</v>
      </c>
      <c r="B1540" s="3" t="s">
        <v>81</v>
      </c>
      <c r="C1540" s="3">
        <v>55.33</v>
      </c>
      <c r="D1540" s="3">
        <v>1</v>
      </c>
    </row>
    <row r="1541" spans="1:4" ht="12.75" x14ac:dyDescent="0.35">
      <c r="A1541" s="4">
        <v>44794</v>
      </c>
      <c r="B1541" s="3" t="s">
        <v>243</v>
      </c>
      <c r="C1541" s="3">
        <v>55.18</v>
      </c>
      <c r="D1541" s="3">
        <v>1</v>
      </c>
    </row>
    <row r="1542" spans="1:4" ht="12.75" x14ac:dyDescent="0.35">
      <c r="A1542" s="4">
        <v>44855</v>
      </c>
      <c r="B1542" s="3" t="s">
        <v>265</v>
      </c>
      <c r="C1542" s="3">
        <v>55.1</v>
      </c>
      <c r="D1542" s="3">
        <v>2</v>
      </c>
    </row>
    <row r="1543" spans="1:4" ht="12.75" x14ac:dyDescent="0.35">
      <c r="A1543" s="4">
        <v>44794</v>
      </c>
      <c r="B1543" s="3" t="s">
        <v>396</v>
      </c>
      <c r="C1543" s="3">
        <v>55.03</v>
      </c>
      <c r="D1543" s="3">
        <v>1</v>
      </c>
    </row>
    <row r="1544" spans="1:4" ht="12.75" x14ac:dyDescent="0.35">
      <c r="A1544" s="4">
        <v>44916</v>
      </c>
      <c r="B1544" s="3" t="s">
        <v>1953</v>
      </c>
      <c r="C1544" s="3">
        <v>55.01</v>
      </c>
      <c r="D1544" s="3">
        <v>3</v>
      </c>
    </row>
    <row r="1545" spans="1:4" ht="12.75" x14ac:dyDescent="0.35">
      <c r="A1545" s="4">
        <v>44702</v>
      </c>
      <c r="B1545" s="3" t="s">
        <v>579</v>
      </c>
      <c r="C1545" s="3">
        <v>54.98</v>
      </c>
      <c r="D1545" s="3">
        <v>2</v>
      </c>
    </row>
    <row r="1546" spans="1:4" ht="12.75" x14ac:dyDescent="0.35">
      <c r="A1546" s="5">
        <v>44733</v>
      </c>
      <c r="B1546" s="3" t="s">
        <v>18</v>
      </c>
      <c r="C1546" s="3">
        <v>54.92</v>
      </c>
      <c r="D1546" s="3">
        <v>2</v>
      </c>
    </row>
    <row r="1547" spans="1:4" ht="12.75" x14ac:dyDescent="0.35">
      <c r="A1547" s="4">
        <v>44825</v>
      </c>
      <c r="B1547" s="3" t="s">
        <v>17</v>
      </c>
      <c r="C1547" s="3">
        <v>54.9</v>
      </c>
      <c r="D1547" s="3">
        <v>1</v>
      </c>
    </row>
    <row r="1548" spans="1:4" ht="12.75" x14ac:dyDescent="0.35">
      <c r="A1548" s="4">
        <v>44672</v>
      </c>
      <c r="B1548" s="3" t="s">
        <v>273</v>
      </c>
      <c r="C1548" s="3">
        <v>54.87</v>
      </c>
      <c r="D1548" s="3">
        <v>2</v>
      </c>
    </row>
    <row r="1549" spans="1:4" ht="12.75" x14ac:dyDescent="0.35">
      <c r="A1549" s="4">
        <v>44582</v>
      </c>
      <c r="B1549" s="3" t="s">
        <v>348</v>
      </c>
      <c r="C1549" s="3">
        <v>54.86</v>
      </c>
      <c r="D1549" s="3">
        <v>1</v>
      </c>
    </row>
    <row r="1550" spans="1:4" ht="12.75" x14ac:dyDescent="0.35">
      <c r="A1550" s="5">
        <v>44733</v>
      </c>
      <c r="B1550" s="3" t="s">
        <v>164</v>
      </c>
      <c r="C1550" s="3">
        <v>54.81</v>
      </c>
      <c r="D1550" s="3">
        <v>2</v>
      </c>
    </row>
    <row r="1551" spans="1:4" ht="12.75" x14ac:dyDescent="0.35">
      <c r="A1551" s="4">
        <v>44794</v>
      </c>
      <c r="B1551" s="3" t="s">
        <v>1584</v>
      </c>
      <c r="C1551" s="3">
        <v>54.79</v>
      </c>
      <c r="D1551" s="3">
        <v>3</v>
      </c>
    </row>
    <row r="1552" spans="1:4" ht="12.75" x14ac:dyDescent="0.35">
      <c r="A1552" s="4">
        <v>44794</v>
      </c>
      <c r="B1552" s="3" t="s">
        <v>412</v>
      </c>
      <c r="C1552" s="3">
        <v>54.75</v>
      </c>
      <c r="D1552" s="3">
        <v>4</v>
      </c>
    </row>
    <row r="1553" spans="1:4" ht="12.75" x14ac:dyDescent="0.35">
      <c r="A1553" s="4">
        <v>44794</v>
      </c>
      <c r="B1553" s="3" t="s">
        <v>534</v>
      </c>
      <c r="C1553" s="3">
        <v>54.7</v>
      </c>
      <c r="D1553" s="3">
        <v>7</v>
      </c>
    </row>
    <row r="1554" spans="1:4" ht="12.75" x14ac:dyDescent="0.35">
      <c r="A1554" s="4">
        <v>44794</v>
      </c>
      <c r="B1554" s="3" t="s">
        <v>251</v>
      </c>
      <c r="C1554" s="3">
        <v>54.54</v>
      </c>
      <c r="D1554" s="3">
        <v>4</v>
      </c>
    </row>
    <row r="1555" spans="1:4" ht="12.75" x14ac:dyDescent="0.35">
      <c r="A1555" s="5">
        <v>44733</v>
      </c>
      <c r="B1555" s="3" t="s">
        <v>1226</v>
      </c>
      <c r="C1555" s="3">
        <v>54.5</v>
      </c>
      <c r="D1555" s="3">
        <v>3</v>
      </c>
    </row>
    <row r="1556" spans="1:4" ht="12.75" x14ac:dyDescent="0.35">
      <c r="A1556" s="4">
        <v>44613</v>
      </c>
      <c r="B1556" s="3" t="s">
        <v>264</v>
      </c>
      <c r="C1556" s="3">
        <v>54.49</v>
      </c>
      <c r="D1556" s="3">
        <v>1</v>
      </c>
    </row>
    <row r="1557" spans="1:4" ht="12.75" x14ac:dyDescent="0.35">
      <c r="A1557" s="4">
        <v>44825</v>
      </c>
      <c r="B1557" s="3" t="s">
        <v>15</v>
      </c>
      <c r="C1557" s="3">
        <v>54.49</v>
      </c>
      <c r="D1557" s="3">
        <v>1</v>
      </c>
    </row>
    <row r="1558" spans="1:4" ht="12.75" x14ac:dyDescent="0.35">
      <c r="A1558" s="4">
        <v>44702</v>
      </c>
      <c r="B1558" s="3" t="s">
        <v>406</v>
      </c>
      <c r="C1558" s="3">
        <v>54.48</v>
      </c>
      <c r="D1558" s="3">
        <v>2</v>
      </c>
    </row>
    <row r="1559" spans="1:4" ht="12.75" x14ac:dyDescent="0.35">
      <c r="A1559" s="4">
        <v>44855</v>
      </c>
      <c r="B1559" s="3" t="s">
        <v>362</v>
      </c>
      <c r="C1559" s="3">
        <v>54.48</v>
      </c>
      <c r="D1559" s="3">
        <v>7</v>
      </c>
    </row>
    <row r="1560" spans="1:4" ht="12.75" x14ac:dyDescent="0.35">
      <c r="A1560" s="4">
        <v>44672</v>
      </c>
      <c r="B1560" s="3" t="s">
        <v>923</v>
      </c>
      <c r="C1560" s="3">
        <v>54.27</v>
      </c>
      <c r="D1560" s="3">
        <v>1</v>
      </c>
    </row>
    <row r="1561" spans="1:4" ht="12.75" x14ac:dyDescent="0.35">
      <c r="A1561" s="4">
        <v>44702</v>
      </c>
      <c r="B1561" s="3" t="s">
        <v>4</v>
      </c>
      <c r="C1561" s="3">
        <v>54.27</v>
      </c>
      <c r="D1561" s="3">
        <v>1</v>
      </c>
    </row>
    <row r="1562" spans="1:4" ht="12.75" x14ac:dyDescent="0.35">
      <c r="A1562" s="4">
        <v>44825</v>
      </c>
      <c r="B1562" s="3" t="s">
        <v>243</v>
      </c>
      <c r="C1562" s="3">
        <v>54.22</v>
      </c>
      <c r="D1562" s="3">
        <v>1</v>
      </c>
    </row>
    <row r="1563" spans="1:4" ht="12.75" x14ac:dyDescent="0.35">
      <c r="A1563" s="4">
        <v>44613</v>
      </c>
      <c r="B1563" s="3" t="s">
        <v>453</v>
      </c>
      <c r="C1563" s="3">
        <v>54.16</v>
      </c>
      <c r="D1563" s="3">
        <v>1</v>
      </c>
    </row>
    <row r="1564" spans="1:4" ht="12.75" x14ac:dyDescent="0.35">
      <c r="A1564" s="4">
        <v>44855</v>
      </c>
      <c r="B1564" s="3" t="s">
        <v>287</v>
      </c>
      <c r="C1564" s="3">
        <v>54.14</v>
      </c>
      <c r="D1564" s="3">
        <v>1</v>
      </c>
    </row>
    <row r="1565" spans="1:4" ht="12.75" x14ac:dyDescent="0.35">
      <c r="A1565" s="4">
        <v>44886</v>
      </c>
      <c r="B1565" s="3" t="s">
        <v>248</v>
      </c>
      <c r="C1565" s="3">
        <v>54.1</v>
      </c>
      <c r="D1565" s="3">
        <v>1</v>
      </c>
    </row>
    <row r="1566" spans="1:4" ht="12.75" x14ac:dyDescent="0.35">
      <c r="A1566" s="4">
        <v>44582</v>
      </c>
      <c r="B1566" s="3" t="s">
        <v>125</v>
      </c>
      <c r="C1566" s="3">
        <v>54.05</v>
      </c>
      <c r="D1566" s="3">
        <v>5</v>
      </c>
    </row>
    <row r="1567" spans="1:4" ht="12.75" x14ac:dyDescent="0.35">
      <c r="A1567" s="5">
        <v>44763</v>
      </c>
      <c r="B1567" s="3" t="s">
        <v>577</v>
      </c>
      <c r="C1567" s="3">
        <v>54</v>
      </c>
      <c r="D1567" s="3">
        <v>1</v>
      </c>
    </row>
    <row r="1568" spans="1:4" ht="12.75" x14ac:dyDescent="0.35">
      <c r="A1568" s="4">
        <v>44916</v>
      </c>
      <c r="B1568" s="3" t="s">
        <v>358</v>
      </c>
      <c r="C1568" s="3">
        <v>53.9</v>
      </c>
      <c r="D1568" s="3">
        <v>2</v>
      </c>
    </row>
    <row r="1569" spans="1:4" ht="12.75" x14ac:dyDescent="0.35">
      <c r="A1569" s="4">
        <v>44886</v>
      </c>
      <c r="B1569" s="3" t="s">
        <v>715</v>
      </c>
      <c r="C1569" s="3">
        <v>53.87</v>
      </c>
      <c r="D1569" s="3">
        <v>1</v>
      </c>
    </row>
    <row r="1570" spans="1:4" ht="12.75" x14ac:dyDescent="0.35">
      <c r="A1570" s="4">
        <v>44794</v>
      </c>
      <c r="B1570" s="3" t="s">
        <v>592</v>
      </c>
      <c r="C1570" s="3">
        <v>53.83</v>
      </c>
      <c r="D1570" s="3">
        <v>1</v>
      </c>
    </row>
    <row r="1571" spans="1:4" ht="12.75" x14ac:dyDescent="0.35">
      <c r="A1571" s="5">
        <v>44763</v>
      </c>
      <c r="B1571" s="3" t="s">
        <v>1226</v>
      </c>
      <c r="C1571" s="3">
        <v>53.77</v>
      </c>
      <c r="D1571" s="3">
        <v>3</v>
      </c>
    </row>
    <row r="1572" spans="1:4" ht="12.75" x14ac:dyDescent="0.35">
      <c r="A1572" s="4">
        <v>44855</v>
      </c>
      <c r="B1572" s="3" t="s">
        <v>572</v>
      </c>
      <c r="C1572" s="3">
        <v>53.7</v>
      </c>
      <c r="D1572" s="3">
        <v>2</v>
      </c>
    </row>
    <row r="1573" spans="1:4" ht="12.75" x14ac:dyDescent="0.35">
      <c r="A1573" s="4">
        <v>44582</v>
      </c>
      <c r="B1573" s="3" t="s">
        <v>134</v>
      </c>
      <c r="C1573" s="3">
        <v>53.67</v>
      </c>
      <c r="D1573" s="3">
        <v>2</v>
      </c>
    </row>
    <row r="1574" spans="1:4" ht="12.75" x14ac:dyDescent="0.35">
      <c r="A1574" s="4">
        <v>44613</v>
      </c>
      <c r="B1574" s="3" t="s">
        <v>565</v>
      </c>
      <c r="C1574" s="3">
        <v>53.66</v>
      </c>
      <c r="D1574" s="3">
        <v>3</v>
      </c>
    </row>
    <row r="1575" spans="1:4" ht="12.75" x14ac:dyDescent="0.35">
      <c r="A1575" s="4">
        <v>44794</v>
      </c>
      <c r="B1575" s="3" t="s">
        <v>18</v>
      </c>
      <c r="C1575" s="3">
        <v>53.63</v>
      </c>
      <c r="D1575" s="3">
        <v>2</v>
      </c>
    </row>
    <row r="1576" spans="1:4" ht="12.75" x14ac:dyDescent="0.35">
      <c r="A1576" s="4">
        <v>44916</v>
      </c>
      <c r="B1576" s="3" t="s">
        <v>261</v>
      </c>
      <c r="C1576" s="3">
        <v>53.53</v>
      </c>
      <c r="D1576" s="3">
        <v>1</v>
      </c>
    </row>
    <row r="1577" spans="1:4" ht="12.75" x14ac:dyDescent="0.35">
      <c r="A1577" s="4">
        <v>44794</v>
      </c>
      <c r="B1577" s="3" t="s">
        <v>1605</v>
      </c>
      <c r="C1577" s="3">
        <v>53.51</v>
      </c>
      <c r="D1577" s="3">
        <v>1</v>
      </c>
    </row>
    <row r="1578" spans="1:4" ht="12.75" x14ac:dyDescent="0.35">
      <c r="A1578" s="4">
        <v>44825</v>
      </c>
      <c r="B1578" s="3" t="s">
        <v>377</v>
      </c>
      <c r="C1578" s="3">
        <v>53.46</v>
      </c>
      <c r="D1578" s="3">
        <v>1</v>
      </c>
    </row>
    <row r="1579" spans="1:4" ht="12.75" x14ac:dyDescent="0.35">
      <c r="A1579" s="4">
        <v>44855</v>
      </c>
      <c r="B1579" s="3" t="s">
        <v>259</v>
      </c>
      <c r="C1579" s="3">
        <v>53.26</v>
      </c>
      <c r="D1579" s="3">
        <v>2</v>
      </c>
    </row>
    <row r="1580" spans="1:4" ht="12.75" x14ac:dyDescent="0.35">
      <c r="A1580" s="4">
        <v>44886</v>
      </c>
      <c r="B1580" s="3" t="s">
        <v>306</v>
      </c>
      <c r="C1580" s="3">
        <v>53.19</v>
      </c>
      <c r="D1580" s="3">
        <v>1</v>
      </c>
    </row>
    <row r="1581" spans="1:4" ht="12.75" x14ac:dyDescent="0.35">
      <c r="A1581" s="4">
        <v>44672</v>
      </c>
      <c r="B1581" s="3" t="s">
        <v>557</v>
      </c>
      <c r="C1581" s="3">
        <v>53.15</v>
      </c>
      <c r="D1581" s="3">
        <v>3</v>
      </c>
    </row>
    <row r="1582" spans="1:4" ht="12.75" x14ac:dyDescent="0.35">
      <c r="A1582" s="4">
        <v>44794</v>
      </c>
      <c r="B1582" s="3" t="s">
        <v>358</v>
      </c>
      <c r="C1582" s="3">
        <v>53.1</v>
      </c>
      <c r="D1582" s="3">
        <v>2</v>
      </c>
    </row>
    <row r="1583" spans="1:4" ht="12.75" x14ac:dyDescent="0.35">
      <c r="A1583" s="4">
        <v>44855</v>
      </c>
      <c r="B1583" s="3" t="s">
        <v>1669</v>
      </c>
      <c r="C1583" s="3">
        <v>53.08</v>
      </c>
      <c r="D1583" s="3">
        <v>2</v>
      </c>
    </row>
    <row r="1584" spans="1:4" ht="12.75" x14ac:dyDescent="0.35">
      <c r="A1584" s="4">
        <v>44886</v>
      </c>
      <c r="B1584" s="3" t="s">
        <v>287</v>
      </c>
      <c r="C1584" s="3">
        <v>52.91</v>
      </c>
      <c r="D1584" s="3">
        <v>1</v>
      </c>
    </row>
    <row r="1585" spans="1:4" ht="12.75" x14ac:dyDescent="0.35">
      <c r="A1585" s="4">
        <v>44825</v>
      </c>
      <c r="B1585" s="3" t="s">
        <v>34</v>
      </c>
      <c r="C1585" s="3">
        <v>52.89</v>
      </c>
      <c r="D1585" s="3">
        <v>1</v>
      </c>
    </row>
    <row r="1586" spans="1:4" ht="12.75" x14ac:dyDescent="0.35">
      <c r="A1586" s="4">
        <v>44916</v>
      </c>
      <c r="B1586" s="3" t="s">
        <v>1862</v>
      </c>
      <c r="C1586" s="3">
        <v>52.87</v>
      </c>
      <c r="D1586" s="3">
        <v>1</v>
      </c>
    </row>
    <row r="1587" spans="1:4" ht="12.75" x14ac:dyDescent="0.35">
      <c r="A1587" s="5">
        <v>44733</v>
      </c>
      <c r="B1587" s="3" t="s">
        <v>362</v>
      </c>
      <c r="C1587" s="3">
        <v>52.8</v>
      </c>
      <c r="D1587" s="3">
        <v>7</v>
      </c>
    </row>
    <row r="1588" spans="1:4" ht="12.75" x14ac:dyDescent="0.35">
      <c r="A1588" s="4">
        <v>44641</v>
      </c>
      <c r="B1588" s="3" t="s">
        <v>460</v>
      </c>
      <c r="C1588" s="3">
        <v>52.78</v>
      </c>
      <c r="D1588" s="3">
        <v>4</v>
      </c>
    </row>
    <row r="1589" spans="1:4" ht="12.75" x14ac:dyDescent="0.35">
      <c r="A1589" s="4">
        <v>44855</v>
      </c>
      <c r="B1589" s="3" t="s">
        <v>931</v>
      </c>
      <c r="C1589" s="3">
        <v>52.76</v>
      </c>
      <c r="D1589" s="3">
        <v>1</v>
      </c>
    </row>
    <row r="1590" spans="1:4" ht="12.75" x14ac:dyDescent="0.35">
      <c r="A1590" s="4">
        <v>44886</v>
      </c>
      <c r="B1590" s="3" t="s">
        <v>1725</v>
      </c>
      <c r="C1590" s="3">
        <v>52.73</v>
      </c>
      <c r="D1590" s="3">
        <v>1</v>
      </c>
    </row>
    <row r="1591" spans="1:4" ht="12.75" x14ac:dyDescent="0.35">
      <c r="A1591" s="4">
        <v>44613</v>
      </c>
      <c r="B1591" s="3" t="s">
        <v>4</v>
      </c>
      <c r="C1591" s="3">
        <v>52.72</v>
      </c>
      <c r="D1591" s="3">
        <v>1</v>
      </c>
    </row>
    <row r="1592" spans="1:4" ht="12.75" x14ac:dyDescent="0.35">
      <c r="A1592" s="4">
        <v>44855</v>
      </c>
      <c r="B1592" s="3" t="s">
        <v>209</v>
      </c>
      <c r="C1592" s="3">
        <v>52.69</v>
      </c>
      <c r="D1592" s="3">
        <v>1</v>
      </c>
    </row>
    <row r="1593" spans="1:4" ht="12.75" x14ac:dyDescent="0.35">
      <c r="A1593" s="4">
        <v>44582</v>
      </c>
      <c r="B1593" s="3" t="s">
        <v>350</v>
      </c>
      <c r="C1593" s="3">
        <v>52.65</v>
      </c>
      <c r="D1593" s="3">
        <v>1</v>
      </c>
    </row>
    <row r="1594" spans="1:4" ht="12.75" x14ac:dyDescent="0.35">
      <c r="A1594" s="4">
        <v>44702</v>
      </c>
      <c r="B1594" s="3" t="s">
        <v>35</v>
      </c>
      <c r="C1594" s="3">
        <v>52.59</v>
      </c>
      <c r="D1594" s="3">
        <v>1</v>
      </c>
    </row>
    <row r="1595" spans="1:4" ht="12.75" x14ac:dyDescent="0.35">
      <c r="A1595" s="5">
        <v>44763</v>
      </c>
      <c r="B1595" s="3" t="s">
        <v>261</v>
      </c>
      <c r="C1595" s="3">
        <v>52.59</v>
      </c>
      <c r="D1595" s="3">
        <v>1</v>
      </c>
    </row>
    <row r="1596" spans="1:4" ht="12.75" x14ac:dyDescent="0.35">
      <c r="A1596" s="4">
        <v>44613</v>
      </c>
      <c r="B1596" s="3" t="s">
        <v>413</v>
      </c>
      <c r="C1596" s="3">
        <v>52.54</v>
      </c>
      <c r="D1596" s="3">
        <v>2</v>
      </c>
    </row>
    <row r="1597" spans="1:4" ht="12.75" x14ac:dyDescent="0.35">
      <c r="A1597" s="4">
        <v>44825</v>
      </c>
      <c r="B1597" s="3" t="s">
        <v>298</v>
      </c>
      <c r="C1597" s="3">
        <v>52.53</v>
      </c>
      <c r="D1597" s="3">
        <v>1</v>
      </c>
    </row>
    <row r="1598" spans="1:4" ht="12.75" x14ac:dyDescent="0.35">
      <c r="A1598" s="4">
        <v>44855</v>
      </c>
      <c r="B1598" s="3" t="s">
        <v>377</v>
      </c>
      <c r="C1598" s="3">
        <v>52.52</v>
      </c>
      <c r="D1598" s="3">
        <v>1</v>
      </c>
    </row>
    <row r="1599" spans="1:4" ht="12.75" x14ac:dyDescent="0.35">
      <c r="A1599" s="4">
        <v>44672</v>
      </c>
      <c r="B1599" s="3" t="s">
        <v>285</v>
      </c>
      <c r="C1599" s="3">
        <v>52.5</v>
      </c>
      <c r="D1599" s="3">
        <v>1</v>
      </c>
    </row>
    <row r="1600" spans="1:4" ht="12.75" x14ac:dyDescent="0.35">
      <c r="A1600" s="4">
        <v>44855</v>
      </c>
      <c r="B1600" s="3" t="s">
        <v>780</v>
      </c>
      <c r="C1600" s="3">
        <v>52.49</v>
      </c>
      <c r="D1600" s="3">
        <v>2</v>
      </c>
    </row>
    <row r="1601" spans="1:4" ht="12.75" x14ac:dyDescent="0.35">
      <c r="A1601" s="4">
        <v>44886</v>
      </c>
      <c r="B1601" s="3" t="s">
        <v>289</v>
      </c>
      <c r="C1601" s="3">
        <v>52.45</v>
      </c>
      <c r="D1601" s="3">
        <v>2</v>
      </c>
    </row>
    <row r="1602" spans="1:4" ht="12.75" x14ac:dyDescent="0.35">
      <c r="A1602" s="5">
        <v>44733</v>
      </c>
      <c r="B1602" s="3" t="s">
        <v>1099</v>
      </c>
      <c r="C1602" s="3">
        <v>52.33</v>
      </c>
      <c r="D1602" s="3">
        <v>1</v>
      </c>
    </row>
    <row r="1603" spans="1:4" ht="12.75" x14ac:dyDescent="0.35">
      <c r="A1603" s="4">
        <v>44794</v>
      </c>
      <c r="B1603" s="3" t="s">
        <v>153</v>
      </c>
      <c r="C1603" s="3">
        <v>52.19</v>
      </c>
      <c r="D1603" s="3">
        <v>1</v>
      </c>
    </row>
    <row r="1604" spans="1:4" ht="12.75" x14ac:dyDescent="0.35">
      <c r="A1604" s="5">
        <v>44763</v>
      </c>
      <c r="B1604" s="3" t="s">
        <v>466</v>
      </c>
      <c r="C1604" s="3">
        <v>52.13</v>
      </c>
      <c r="D1604" s="3">
        <v>1</v>
      </c>
    </row>
    <row r="1605" spans="1:4" ht="12.75" x14ac:dyDescent="0.35">
      <c r="A1605" s="4">
        <v>44916</v>
      </c>
      <c r="B1605" s="3" t="s">
        <v>1208</v>
      </c>
      <c r="C1605" s="3">
        <v>52.11</v>
      </c>
      <c r="D1605" s="3">
        <v>2</v>
      </c>
    </row>
    <row r="1606" spans="1:4" ht="12.75" x14ac:dyDescent="0.35">
      <c r="A1606" s="4">
        <v>44672</v>
      </c>
      <c r="B1606" s="3" t="s">
        <v>727</v>
      </c>
      <c r="C1606" s="3">
        <v>52.09</v>
      </c>
      <c r="D1606" s="3">
        <v>2</v>
      </c>
    </row>
    <row r="1607" spans="1:4" ht="12.75" x14ac:dyDescent="0.35">
      <c r="A1607" s="4">
        <v>44641</v>
      </c>
      <c r="B1607" s="3" t="s">
        <v>197</v>
      </c>
      <c r="C1607" s="3">
        <v>52.08</v>
      </c>
      <c r="D1607" s="3">
        <v>1</v>
      </c>
    </row>
    <row r="1608" spans="1:4" ht="12.75" x14ac:dyDescent="0.35">
      <c r="A1608" s="4">
        <v>44916</v>
      </c>
      <c r="B1608" s="3" t="s">
        <v>299</v>
      </c>
      <c r="C1608" s="3">
        <v>52.04</v>
      </c>
      <c r="D1608" s="3">
        <v>2</v>
      </c>
    </row>
    <row r="1609" spans="1:4" ht="12.75" x14ac:dyDescent="0.35">
      <c r="A1609" s="5">
        <v>44733</v>
      </c>
      <c r="B1609" s="3" t="s">
        <v>347</v>
      </c>
      <c r="C1609" s="3">
        <v>52.03</v>
      </c>
      <c r="D1609" s="3">
        <v>1</v>
      </c>
    </row>
    <row r="1610" spans="1:4" ht="12.75" x14ac:dyDescent="0.35">
      <c r="A1610" s="4">
        <v>44855</v>
      </c>
      <c r="B1610" s="3" t="s">
        <v>180</v>
      </c>
      <c r="C1610" s="3">
        <v>51.64</v>
      </c>
      <c r="D1610" s="3">
        <v>1</v>
      </c>
    </row>
    <row r="1611" spans="1:4" ht="12.75" x14ac:dyDescent="0.35">
      <c r="A1611" s="4">
        <v>44916</v>
      </c>
      <c r="B1611" s="3" t="s">
        <v>514</v>
      </c>
      <c r="C1611" s="3">
        <v>51.59</v>
      </c>
      <c r="D1611" s="3">
        <v>1</v>
      </c>
    </row>
    <row r="1612" spans="1:4" ht="12.75" x14ac:dyDescent="0.35">
      <c r="A1612" s="4">
        <v>44582</v>
      </c>
      <c r="B1612" s="3" t="s">
        <v>386</v>
      </c>
      <c r="C1612" s="3">
        <v>51.58</v>
      </c>
      <c r="D1612" s="3">
        <v>1</v>
      </c>
    </row>
    <row r="1613" spans="1:4" ht="12.75" x14ac:dyDescent="0.35">
      <c r="A1613" s="4">
        <v>44886</v>
      </c>
      <c r="B1613" s="3" t="s">
        <v>853</v>
      </c>
      <c r="C1613" s="3">
        <v>51.53</v>
      </c>
      <c r="D1613" s="3">
        <v>1</v>
      </c>
    </row>
    <row r="1614" spans="1:4" ht="12.75" x14ac:dyDescent="0.35">
      <c r="A1614" s="4">
        <v>44641</v>
      </c>
      <c r="B1614" s="3" t="s">
        <v>479</v>
      </c>
      <c r="C1614" s="3">
        <v>51.51</v>
      </c>
      <c r="D1614" s="3">
        <v>3</v>
      </c>
    </row>
    <row r="1615" spans="1:4" ht="12.75" x14ac:dyDescent="0.35">
      <c r="A1615" s="4">
        <v>44855</v>
      </c>
      <c r="B1615" s="3" t="s">
        <v>48</v>
      </c>
      <c r="C1615" s="3">
        <v>51.47</v>
      </c>
      <c r="D1615" s="3">
        <v>4</v>
      </c>
    </row>
    <row r="1616" spans="1:4" ht="12.75" x14ac:dyDescent="0.35">
      <c r="A1616" s="4">
        <v>44855</v>
      </c>
      <c r="B1616" s="3" t="s">
        <v>541</v>
      </c>
      <c r="C1616" s="3">
        <v>51.46</v>
      </c>
      <c r="D1616" s="3">
        <v>2</v>
      </c>
    </row>
    <row r="1617" spans="1:4" ht="12.75" x14ac:dyDescent="0.35">
      <c r="A1617" s="4">
        <v>44613</v>
      </c>
      <c r="B1617" s="3" t="s">
        <v>119</v>
      </c>
      <c r="C1617" s="3">
        <v>51.41</v>
      </c>
      <c r="D1617" s="3">
        <v>1</v>
      </c>
    </row>
    <row r="1618" spans="1:4" ht="12.75" x14ac:dyDescent="0.35">
      <c r="A1618" s="5">
        <v>44733</v>
      </c>
      <c r="B1618" s="3" t="s">
        <v>574</v>
      </c>
      <c r="C1618" s="3">
        <v>51.39</v>
      </c>
      <c r="D1618" s="3">
        <v>1</v>
      </c>
    </row>
    <row r="1619" spans="1:4" ht="12.75" x14ac:dyDescent="0.35">
      <c r="A1619" s="4">
        <v>44916</v>
      </c>
      <c r="B1619" s="3" t="s">
        <v>379</v>
      </c>
      <c r="C1619" s="3">
        <v>51.08</v>
      </c>
      <c r="D1619" s="3">
        <v>1</v>
      </c>
    </row>
    <row r="1620" spans="1:4" ht="12.75" x14ac:dyDescent="0.35">
      <c r="A1620" s="4">
        <v>44702</v>
      </c>
      <c r="B1620" s="3" t="s">
        <v>1085</v>
      </c>
      <c r="C1620" s="3">
        <v>50.99</v>
      </c>
      <c r="D1620" s="3">
        <v>1</v>
      </c>
    </row>
    <row r="1621" spans="1:4" ht="12.75" x14ac:dyDescent="0.35">
      <c r="A1621" s="4">
        <v>44613</v>
      </c>
      <c r="B1621" s="3" t="s">
        <v>46</v>
      </c>
      <c r="C1621" s="3">
        <v>50.98</v>
      </c>
      <c r="D1621" s="3">
        <v>1</v>
      </c>
    </row>
    <row r="1622" spans="1:4" ht="12.75" x14ac:dyDescent="0.35">
      <c r="A1622" s="4">
        <v>44916</v>
      </c>
      <c r="B1622" s="3" t="s">
        <v>437</v>
      </c>
      <c r="C1622" s="3">
        <v>50.92</v>
      </c>
      <c r="D1622" s="3">
        <v>1</v>
      </c>
    </row>
    <row r="1623" spans="1:4" ht="12.75" x14ac:dyDescent="0.35">
      <c r="A1623" s="4">
        <v>44855</v>
      </c>
      <c r="B1623" s="3" t="s">
        <v>1025</v>
      </c>
      <c r="C1623" s="3">
        <v>50.85</v>
      </c>
      <c r="D1623" s="3">
        <v>1</v>
      </c>
    </row>
    <row r="1624" spans="1:4" ht="12.75" x14ac:dyDescent="0.35">
      <c r="A1624" s="4">
        <v>44855</v>
      </c>
      <c r="B1624" s="3" t="s">
        <v>103</v>
      </c>
      <c r="C1624" s="3">
        <v>50.84</v>
      </c>
      <c r="D1624" s="3">
        <v>6</v>
      </c>
    </row>
    <row r="1625" spans="1:4" ht="12.75" x14ac:dyDescent="0.35">
      <c r="A1625" s="4">
        <v>44825</v>
      </c>
      <c r="B1625" s="3" t="s">
        <v>358</v>
      </c>
      <c r="C1625" s="3">
        <v>50.81</v>
      </c>
      <c r="D1625" s="3">
        <v>2</v>
      </c>
    </row>
    <row r="1626" spans="1:4" ht="12.75" x14ac:dyDescent="0.35">
      <c r="A1626" s="5">
        <v>44733</v>
      </c>
      <c r="B1626" s="3" t="s">
        <v>1035</v>
      </c>
      <c r="C1626" s="3">
        <v>50.65</v>
      </c>
      <c r="D1626" s="3">
        <v>2</v>
      </c>
    </row>
    <row r="1627" spans="1:4" ht="12.75" x14ac:dyDescent="0.35">
      <c r="A1627" s="4">
        <v>44794</v>
      </c>
      <c r="B1627" s="3" t="s">
        <v>334</v>
      </c>
      <c r="C1627" s="3">
        <v>50.63</v>
      </c>
      <c r="D1627" s="3">
        <v>1</v>
      </c>
    </row>
    <row r="1628" spans="1:4" ht="12.75" x14ac:dyDescent="0.35">
      <c r="A1628" s="4">
        <v>44825</v>
      </c>
      <c r="B1628" s="3" t="s">
        <v>190</v>
      </c>
      <c r="C1628" s="3">
        <v>50.43</v>
      </c>
      <c r="D1628" s="3">
        <v>1</v>
      </c>
    </row>
    <row r="1629" spans="1:4" ht="12.75" x14ac:dyDescent="0.35">
      <c r="A1629" s="4">
        <v>44886</v>
      </c>
      <c r="B1629" s="3" t="s">
        <v>1538</v>
      </c>
      <c r="C1629" s="3">
        <v>50.41</v>
      </c>
      <c r="D1629" s="3">
        <v>1</v>
      </c>
    </row>
    <row r="1630" spans="1:4" ht="12.75" x14ac:dyDescent="0.35">
      <c r="A1630" s="4">
        <v>44916</v>
      </c>
      <c r="B1630" s="3" t="s">
        <v>1147</v>
      </c>
      <c r="C1630" s="3">
        <v>50.41</v>
      </c>
      <c r="D1630" s="3">
        <v>1</v>
      </c>
    </row>
    <row r="1631" spans="1:4" ht="12.75" x14ac:dyDescent="0.35">
      <c r="A1631" s="5">
        <v>44733</v>
      </c>
      <c r="B1631" s="3" t="s">
        <v>11</v>
      </c>
      <c r="C1631" s="3">
        <v>50.33</v>
      </c>
      <c r="D1631" s="3">
        <v>2</v>
      </c>
    </row>
    <row r="1632" spans="1:4" ht="12.75" x14ac:dyDescent="0.35">
      <c r="A1632" s="4">
        <v>44794</v>
      </c>
      <c r="B1632" s="3" t="s">
        <v>472</v>
      </c>
      <c r="C1632" s="3">
        <v>50.28</v>
      </c>
      <c r="D1632" s="3">
        <v>1</v>
      </c>
    </row>
    <row r="1633" spans="1:4" ht="12.75" x14ac:dyDescent="0.35">
      <c r="A1633" s="4">
        <v>44582</v>
      </c>
      <c r="B1633" s="3" t="s">
        <v>322</v>
      </c>
      <c r="C1633" s="3">
        <v>50.27</v>
      </c>
      <c r="D1633" s="3">
        <v>1</v>
      </c>
    </row>
    <row r="1634" spans="1:4" ht="12.75" x14ac:dyDescent="0.35">
      <c r="A1634" s="4">
        <v>44855</v>
      </c>
      <c r="B1634" s="3" t="s">
        <v>176</v>
      </c>
      <c r="C1634" s="3">
        <v>50.23</v>
      </c>
      <c r="D1634" s="3">
        <v>1</v>
      </c>
    </row>
    <row r="1635" spans="1:4" ht="12.75" x14ac:dyDescent="0.35">
      <c r="A1635" s="5">
        <v>44763</v>
      </c>
      <c r="B1635" s="3" t="s">
        <v>725</v>
      </c>
      <c r="C1635" s="3">
        <v>50.07</v>
      </c>
      <c r="D1635" s="3">
        <v>1</v>
      </c>
    </row>
    <row r="1636" spans="1:4" ht="12.75" x14ac:dyDescent="0.35">
      <c r="A1636" s="4">
        <v>44641</v>
      </c>
      <c r="B1636" s="3" t="s">
        <v>794</v>
      </c>
      <c r="C1636" s="3">
        <v>50</v>
      </c>
      <c r="D1636" s="3">
        <v>1</v>
      </c>
    </row>
    <row r="1637" spans="1:4" ht="12.75" x14ac:dyDescent="0.35">
      <c r="A1637" s="4">
        <v>44702</v>
      </c>
      <c r="B1637" s="3" t="s">
        <v>1035</v>
      </c>
      <c r="C1637" s="3">
        <v>49.99</v>
      </c>
      <c r="D1637" s="3">
        <v>2</v>
      </c>
    </row>
    <row r="1638" spans="1:4" ht="12.75" x14ac:dyDescent="0.35">
      <c r="A1638" s="5">
        <v>44733</v>
      </c>
      <c r="B1638" s="3" t="s">
        <v>81</v>
      </c>
      <c r="C1638" s="3">
        <v>49.72</v>
      </c>
      <c r="D1638" s="3">
        <v>1</v>
      </c>
    </row>
    <row r="1639" spans="1:4" ht="12.75" x14ac:dyDescent="0.35">
      <c r="A1639" s="4">
        <v>44582</v>
      </c>
      <c r="B1639" s="3" t="s">
        <v>251</v>
      </c>
      <c r="C1639" s="3">
        <v>49.71</v>
      </c>
      <c r="D1639" s="3">
        <v>4</v>
      </c>
    </row>
    <row r="1640" spans="1:4" ht="12.75" x14ac:dyDescent="0.35">
      <c r="A1640" s="4">
        <v>44672</v>
      </c>
      <c r="B1640" s="3" t="s">
        <v>47</v>
      </c>
      <c r="C1640" s="3">
        <v>49.64</v>
      </c>
      <c r="D1640" s="3">
        <v>1</v>
      </c>
    </row>
    <row r="1641" spans="1:4" ht="12.75" x14ac:dyDescent="0.35">
      <c r="A1641" s="4">
        <v>44641</v>
      </c>
      <c r="B1641" s="3" t="s">
        <v>467</v>
      </c>
      <c r="C1641" s="3">
        <v>49.62</v>
      </c>
      <c r="D1641" s="3">
        <v>1</v>
      </c>
    </row>
    <row r="1642" spans="1:4" ht="12.75" x14ac:dyDescent="0.35">
      <c r="A1642" s="4">
        <v>44886</v>
      </c>
      <c r="B1642" s="3" t="s">
        <v>145</v>
      </c>
      <c r="C1642" s="3">
        <v>49.62</v>
      </c>
      <c r="D1642" s="3">
        <v>1</v>
      </c>
    </row>
    <row r="1643" spans="1:4" ht="12.75" x14ac:dyDescent="0.35">
      <c r="A1643" s="4">
        <v>44916</v>
      </c>
      <c r="B1643" s="3" t="s">
        <v>1919</v>
      </c>
      <c r="C1643" s="3">
        <v>49.61</v>
      </c>
      <c r="D1643" s="3">
        <v>2</v>
      </c>
    </row>
    <row r="1644" spans="1:4" ht="12.75" x14ac:dyDescent="0.35">
      <c r="A1644" s="4">
        <v>44702</v>
      </c>
      <c r="B1644" s="3" t="s">
        <v>594</v>
      </c>
      <c r="C1644" s="3">
        <v>49.6</v>
      </c>
      <c r="D1644" s="3">
        <v>4</v>
      </c>
    </row>
    <row r="1645" spans="1:4" ht="12.75" x14ac:dyDescent="0.35">
      <c r="A1645" s="4">
        <v>44886</v>
      </c>
      <c r="B1645" s="3" t="s">
        <v>477</v>
      </c>
      <c r="C1645" s="3">
        <v>49.57</v>
      </c>
      <c r="D1645" s="3">
        <v>9</v>
      </c>
    </row>
    <row r="1646" spans="1:4" ht="12.75" x14ac:dyDescent="0.35">
      <c r="A1646" s="4">
        <v>44855</v>
      </c>
      <c r="B1646" s="3" t="s">
        <v>396</v>
      </c>
      <c r="C1646" s="3">
        <v>49.52</v>
      </c>
      <c r="D1646" s="3">
        <v>1</v>
      </c>
    </row>
    <row r="1647" spans="1:4" ht="12.75" x14ac:dyDescent="0.35">
      <c r="A1647" s="5">
        <v>44733</v>
      </c>
      <c r="B1647" s="3" t="s">
        <v>1352</v>
      </c>
      <c r="C1647" s="3">
        <v>49.5</v>
      </c>
      <c r="D1647" s="3">
        <v>1</v>
      </c>
    </row>
    <row r="1648" spans="1:4" ht="12.75" x14ac:dyDescent="0.35">
      <c r="A1648" s="4">
        <v>44613</v>
      </c>
      <c r="B1648" s="3" t="s">
        <v>593</v>
      </c>
      <c r="C1648" s="3">
        <v>49.47</v>
      </c>
      <c r="D1648" s="3">
        <v>1</v>
      </c>
    </row>
    <row r="1649" spans="1:4" ht="12.75" x14ac:dyDescent="0.35">
      <c r="A1649" s="4">
        <v>44825</v>
      </c>
      <c r="B1649" s="3" t="s">
        <v>1085</v>
      </c>
      <c r="C1649" s="3">
        <v>49.39</v>
      </c>
      <c r="D1649" s="3">
        <v>1</v>
      </c>
    </row>
    <row r="1650" spans="1:4" ht="12.75" x14ac:dyDescent="0.35">
      <c r="A1650" s="4">
        <v>44702</v>
      </c>
      <c r="B1650" s="3" t="s">
        <v>1098</v>
      </c>
      <c r="C1650" s="3">
        <v>49.33</v>
      </c>
      <c r="D1650" s="3">
        <v>1</v>
      </c>
    </row>
    <row r="1651" spans="1:4" ht="12.75" x14ac:dyDescent="0.35">
      <c r="A1651" s="4">
        <v>44794</v>
      </c>
      <c r="B1651" s="3" t="s">
        <v>293</v>
      </c>
      <c r="C1651" s="3">
        <v>49.31</v>
      </c>
      <c r="D1651" s="3">
        <v>4</v>
      </c>
    </row>
    <row r="1652" spans="1:4" ht="12.75" x14ac:dyDescent="0.35">
      <c r="A1652" s="4">
        <v>44886</v>
      </c>
      <c r="B1652" s="3" t="s">
        <v>15</v>
      </c>
      <c r="C1652" s="3">
        <v>49.13</v>
      </c>
      <c r="D1652" s="3">
        <v>1</v>
      </c>
    </row>
    <row r="1653" spans="1:4" ht="12.75" x14ac:dyDescent="0.35">
      <c r="A1653" s="4">
        <v>44672</v>
      </c>
      <c r="B1653" s="3" t="s">
        <v>37</v>
      </c>
      <c r="C1653" s="3">
        <v>49</v>
      </c>
      <c r="D1653" s="3">
        <v>1</v>
      </c>
    </row>
    <row r="1654" spans="1:4" ht="12.75" x14ac:dyDescent="0.35">
      <c r="A1654" s="4">
        <v>44916</v>
      </c>
      <c r="B1654" s="3" t="s">
        <v>931</v>
      </c>
      <c r="C1654" s="3">
        <v>48.98</v>
      </c>
      <c r="D1654" s="3">
        <v>1</v>
      </c>
    </row>
    <row r="1655" spans="1:4" ht="12.75" x14ac:dyDescent="0.35">
      <c r="A1655" s="5">
        <v>44763</v>
      </c>
      <c r="B1655" s="3" t="s">
        <v>103</v>
      </c>
      <c r="C1655" s="3">
        <v>48.97</v>
      </c>
      <c r="D1655" s="3">
        <v>6</v>
      </c>
    </row>
    <row r="1656" spans="1:4" ht="12.75" x14ac:dyDescent="0.35">
      <c r="A1656" s="4">
        <v>44794</v>
      </c>
      <c r="B1656" s="3" t="s">
        <v>306</v>
      </c>
      <c r="C1656" s="3">
        <v>48.95</v>
      </c>
      <c r="D1656" s="3">
        <v>1</v>
      </c>
    </row>
    <row r="1657" spans="1:4" ht="12.75" x14ac:dyDescent="0.35">
      <c r="A1657" s="4">
        <v>44641</v>
      </c>
      <c r="B1657" s="3" t="s">
        <v>622</v>
      </c>
      <c r="C1657" s="3">
        <v>48.76</v>
      </c>
      <c r="D1657" s="3">
        <v>4</v>
      </c>
    </row>
    <row r="1658" spans="1:4" ht="12.75" x14ac:dyDescent="0.35">
      <c r="A1658" s="4">
        <v>44916</v>
      </c>
      <c r="B1658" s="3" t="s">
        <v>209</v>
      </c>
      <c r="C1658" s="3">
        <v>48.63</v>
      </c>
      <c r="D1658" s="3">
        <v>1</v>
      </c>
    </row>
    <row r="1659" spans="1:4" ht="12.75" x14ac:dyDescent="0.35">
      <c r="A1659" s="4">
        <v>44855</v>
      </c>
      <c r="B1659" s="3" t="s">
        <v>96</v>
      </c>
      <c r="C1659" s="3">
        <v>48.56</v>
      </c>
      <c r="D1659" s="3">
        <v>1</v>
      </c>
    </row>
    <row r="1660" spans="1:4" ht="12.75" x14ac:dyDescent="0.35">
      <c r="A1660" s="4">
        <v>44672</v>
      </c>
      <c r="B1660" s="3" t="s">
        <v>725</v>
      </c>
      <c r="C1660" s="3">
        <v>48.55</v>
      </c>
      <c r="D1660" s="3">
        <v>1</v>
      </c>
    </row>
    <row r="1661" spans="1:4" ht="12.75" x14ac:dyDescent="0.35">
      <c r="A1661" s="4">
        <v>44825</v>
      </c>
      <c r="B1661" s="3" t="s">
        <v>248</v>
      </c>
      <c r="C1661" s="3">
        <v>48.41</v>
      </c>
      <c r="D1661" s="3">
        <v>1</v>
      </c>
    </row>
    <row r="1662" spans="1:4" ht="12.75" x14ac:dyDescent="0.35">
      <c r="A1662" s="4">
        <v>44886</v>
      </c>
      <c r="B1662" s="3" t="s">
        <v>430</v>
      </c>
      <c r="C1662" s="3">
        <v>48.31</v>
      </c>
      <c r="D1662" s="3">
        <v>1</v>
      </c>
    </row>
    <row r="1663" spans="1:4" ht="12.75" x14ac:dyDescent="0.35">
      <c r="A1663" s="4">
        <v>44916</v>
      </c>
      <c r="B1663" s="3" t="s">
        <v>1127</v>
      </c>
      <c r="C1663" s="3">
        <v>48.27</v>
      </c>
      <c r="D1663" s="3">
        <v>1</v>
      </c>
    </row>
    <row r="1664" spans="1:4" ht="12.75" x14ac:dyDescent="0.35">
      <c r="A1664" s="4">
        <v>44613</v>
      </c>
      <c r="B1664" s="3" t="s">
        <v>529</v>
      </c>
      <c r="C1664" s="3">
        <v>48.22</v>
      </c>
      <c r="D1664" s="3">
        <v>6</v>
      </c>
    </row>
    <row r="1665" spans="1:4" ht="12.75" x14ac:dyDescent="0.35">
      <c r="A1665" s="4">
        <v>44794</v>
      </c>
      <c r="B1665" s="3" t="s">
        <v>106</v>
      </c>
      <c r="C1665" s="3">
        <v>48.22</v>
      </c>
      <c r="D1665" s="3">
        <v>1</v>
      </c>
    </row>
    <row r="1666" spans="1:4" ht="12.75" x14ac:dyDescent="0.35">
      <c r="A1666" s="5">
        <v>44763</v>
      </c>
      <c r="B1666" s="3" t="s">
        <v>395</v>
      </c>
      <c r="C1666" s="3">
        <v>48.19</v>
      </c>
      <c r="D1666" s="3">
        <v>1</v>
      </c>
    </row>
    <row r="1667" spans="1:4" ht="12.75" x14ac:dyDescent="0.35">
      <c r="A1667" s="4">
        <v>44641</v>
      </c>
      <c r="B1667" s="3" t="s">
        <v>253</v>
      </c>
      <c r="C1667" s="3">
        <v>48.13</v>
      </c>
      <c r="D1667" s="3">
        <v>3</v>
      </c>
    </row>
    <row r="1668" spans="1:4" ht="12.75" x14ac:dyDescent="0.35">
      <c r="A1668" s="4">
        <v>44702</v>
      </c>
      <c r="B1668" s="3" t="s">
        <v>833</v>
      </c>
      <c r="C1668" s="3">
        <v>48.01</v>
      </c>
      <c r="D1668" s="3">
        <v>1</v>
      </c>
    </row>
    <row r="1669" spans="1:4" ht="12.75" x14ac:dyDescent="0.35">
      <c r="A1669" s="4">
        <v>44886</v>
      </c>
      <c r="B1669" s="3" t="s">
        <v>695</v>
      </c>
      <c r="C1669" s="3">
        <v>47.97</v>
      </c>
      <c r="D1669" s="3">
        <v>1</v>
      </c>
    </row>
    <row r="1670" spans="1:4" ht="12.75" x14ac:dyDescent="0.35">
      <c r="A1670" s="4">
        <v>44916</v>
      </c>
      <c r="B1670" s="3" t="s">
        <v>453</v>
      </c>
      <c r="C1670" s="3">
        <v>47.92</v>
      </c>
      <c r="D1670" s="3">
        <v>1</v>
      </c>
    </row>
    <row r="1671" spans="1:4" ht="12.75" x14ac:dyDescent="0.35">
      <c r="A1671" s="4">
        <v>44855</v>
      </c>
      <c r="B1671" s="3" t="s">
        <v>212</v>
      </c>
      <c r="C1671" s="3">
        <v>47.87</v>
      </c>
      <c r="D1671" s="3">
        <v>2</v>
      </c>
    </row>
    <row r="1672" spans="1:4" ht="12.75" x14ac:dyDescent="0.35">
      <c r="A1672" s="4">
        <v>44794</v>
      </c>
      <c r="B1672" s="3" t="s">
        <v>456</v>
      </c>
      <c r="C1672" s="3">
        <v>47.72</v>
      </c>
      <c r="D1672" s="3">
        <v>4</v>
      </c>
    </row>
    <row r="1673" spans="1:4" ht="12.75" x14ac:dyDescent="0.35">
      <c r="A1673" s="4">
        <v>44702</v>
      </c>
      <c r="B1673" s="3" t="s">
        <v>372</v>
      </c>
      <c r="C1673" s="3">
        <v>47.63</v>
      </c>
      <c r="D1673" s="3">
        <v>1</v>
      </c>
    </row>
    <row r="1674" spans="1:4" ht="12.75" x14ac:dyDescent="0.35">
      <c r="A1674" s="4">
        <v>44855</v>
      </c>
      <c r="B1674" s="3" t="s">
        <v>248</v>
      </c>
      <c r="C1674" s="3">
        <v>47.4</v>
      </c>
      <c r="D1674" s="3">
        <v>1</v>
      </c>
    </row>
    <row r="1675" spans="1:4" ht="12.75" x14ac:dyDescent="0.35">
      <c r="A1675" s="4">
        <v>44672</v>
      </c>
      <c r="B1675" s="3" t="s">
        <v>49</v>
      </c>
      <c r="C1675" s="3">
        <v>47.38</v>
      </c>
      <c r="D1675" s="3">
        <v>3</v>
      </c>
    </row>
    <row r="1676" spans="1:4" ht="12.75" x14ac:dyDescent="0.35">
      <c r="A1676" s="4">
        <v>44582</v>
      </c>
      <c r="B1676" s="3" t="s">
        <v>362</v>
      </c>
      <c r="C1676" s="3">
        <v>47.34</v>
      </c>
      <c r="D1676" s="3">
        <v>7</v>
      </c>
    </row>
    <row r="1677" spans="1:4" ht="12.75" x14ac:dyDescent="0.35">
      <c r="A1677" s="4">
        <v>44702</v>
      </c>
      <c r="B1677" s="3" t="s">
        <v>965</v>
      </c>
      <c r="C1677" s="3">
        <v>47.29</v>
      </c>
      <c r="D1677" s="3">
        <v>1</v>
      </c>
    </row>
    <row r="1678" spans="1:4" ht="12.75" x14ac:dyDescent="0.35">
      <c r="A1678" s="4">
        <v>44794</v>
      </c>
      <c r="B1678" s="3" t="s">
        <v>362</v>
      </c>
      <c r="C1678" s="3">
        <v>47.1</v>
      </c>
      <c r="D1678" s="3">
        <v>7</v>
      </c>
    </row>
    <row r="1679" spans="1:4" ht="12.75" x14ac:dyDescent="0.35">
      <c r="A1679" s="5">
        <v>44733</v>
      </c>
      <c r="B1679" s="3" t="s">
        <v>139</v>
      </c>
      <c r="C1679" s="3">
        <v>47.08</v>
      </c>
      <c r="D1679" s="3">
        <v>2</v>
      </c>
    </row>
    <row r="1680" spans="1:4" ht="12.75" x14ac:dyDescent="0.35">
      <c r="A1680" s="4">
        <v>44855</v>
      </c>
      <c r="B1680" s="3" t="s">
        <v>261</v>
      </c>
      <c r="C1680" s="3">
        <v>47.08</v>
      </c>
      <c r="D1680" s="3">
        <v>1</v>
      </c>
    </row>
    <row r="1681" spans="1:4" ht="12.75" x14ac:dyDescent="0.35">
      <c r="A1681" s="4">
        <v>44641</v>
      </c>
      <c r="B1681" s="3" t="s">
        <v>98</v>
      </c>
      <c r="C1681" s="3">
        <v>47.04</v>
      </c>
      <c r="D1681" s="3">
        <v>1</v>
      </c>
    </row>
    <row r="1682" spans="1:4" ht="12.75" x14ac:dyDescent="0.35">
      <c r="A1682" s="4">
        <v>44613</v>
      </c>
      <c r="B1682" s="3" t="s">
        <v>97</v>
      </c>
      <c r="C1682" s="3">
        <v>47.03</v>
      </c>
      <c r="D1682" s="3">
        <v>2</v>
      </c>
    </row>
    <row r="1683" spans="1:4" ht="12.75" x14ac:dyDescent="0.35">
      <c r="A1683" s="4">
        <v>44825</v>
      </c>
      <c r="B1683" s="3" t="s">
        <v>251</v>
      </c>
      <c r="C1683" s="3">
        <v>46.99</v>
      </c>
      <c r="D1683" s="3">
        <v>4</v>
      </c>
    </row>
    <row r="1684" spans="1:4" ht="12.75" x14ac:dyDescent="0.35">
      <c r="A1684" s="5">
        <v>44763</v>
      </c>
      <c r="B1684" s="3" t="s">
        <v>334</v>
      </c>
      <c r="C1684" s="3">
        <v>46.91</v>
      </c>
      <c r="D1684" s="3">
        <v>1</v>
      </c>
    </row>
    <row r="1685" spans="1:4" ht="12.75" x14ac:dyDescent="0.35">
      <c r="A1685" s="4">
        <v>44641</v>
      </c>
      <c r="B1685" s="3" t="s">
        <v>789</v>
      </c>
      <c r="C1685" s="3">
        <v>46.85</v>
      </c>
      <c r="D1685" s="3">
        <v>3</v>
      </c>
    </row>
    <row r="1686" spans="1:4" ht="12.75" x14ac:dyDescent="0.35">
      <c r="A1686" s="4">
        <v>44582</v>
      </c>
      <c r="B1686" s="3" t="s">
        <v>226</v>
      </c>
      <c r="C1686" s="3">
        <v>46.72</v>
      </c>
      <c r="D1686" s="3">
        <v>1</v>
      </c>
    </row>
    <row r="1687" spans="1:4" ht="12.75" x14ac:dyDescent="0.35">
      <c r="A1687" s="4">
        <v>44702</v>
      </c>
      <c r="B1687" s="3" t="s">
        <v>294</v>
      </c>
      <c r="C1687" s="3">
        <v>46.58</v>
      </c>
      <c r="D1687" s="3">
        <v>1</v>
      </c>
    </row>
    <row r="1688" spans="1:4" ht="12.75" x14ac:dyDescent="0.35">
      <c r="A1688" s="4">
        <v>44886</v>
      </c>
      <c r="B1688" s="3" t="s">
        <v>411</v>
      </c>
      <c r="C1688" s="3">
        <v>46.47</v>
      </c>
      <c r="D1688" s="3">
        <v>1</v>
      </c>
    </row>
    <row r="1689" spans="1:4" ht="12.75" x14ac:dyDescent="0.35">
      <c r="A1689" s="4">
        <v>44855</v>
      </c>
      <c r="B1689" s="3" t="s">
        <v>466</v>
      </c>
      <c r="C1689" s="3">
        <v>46.42</v>
      </c>
      <c r="D1689" s="3">
        <v>1</v>
      </c>
    </row>
    <row r="1690" spans="1:4" ht="12.75" x14ac:dyDescent="0.35">
      <c r="A1690" s="5">
        <v>44733</v>
      </c>
      <c r="B1690" s="3" t="s">
        <v>572</v>
      </c>
      <c r="C1690" s="3">
        <v>46.35</v>
      </c>
      <c r="D1690" s="3">
        <v>2</v>
      </c>
    </row>
    <row r="1691" spans="1:4" ht="12.75" x14ac:dyDescent="0.35">
      <c r="A1691" s="4">
        <v>44641</v>
      </c>
      <c r="B1691" s="3" t="s">
        <v>470</v>
      </c>
      <c r="C1691" s="3">
        <v>46.33</v>
      </c>
      <c r="D1691" s="3">
        <v>1</v>
      </c>
    </row>
    <row r="1692" spans="1:4" ht="12.75" x14ac:dyDescent="0.35">
      <c r="A1692" s="4">
        <v>44794</v>
      </c>
      <c r="B1692" s="3" t="s">
        <v>1669</v>
      </c>
      <c r="C1692" s="3">
        <v>46.22</v>
      </c>
      <c r="D1692" s="3">
        <v>2</v>
      </c>
    </row>
    <row r="1693" spans="1:4" ht="12.75" x14ac:dyDescent="0.35">
      <c r="A1693" s="4">
        <v>44641</v>
      </c>
      <c r="B1693" s="3" t="s">
        <v>767</v>
      </c>
      <c r="C1693" s="3">
        <v>46.2</v>
      </c>
      <c r="D1693" s="3">
        <v>3</v>
      </c>
    </row>
    <row r="1694" spans="1:4" ht="12.75" x14ac:dyDescent="0.35">
      <c r="A1694" s="5">
        <v>44733</v>
      </c>
      <c r="B1694" s="3" t="s">
        <v>1086</v>
      </c>
      <c r="C1694" s="3">
        <v>46.19</v>
      </c>
      <c r="D1694" s="3">
        <v>1</v>
      </c>
    </row>
    <row r="1695" spans="1:4" ht="12.75" x14ac:dyDescent="0.35">
      <c r="A1695" s="4">
        <v>44794</v>
      </c>
      <c r="B1695" s="3" t="s">
        <v>624</v>
      </c>
      <c r="C1695" s="3">
        <v>46.15</v>
      </c>
      <c r="D1695" s="3">
        <v>1</v>
      </c>
    </row>
    <row r="1696" spans="1:4" ht="12.75" x14ac:dyDescent="0.35">
      <c r="A1696" s="4">
        <v>44613</v>
      </c>
      <c r="B1696" s="3" t="s">
        <v>177</v>
      </c>
      <c r="C1696" s="3">
        <v>46.03</v>
      </c>
      <c r="D1696" s="3">
        <v>2</v>
      </c>
    </row>
    <row r="1697" spans="1:4" ht="12.75" x14ac:dyDescent="0.35">
      <c r="A1697" s="5">
        <v>44733</v>
      </c>
      <c r="B1697" s="3" t="s">
        <v>98</v>
      </c>
      <c r="C1697" s="3">
        <v>45.93</v>
      </c>
      <c r="D1697" s="3">
        <v>1</v>
      </c>
    </row>
    <row r="1698" spans="1:4" ht="12.75" x14ac:dyDescent="0.35">
      <c r="A1698" s="5">
        <v>44733</v>
      </c>
      <c r="B1698" s="3" t="s">
        <v>611</v>
      </c>
      <c r="C1698" s="3">
        <v>45.88</v>
      </c>
      <c r="D1698" s="3">
        <v>2</v>
      </c>
    </row>
    <row r="1699" spans="1:4" ht="12.75" x14ac:dyDescent="0.35">
      <c r="A1699" s="4">
        <v>44794</v>
      </c>
      <c r="B1699" s="3" t="s">
        <v>668</v>
      </c>
      <c r="C1699" s="3">
        <v>45.85</v>
      </c>
      <c r="D1699" s="3">
        <v>1</v>
      </c>
    </row>
    <row r="1700" spans="1:4" ht="12.75" x14ac:dyDescent="0.35">
      <c r="A1700" s="4">
        <v>44916</v>
      </c>
      <c r="B1700" s="3" t="s">
        <v>275</v>
      </c>
      <c r="C1700" s="3">
        <v>45.85</v>
      </c>
      <c r="D1700" s="3">
        <v>1</v>
      </c>
    </row>
    <row r="1701" spans="1:4" ht="12.75" x14ac:dyDescent="0.35">
      <c r="A1701" s="5">
        <v>44763</v>
      </c>
      <c r="B1701" s="3" t="s">
        <v>537</v>
      </c>
      <c r="C1701" s="3">
        <v>45.76</v>
      </c>
      <c r="D1701" s="3">
        <v>1</v>
      </c>
    </row>
    <row r="1702" spans="1:4" ht="12.75" x14ac:dyDescent="0.35">
      <c r="A1702" s="4">
        <v>44641</v>
      </c>
      <c r="B1702" s="3" t="s">
        <v>323</v>
      </c>
      <c r="C1702" s="3">
        <v>45.73</v>
      </c>
      <c r="D1702" s="3">
        <v>1</v>
      </c>
    </row>
    <row r="1703" spans="1:4" ht="12.75" x14ac:dyDescent="0.35">
      <c r="A1703" s="4">
        <v>44702</v>
      </c>
      <c r="B1703" s="3" t="s">
        <v>620</v>
      </c>
      <c r="C1703" s="3">
        <v>45.47</v>
      </c>
      <c r="D1703" s="3">
        <v>4</v>
      </c>
    </row>
    <row r="1704" spans="1:4" ht="12.75" x14ac:dyDescent="0.35">
      <c r="A1704" s="4">
        <v>44825</v>
      </c>
      <c r="B1704" s="3" t="s">
        <v>209</v>
      </c>
      <c r="C1704" s="3">
        <v>45.41</v>
      </c>
      <c r="D1704" s="3">
        <v>1</v>
      </c>
    </row>
    <row r="1705" spans="1:4" ht="12.75" x14ac:dyDescent="0.35">
      <c r="A1705" s="4">
        <v>44613</v>
      </c>
      <c r="B1705" s="3" t="s">
        <v>528</v>
      </c>
      <c r="C1705" s="3">
        <v>45.38</v>
      </c>
      <c r="D1705" s="3">
        <v>1</v>
      </c>
    </row>
    <row r="1706" spans="1:4" ht="12.75" x14ac:dyDescent="0.35">
      <c r="A1706" s="4">
        <v>44855</v>
      </c>
      <c r="B1706" s="3" t="s">
        <v>175</v>
      </c>
      <c r="C1706" s="3">
        <v>45.37</v>
      </c>
      <c r="D1706" s="3">
        <v>11</v>
      </c>
    </row>
    <row r="1707" spans="1:4" ht="12.75" x14ac:dyDescent="0.35">
      <c r="A1707" s="4">
        <v>44582</v>
      </c>
      <c r="B1707" s="3" t="s">
        <v>210</v>
      </c>
      <c r="C1707" s="3">
        <v>45.31</v>
      </c>
      <c r="D1707" s="3">
        <v>1</v>
      </c>
    </row>
    <row r="1708" spans="1:4" ht="12.75" x14ac:dyDescent="0.35">
      <c r="A1708" s="4">
        <v>44672</v>
      </c>
      <c r="B1708" s="3" t="s">
        <v>579</v>
      </c>
      <c r="C1708" s="3">
        <v>45.29</v>
      </c>
      <c r="D1708" s="3">
        <v>2</v>
      </c>
    </row>
    <row r="1709" spans="1:4" ht="12.75" x14ac:dyDescent="0.35">
      <c r="A1709" s="5">
        <v>44733</v>
      </c>
      <c r="B1709" s="3" t="s">
        <v>419</v>
      </c>
      <c r="C1709" s="3">
        <v>45.24</v>
      </c>
      <c r="D1709" s="3">
        <v>3</v>
      </c>
    </row>
    <row r="1710" spans="1:4" ht="12.75" x14ac:dyDescent="0.35">
      <c r="A1710" s="4">
        <v>44825</v>
      </c>
      <c r="B1710" s="3" t="s">
        <v>395</v>
      </c>
      <c r="C1710" s="3">
        <v>45.21</v>
      </c>
      <c r="D1710" s="3">
        <v>1</v>
      </c>
    </row>
    <row r="1711" spans="1:4" ht="12.75" x14ac:dyDescent="0.35">
      <c r="A1711" s="4">
        <v>44886</v>
      </c>
      <c r="B1711" s="3" t="s">
        <v>541</v>
      </c>
      <c r="C1711" s="3">
        <v>45.07</v>
      </c>
      <c r="D1711" s="3">
        <v>2</v>
      </c>
    </row>
    <row r="1712" spans="1:4" ht="12.75" x14ac:dyDescent="0.35">
      <c r="A1712" s="4">
        <v>44916</v>
      </c>
      <c r="B1712" s="3" t="s">
        <v>572</v>
      </c>
      <c r="C1712" s="3">
        <v>44.94</v>
      </c>
      <c r="D1712" s="3">
        <v>2</v>
      </c>
    </row>
    <row r="1713" spans="1:4" ht="12.75" x14ac:dyDescent="0.35">
      <c r="A1713" s="4">
        <v>44855</v>
      </c>
      <c r="B1713" s="3" t="s">
        <v>392</v>
      </c>
      <c r="C1713" s="3">
        <v>44.86</v>
      </c>
      <c r="D1713" s="3">
        <v>1</v>
      </c>
    </row>
    <row r="1714" spans="1:4" ht="12.75" x14ac:dyDescent="0.35">
      <c r="A1714" s="4">
        <v>44641</v>
      </c>
      <c r="B1714" s="3" t="s">
        <v>262</v>
      </c>
      <c r="C1714" s="3">
        <v>44.85</v>
      </c>
      <c r="D1714" s="3">
        <v>5</v>
      </c>
    </row>
    <row r="1715" spans="1:4" ht="12.75" x14ac:dyDescent="0.35">
      <c r="A1715" s="5">
        <v>44763</v>
      </c>
      <c r="B1715" s="3" t="s">
        <v>12</v>
      </c>
      <c r="C1715" s="3">
        <v>44.8</v>
      </c>
      <c r="D1715" s="3">
        <v>1</v>
      </c>
    </row>
    <row r="1716" spans="1:4" ht="12.75" x14ac:dyDescent="0.35">
      <c r="A1716" s="4">
        <v>44794</v>
      </c>
      <c r="B1716" s="3" t="s">
        <v>577</v>
      </c>
      <c r="C1716" s="3">
        <v>44.67</v>
      </c>
      <c r="D1716" s="3">
        <v>1</v>
      </c>
    </row>
    <row r="1717" spans="1:4" ht="12.75" x14ac:dyDescent="0.35">
      <c r="A1717" s="5">
        <v>44733</v>
      </c>
      <c r="B1717" s="3" t="s">
        <v>760</v>
      </c>
      <c r="C1717" s="3">
        <v>44.59</v>
      </c>
      <c r="D1717" s="3">
        <v>3</v>
      </c>
    </row>
    <row r="1718" spans="1:4" ht="12.75" x14ac:dyDescent="0.35">
      <c r="A1718" s="4">
        <v>44794</v>
      </c>
      <c r="B1718" s="3" t="s">
        <v>1416</v>
      </c>
      <c r="C1718" s="3">
        <v>44.35</v>
      </c>
      <c r="D1718" s="3">
        <v>1</v>
      </c>
    </row>
    <row r="1719" spans="1:4" ht="12.75" x14ac:dyDescent="0.35">
      <c r="A1719" s="4">
        <v>44794</v>
      </c>
      <c r="B1719" s="3" t="s">
        <v>4</v>
      </c>
      <c r="C1719" s="3">
        <v>44.3</v>
      </c>
      <c r="D1719" s="3">
        <v>1</v>
      </c>
    </row>
    <row r="1720" spans="1:4" ht="12.75" x14ac:dyDescent="0.35">
      <c r="A1720" s="4">
        <v>44613</v>
      </c>
      <c r="B1720" s="3" t="s">
        <v>253</v>
      </c>
      <c r="C1720" s="3">
        <v>44.25</v>
      </c>
      <c r="D1720" s="3">
        <v>3</v>
      </c>
    </row>
    <row r="1721" spans="1:4" ht="12.75" x14ac:dyDescent="0.35">
      <c r="A1721" s="4">
        <v>44672</v>
      </c>
      <c r="B1721" s="3" t="s">
        <v>611</v>
      </c>
      <c r="C1721" s="3">
        <v>44.2</v>
      </c>
      <c r="D1721" s="3">
        <v>2</v>
      </c>
    </row>
    <row r="1722" spans="1:4" ht="12.75" x14ac:dyDescent="0.35">
      <c r="A1722" s="5">
        <v>44763</v>
      </c>
      <c r="B1722" s="3" t="s">
        <v>568</v>
      </c>
      <c r="C1722" s="3">
        <v>44.13</v>
      </c>
      <c r="D1722" s="3">
        <v>6</v>
      </c>
    </row>
    <row r="1723" spans="1:4" ht="12.75" x14ac:dyDescent="0.35">
      <c r="A1723" s="4">
        <v>44886</v>
      </c>
      <c r="B1723" s="3" t="s">
        <v>259</v>
      </c>
      <c r="C1723" s="3">
        <v>44.11</v>
      </c>
      <c r="D1723" s="3">
        <v>2</v>
      </c>
    </row>
    <row r="1724" spans="1:4" ht="12.75" x14ac:dyDescent="0.35">
      <c r="A1724" s="4">
        <v>44582</v>
      </c>
      <c r="B1724" s="3" t="s">
        <v>389</v>
      </c>
      <c r="C1724" s="3">
        <v>44.06</v>
      </c>
      <c r="D1724" s="3">
        <v>2</v>
      </c>
    </row>
    <row r="1725" spans="1:4" ht="12.75" x14ac:dyDescent="0.35">
      <c r="A1725" s="4">
        <v>44916</v>
      </c>
      <c r="B1725" s="3" t="s">
        <v>1413</v>
      </c>
      <c r="C1725" s="3">
        <v>44.03</v>
      </c>
      <c r="D1725" s="3">
        <v>1</v>
      </c>
    </row>
    <row r="1726" spans="1:4" ht="12.75" x14ac:dyDescent="0.35">
      <c r="A1726" s="4">
        <v>44825</v>
      </c>
      <c r="B1726" s="3" t="s">
        <v>417</v>
      </c>
      <c r="C1726" s="3">
        <v>44</v>
      </c>
      <c r="D1726" s="3">
        <v>1</v>
      </c>
    </row>
    <row r="1727" spans="1:4" ht="12.75" x14ac:dyDescent="0.35">
      <c r="A1727" s="4">
        <v>44794</v>
      </c>
      <c r="B1727" s="3" t="s">
        <v>301</v>
      </c>
      <c r="C1727" s="3">
        <v>43.94</v>
      </c>
      <c r="D1727" s="3">
        <v>2</v>
      </c>
    </row>
    <row r="1728" spans="1:4" ht="12.75" x14ac:dyDescent="0.35">
      <c r="A1728" s="4">
        <v>44672</v>
      </c>
      <c r="B1728" s="3" t="s">
        <v>486</v>
      </c>
      <c r="C1728" s="3">
        <v>43.91</v>
      </c>
      <c r="D1728" s="3">
        <v>1</v>
      </c>
    </row>
    <row r="1729" spans="1:4" ht="12.75" x14ac:dyDescent="0.35">
      <c r="A1729" s="4">
        <v>44794</v>
      </c>
      <c r="B1729" s="3" t="s">
        <v>12</v>
      </c>
      <c r="C1729" s="3">
        <v>43.86</v>
      </c>
      <c r="D1729" s="3">
        <v>1</v>
      </c>
    </row>
    <row r="1730" spans="1:4" ht="12.75" x14ac:dyDescent="0.35">
      <c r="A1730" s="4">
        <v>44702</v>
      </c>
      <c r="B1730" s="3" t="s">
        <v>624</v>
      </c>
      <c r="C1730" s="3">
        <v>43.83</v>
      </c>
      <c r="D1730" s="3">
        <v>1</v>
      </c>
    </row>
    <row r="1731" spans="1:4" ht="12.75" x14ac:dyDescent="0.35">
      <c r="A1731" s="5">
        <v>44763</v>
      </c>
      <c r="B1731" s="3" t="s">
        <v>1004</v>
      </c>
      <c r="C1731" s="3">
        <v>43.79</v>
      </c>
      <c r="D1731" s="3">
        <v>2</v>
      </c>
    </row>
    <row r="1732" spans="1:4" ht="12.75" x14ac:dyDescent="0.35">
      <c r="A1732" s="4">
        <v>44672</v>
      </c>
      <c r="B1732" s="3" t="s">
        <v>592</v>
      </c>
      <c r="C1732" s="3">
        <v>43.71</v>
      </c>
      <c r="D1732" s="3">
        <v>1</v>
      </c>
    </row>
    <row r="1733" spans="1:4" ht="12.75" x14ac:dyDescent="0.35">
      <c r="A1733" s="4">
        <v>44886</v>
      </c>
      <c r="B1733" s="3" t="s">
        <v>49</v>
      </c>
      <c r="C1733" s="3">
        <v>43.64</v>
      </c>
      <c r="D1733" s="3">
        <v>3</v>
      </c>
    </row>
    <row r="1734" spans="1:4" ht="12.75" x14ac:dyDescent="0.35">
      <c r="A1734" s="4">
        <v>44641</v>
      </c>
      <c r="B1734" s="3" t="s">
        <v>258</v>
      </c>
      <c r="C1734" s="3">
        <v>43.62</v>
      </c>
      <c r="D1734" s="3">
        <v>2</v>
      </c>
    </row>
    <row r="1735" spans="1:4" ht="12.75" x14ac:dyDescent="0.35">
      <c r="A1735" s="4">
        <v>44702</v>
      </c>
      <c r="B1735" s="3" t="s">
        <v>323</v>
      </c>
      <c r="C1735" s="3">
        <v>43.54</v>
      </c>
      <c r="D1735" s="3">
        <v>1</v>
      </c>
    </row>
    <row r="1736" spans="1:4" ht="12.75" x14ac:dyDescent="0.35">
      <c r="A1736" s="4">
        <v>44613</v>
      </c>
      <c r="B1736" s="3" t="s">
        <v>226</v>
      </c>
      <c r="C1736" s="3">
        <v>43.52</v>
      </c>
      <c r="D1736" s="3">
        <v>1</v>
      </c>
    </row>
    <row r="1737" spans="1:4" ht="12.75" x14ac:dyDescent="0.35">
      <c r="A1737" s="4">
        <v>44825</v>
      </c>
      <c r="B1737" s="3" t="s">
        <v>1216</v>
      </c>
      <c r="C1737" s="3">
        <v>43.5</v>
      </c>
      <c r="D1737" s="3">
        <v>1</v>
      </c>
    </row>
    <row r="1738" spans="1:4" ht="12.75" x14ac:dyDescent="0.35">
      <c r="A1738" s="4">
        <v>44582</v>
      </c>
      <c r="B1738" s="3" t="s">
        <v>16</v>
      </c>
      <c r="C1738" s="3">
        <v>43.42</v>
      </c>
      <c r="D1738" s="3">
        <v>7</v>
      </c>
    </row>
    <row r="1739" spans="1:4" ht="12.75" x14ac:dyDescent="0.35">
      <c r="A1739" s="4">
        <v>44825</v>
      </c>
      <c r="B1739" s="3" t="s">
        <v>1583</v>
      </c>
      <c r="C1739" s="3">
        <v>43.39</v>
      </c>
      <c r="D1739" s="3">
        <v>2</v>
      </c>
    </row>
    <row r="1740" spans="1:4" ht="12.75" x14ac:dyDescent="0.35">
      <c r="A1740" s="4">
        <v>44672</v>
      </c>
      <c r="B1740" s="3" t="s">
        <v>81</v>
      </c>
      <c r="C1740" s="3">
        <v>43.37</v>
      </c>
      <c r="D1740" s="3">
        <v>1</v>
      </c>
    </row>
    <row r="1741" spans="1:4" ht="12.75" x14ac:dyDescent="0.35">
      <c r="A1741" s="4">
        <v>44825</v>
      </c>
      <c r="B1741" s="3" t="s">
        <v>579</v>
      </c>
      <c r="C1741" s="3">
        <v>43.35</v>
      </c>
      <c r="D1741" s="3">
        <v>2</v>
      </c>
    </row>
    <row r="1742" spans="1:4" ht="12.75" x14ac:dyDescent="0.35">
      <c r="A1742" s="4">
        <v>44855</v>
      </c>
      <c r="B1742" s="3" t="s">
        <v>4</v>
      </c>
      <c r="C1742" s="3">
        <v>43.35</v>
      </c>
      <c r="D1742" s="3">
        <v>1</v>
      </c>
    </row>
    <row r="1743" spans="1:4" ht="12.75" x14ac:dyDescent="0.35">
      <c r="A1743" s="4">
        <v>44672</v>
      </c>
      <c r="B1743" s="3" t="s">
        <v>323</v>
      </c>
      <c r="C1743" s="3">
        <v>43.27</v>
      </c>
      <c r="D1743" s="3">
        <v>1</v>
      </c>
    </row>
    <row r="1744" spans="1:4" ht="12.75" x14ac:dyDescent="0.35">
      <c r="A1744" s="5">
        <v>44733</v>
      </c>
      <c r="B1744" s="3" t="s">
        <v>1336</v>
      </c>
      <c r="C1744" s="3">
        <v>43.18</v>
      </c>
      <c r="D1744" s="3">
        <v>1</v>
      </c>
    </row>
    <row r="1745" spans="1:4" ht="12.75" x14ac:dyDescent="0.35">
      <c r="A1745" s="4">
        <v>44916</v>
      </c>
      <c r="B1745" s="3" t="s">
        <v>1854</v>
      </c>
      <c r="C1745" s="3">
        <v>43.13</v>
      </c>
      <c r="D1745" s="3">
        <v>2</v>
      </c>
    </row>
    <row r="1746" spans="1:4" ht="12.75" x14ac:dyDescent="0.35">
      <c r="A1746" s="4">
        <v>44886</v>
      </c>
      <c r="B1746" s="3" t="s">
        <v>1149</v>
      </c>
      <c r="C1746" s="3">
        <v>43.04</v>
      </c>
      <c r="D1746" s="3">
        <v>1</v>
      </c>
    </row>
    <row r="1747" spans="1:4" ht="12.75" x14ac:dyDescent="0.35">
      <c r="A1747" s="4">
        <v>44702</v>
      </c>
      <c r="B1747" s="3" t="s">
        <v>570</v>
      </c>
      <c r="C1747" s="3">
        <v>42.97</v>
      </c>
      <c r="D1747" s="3">
        <v>1</v>
      </c>
    </row>
    <row r="1748" spans="1:4" ht="12.75" x14ac:dyDescent="0.35">
      <c r="A1748" s="4">
        <v>44582</v>
      </c>
      <c r="B1748" s="3" t="s">
        <v>374</v>
      </c>
      <c r="C1748" s="3">
        <v>42.89</v>
      </c>
      <c r="D1748" s="3">
        <v>1</v>
      </c>
    </row>
    <row r="1749" spans="1:4" ht="12.75" x14ac:dyDescent="0.35">
      <c r="A1749" s="4">
        <v>44825</v>
      </c>
      <c r="B1749" s="3" t="s">
        <v>119</v>
      </c>
      <c r="C1749" s="3">
        <v>42.87</v>
      </c>
      <c r="D1749" s="3">
        <v>1</v>
      </c>
    </row>
    <row r="1750" spans="1:4" ht="12.75" x14ac:dyDescent="0.35">
      <c r="A1750" s="4">
        <v>44916</v>
      </c>
      <c r="B1750" s="3" t="s">
        <v>19</v>
      </c>
      <c r="C1750" s="3">
        <v>42.8</v>
      </c>
      <c r="D1750" s="3">
        <v>1</v>
      </c>
    </row>
    <row r="1751" spans="1:4" ht="12.75" x14ac:dyDescent="0.35">
      <c r="A1751" s="4">
        <v>44855</v>
      </c>
      <c r="B1751" s="3" t="s">
        <v>415</v>
      </c>
      <c r="C1751" s="3">
        <v>42.73</v>
      </c>
      <c r="D1751" s="3">
        <v>1</v>
      </c>
    </row>
    <row r="1752" spans="1:4" ht="12.75" x14ac:dyDescent="0.35">
      <c r="A1752" s="5">
        <v>44733</v>
      </c>
      <c r="B1752" s="3" t="s">
        <v>853</v>
      </c>
      <c r="C1752" s="3">
        <v>42.69</v>
      </c>
      <c r="D1752" s="3">
        <v>1</v>
      </c>
    </row>
    <row r="1753" spans="1:4" ht="12.75" x14ac:dyDescent="0.35">
      <c r="A1753" s="4">
        <v>44855</v>
      </c>
      <c r="B1753" s="3" t="s">
        <v>472</v>
      </c>
      <c r="C1753" s="3">
        <v>42.68</v>
      </c>
      <c r="D1753" s="3">
        <v>1</v>
      </c>
    </row>
    <row r="1754" spans="1:4" ht="12.75" x14ac:dyDescent="0.35">
      <c r="A1754" s="5">
        <v>44733</v>
      </c>
      <c r="B1754" s="3" t="s">
        <v>406</v>
      </c>
      <c r="C1754" s="3">
        <v>42.66</v>
      </c>
      <c r="D1754" s="3">
        <v>2</v>
      </c>
    </row>
    <row r="1755" spans="1:4" ht="12.75" x14ac:dyDescent="0.35">
      <c r="A1755" s="5">
        <v>44763</v>
      </c>
      <c r="B1755" s="3" t="s">
        <v>4</v>
      </c>
      <c r="C1755" s="3">
        <v>42.46</v>
      </c>
      <c r="D1755" s="3">
        <v>1</v>
      </c>
    </row>
    <row r="1756" spans="1:4" ht="12.75" x14ac:dyDescent="0.35">
      <c r="A1756" s="4">
        <v>44916</v>
      </c>
      <c r="B1756" s="3" t="s">
        <v>180</v>
      </c>
      <c r="C1756" s="3">
        <v>42.36</v>
      </c>
      <c r="D1756" s="3">
        <v>1</v>
      </c>
    </row>
    <row r="1757" spans="1:4" ht="12.75" x14ac:dyDescent="0.35">
      <c r="A1757" s="4">
        <v>44825</v>
      </c>
      <c r="B1757" s="3" t="s">
        <v>1416</v>
      </c>
      <c r="C1757" s="3">
        <v>42.32</v>
      </c>
      <c r="D1757" s="3">
        <v>1</v>
      </c>
    </row>
    <row r="1758" spans="1:4" ht="12.75" x14ac:dyDescent="0.35">
      <c r="A1758" s="4">
        <v>44794</v>
      </c>
      <c r="B1758" s="3" t="s">
        <v>265</v>
      </c>
      <c r="C1758" s="3">
        <v>42.31</v>
      </c>
      <c r="D1758" s="3">
        <v>2</v>
      </c>
    </row>
    <row r="1759" spans="1:4" ht="12.75" x14ac:dyDescent="0.35">
      <c r="A1759" s="5">
        <v>44733</v>
      </c>
      <c r="B1759" s="3" t="s">
        <v>593</v>
      </c>
      <c r="C1759" s="3">
        <v>42.27</v>
      </c>
      <c r="D1759" s="3">
        <v>1</v>
      </c>
    </row>
    <row r="1760" spans="1:4" ht="12.75" x14ac:dyDescent="0.35">
      <c r="A1760" s="4">
        <v>44641</v>
      </c>
      <c r="B1760" s="3" t="s">
        <v>330</v>
      </c>
      <c r="C1760" s="3">
        <v>42.26</v>
      </c>
      <c r="D1760" s="3">
        <v>1</v>
      </c>
    </row>
    <row r="1761" spans="1:4" ht="12.75" x14ac:dyDescent="0.35">
      <c r="A1761" s="4">
        <v>44672</v>
      </c>
      <c r="B1761" s="3" t="s">
        <v>656</v>
      </c>
      <c r="C1761" s="3">
        <v>42.2</v>
      </c>
      <c r="D1761" s="3">
        <v>2</v>
      </c>
    </row>
    <row r="1762" spans="1:4" ht="12.75" x14ac:dyDescent="0.35">
      <c r="A1762" s="4">
        <v>44582</v>
      </c>
      <c r="B1762" s="3" t="s">
        <v>28</v>
      </c>
      <c r="C1762" s="3">
        <v>42</v>
      </c>
      <c r="D1762" s="3">
        <v>1</v>
      </c>
    </row>
    <row r="1763" spans="1:4" ht="12.75" x14ac:dyDescent="0.35">
      <c r="A1763" s="4">
        <v>44886</v>
      </c>
      <c r="B1763" s="3" t="s">
        <v>122</v>
      </c>
      <c r="C1763" s="3">
        <v>41.92</v>
      </c>
      <c r="D1763" s="3">
        <v>1</v>
      </c>
    </row>
    <row r="1764" spans="1:4" ht="12.75" x14ac:dyDescent="0.35">
      <c r="A1764" s="4">
        <v>44613</v>
      </c>
      <c r="B1764" s="3" t="s">
        <v>464</v>
      </c>
      <c r="C1764" s="3">
        <v>41.91</v>
      </c>
      <c r="D1764" s="3">
        <v>1</v>
      </c>
    </row>
    <row r="1765" spans="1:4" ht="12.75" x14ac:dyDescent="0.35">
      <c r="A1765" s="4">
        <v>44794</v>
      </c>
      <c r="B1765" s="3" t="s">
        <v>44</v>
      </c>
      <c r="C1765" s="3">
        <v>41.75</v>
      </c>
      <c r="D1765" s="3">
        <v>1</v>
      </c>
    </row>
    <row r="1766" spans="1:4" ht="12.75" x14ac:dyDescent="0.35">
      <c r="A1766" s="4">
        <v>44855</v>
      </c>
      <c r="B1766" s="3" t="s">
        <v>23</v>
      </c>
      <c r="C1766" s="3">
        <v>41.75</v>
      </c>
      <c r="D1766" s="3">
        <v>1</v>
      </c>
    </row>
    <row r="1767" spans="1:4" ht="12.75" x14ac:dyDescent="0.35">
      <c r="A1767" s="4">
        <v>44794</v>
      </c>
      <c r="B1767" s="3" t="s">
        <v>1677</v>
      </c>
      <c r="C1767" s="3">
        <v>0.03</v>
      </c>
      <c r="D1767" s="3">
        <v>1</v>
      </c>
    </row>
    <row r="1768" spans="1:4" ht="12.75" x14ac:dyDescent="0.35">
      <c r="A1768" s="4">
        <v>44702</v>
      </c>
      <c r="B1768" s="3" t="s">
        <v>900</v>
      </c>
      <c r="C1768" s="3">
        <v>41.66</v>
      </c>
      <c r="D1768" s="3">
        <v>1</v>
      </c>
    </row>
    <row r="1769" spans="1:4" ht="12.75" x14ac:dyDescent="0.35">
      <c r="A1769" s="4">
        <v>44916</v>
      </c>
      <c r="B1769" s="3" t="s">
        <v>407</v>
      </c>
      <c r="C1769" s="3">
        <v>41.64</v>
      </c>
      <c r="D1769" s="3">
        <v>4</v>
      </c>
    </row>
    <row r="1770" spans="1:4" ht="12.75" x14ac:dyDescent="0.35">
      <c r="A1770" s="4">
        <v>44672</v>
      </c>
      <c r="B1770" s="3" t="s">
        <v>529</v>
      </c>
      <c r="C1770" s="3">
        <v>41.6</v>
      </c>
      <c r="D1770" s="3">
        <v>6</v>
      </c>
    </row>
    <row r="1771" spans="1:4" ht="12.75" x14ac:dyDescent="0.35">
      <c r="A1771" s="4">
        <v>44613</v>
      </c>
      <c r="B1771" s="3" t="s">
        <v>295</v>
      </c>
      <c r="C1771" s="3">
        <v>41.56</v>
      </c>
      <c r="D1771" s="3">
        <v>4</v>
      </c>
    </row>
    <row r="1772" spans="1:4" ht="12.75" x14ac:dyDescent="0.35">
      <c r="A1772" s="5">
        <v>44733</v>
      </c>
      <c r="B1772" s="3" t="s">
        <v>1076</v>
      </c>
      <c r="C1772" s="3">
        <v>41.48</v>
      </c>
      <c r="D1772" s="3">
        <v>1</v>
      </c>
    </row>
    <row r="1773" spans="1:4" ht="12.75" x14ac:dyDescent="0.35">
      <c r="A1773" s="4">
        <v>44825</v>
      </c>
      <c r="B1773" s="3" t="s">
        <v>74</v>
      </c>
      <c r="C1773" s="3">
        <v>41.45</v>
      </c>
      <c r="D1773" s="3">
        <v>2</v>
      </c>
    </row>
    <row r="1774" spans="1:4" ht="12.75" x14ac:dyDescent="0.35">
      <c r="A1774" s="4">
        <v>44855</v>
      </c>
      <c r="B1774" s="3" t="s">
        <v>44</v>
      </c>
      <c r="C1774" s="3">
        <v>41.45</v>
      </c>
      <c r="D1774" s="3">
        <v>1</v>
      </c>
    </row>
    <row r="1775" spans="1:4" ht="12.75" x14ac:dyDescent="0.35">
      <c r="A1775" s="4">
        <v>44855</v>
      </c>
      <c r="B1775" s="3" t="s">
        <v>1716</v>
      </c>
      <c r="C1775" s="3">
        <v>41.39</v>
      </c>
      <c r="D1775" s="3">
        <v>1</v>
      </c>
    </row>
    <row r="1776" spans="1:4" ht="12.75" x14ac:dyDescent="0.35">
      <c r="A1776" s="4">
        <v>44582</v>
      </c>
      <c r="B1776" s="3" t="s">
        <v>262</v>
      </c>
      <c r="C1776" s="3">
        <v>41.2</v>
      </c>
      <c r="D1776" s="3">
        <v>5</v>
      </c>
    </row>
    <row r="1777" spans="1:4" ht="12.75" x14ac:dyDescent="0.35">
      <c r="A1777" s="4">
        <v>44641</v>
      </c>
      <c r="B1777" s="3" t="s">
        <v>285</v>
      </c>
      <c r="C1777" s="3">
        <v>41.16</v>
      </c>
      <c r="D1777" s="3">
        <v>1</v>
      </c>
    </row>
    <row r="1778" spans="1:4" ht="12.75" x14ac:dyDescent="0.35">
      <c r="A1778" s="4">
        <v>44582</v>
      </c>
      <c r="B1778" s="3" t="s">
        <v>161</v>
      </c>
      <c r="C1778" s="3">
        <v>41.12</v>
      </c>
      <c r="D1778" s="3">
        <v>2</v>
      </c>
    </row>
    <row r="1779" spans="1:4" ht="12.75" x14ac:dyDescent="0.35">
      <c r="A1779" s="4">
        <v>44702</v>
      </c>
      <c r="B1779" s="3" t="s">
        <v>154</v>
      </c>
      <c r="C1779" s="3">
        <v>41.12</v>
      </c>
      <c r="D1779" s="3">
        <v>2</v>
      </c>
    </row>
    <row r="1780" spans="1:4" ht="12.75" x14ac:dyDescent="0.35">
      <c r="A1780" s="4">
        <v>44886</v>
      </c>
      <c r="B1780" s="3" t="s">
        <v>334</v>
      </c>
      <c r="C1780" s="3">
        <v>40.96</v>
      </c>
      <c r="D1780" s="3">
        <v>1</v>
      </c>
    </row>
    <row r="1781" spans="1:4" ht="12.75" x14ac:dyDescent="0.35">
      <c r="A1781" s="4">
        <v>44794</v>
      </c>
      <c r="B1781" s="3" t="s">
        <v>569</v>
      </c>
      <c r="C1781" s="3">
        <v>40.869999999999997</v>
      </c>
      <c r="D1781" s="3">
        <v>2</v>
      </c>
    </row>
    <row r="1782" spans="1:4" ht="12.75" x14ac:dyDescent="0.35">
      <c r="A1782" s="4">
        <v>44916</v>
      </c>
      <c r="B1782" s="3" t="s">
        <v>1853</v>
      </c>
      <c r="C1782" s="3">
        <v>40.85</v>
      </c>
      <c r="D1782" s="3">
        <v>1</v>
      </c>
    </row>
    <row r="1783" spans="1:4" ht="12.75" x14ac:dyDescent="0.35">
      <c r="A1783" s="4">
        <v>44855</v>
      </c>
      <c r="B1783" s="3" t="s">
        <v>460</v>
      </c>
      <c r="C1783" s="3">
        <v>40.840000000000003</v>
      </c>
      <c r="D1783" s="3">
        <v>4</v>
      </c>
    </row>
    <row r="1784" spans="1:4" ht="12.75" x14ac:dyDescent="0.35">
      <c r="A1784" s="5">
        <v>44733</v>
      </c>
      <c r="B1784" s="3" t="s">
        <v>1413</v>
      </c>
      <c r="C1784" s="3">
        <v>40.82</v>
      </c>
      <c r="D1784" s="3">
        <v>1</v>
      </c>
    </row>
    <row r="1785" spans="1:4" ht="12.75" x14ac:dyDescent="0.35">
      <c r="A1785" s="4">
        <v>44672</v>
      </c>
      <c r="B1785" s="3" t="s">
        <v>281</v>
      </c>
      <c r="C1785" s="3">
        <v>40.81</v>
      </c>
      <c r="D1785" s="3">
        <v>1</v>
      </c>
    </row>
    <row r="1786" spans="1:4" ht="12.75" x14ac:dyDescent="0.35">
      <c r="A1786" s="4">
        <v>44672</v>
      </c>
      <c r="B1786" s="3" t="s">
        <v>175</v>
      </c>
      <c r="C1786" s="3">
        <v>40.799999999999997</v>
      </c>
      <c r="D1786" s="3">
        <v>11</v>
      </c>
    </row>
    <row r="1787" spans="1:4" ht="12.75" x14ac:dyDescent="0.35">
      <c r="A1787" s="4">
        <v>44855</v>
      </c>
      <c r="B1787" s="3" t="s">
        <v>424</v>
      </c>
      <c r="C1787" s="3">
        <v>40.76</v>
      </c>
      <c r="D1787" s="3">
        <v>1</v>
      </c>
    </row>
    <row r="1788" spans="1:4" ht="12.75" x14ac:dyDescent="0.35">
      <c r="A1788" s="4">
        <v>44825</v>
      </c>
      <c r="B1788" s="3" t="s">
        <v>106</v>
      </c>
      <c r="C1788" s="3">
        <v>40.74</v>
      </c>
      <c r="D1788" s="3">
        <v>1</v>
      </c>
    </row>
    <row r="1789" spans="1:4" ht="12.75" x14ac:dyDescent="0.35">
      <c r="A1789" s="4">
        <v>44613</v>
      </c>
      <c r="B1789" s="3" t="s">
        <v>561</v>
      </c>
      <c r="C1789" s="3">
        <v>40.729999999999997</v>
      </c>
      <c r="D1789" s="3">
        <v>1</v>
      </c>
    </row>
    <row r="1790" spans="1:4" ht="12.75" x14ac:dyDescent="0.35">
      <c r="A1790" s="4">
        <v>44582</v>
      </c>
      <c r="B1790" s="3" t="s">
        <v>131</v>
      </c>
      <c r="C1790" s="3">
        <v>40.700000000000003</v>
      </c>
      <c r="D1790" s="3">
        <v>6</v>
      </c>
    </row>
    <row r="1791" spans="1:4" ht="12.75" x14ac:dyDescent="0.35">
      <c r="A1791" s="4">
        <v>44886</v>
      </c>
      <c r="B1791" s="3" t="s">
        <v>396</v>
      </c>
      <c r="C1791" s="3">
        <v>40.61</v>
      </c>
      <c r="D1791" s="3">
        <v>1</v>
      </c>
    </row>
    <row r="1792" spans="1:4" ht="12.75" x14ac:dyDescent="0.35">
      <c r="A1792" s="4">
        <v>44702</v>
      </c>
      <c r="B1792" s="3" t="s">
        <v>899</v>
      </c>
      <c r="C1792" s="3">
        <v>40.36</v>
      </c>
      <c r="D1792" s="3">
        <v>1</v>
      </c>
    </row>
    <row r="1793" spans="1:4" ht="12.75" x14ac:dyDescent="0.35">
      <c r="A1793" s="4">
        <v>44613</v>
      </c>
      <c r="B1793" s="3" t="s">
        <v>451</v>
      </c>
      <c r="C1793" s="3">
        <v>40.29</v>
      </c>
      <c r="D1793" s="3">
        <v>1</v>
      </c>
    </row>
    <row r="1794" spans="1:4" ht="12.75" x14ac:dyDescent="0.35">
      <c r="A1794" s="4">
        <v>44582</v>
      </c>
      <c r="B1794" s="3" t="s">
        <v>309</v>
      </c>
      <c r="C1794" s="3">
        <v>40.17</v>
      </c>
      <c r="D1794" s="3">
        <v>2</v>
      </c>
    </row>
    <row r="1795" spans="1:4" ht="12.75" x14ac:dyDescent="0.35">
      <c r="A1795" s="4">
        <v>44825</v>
      </c>
      <c r="B1795" s="3" t="s">
        <v>275</v>
      </c>
      <c r="C1795" s="3">
        <v>40.049999999999997</v>
      </c>
      <c r="D1795" s="3">
        <v>1</v>
      </c>
    </row>
    <row r="1796" spans="1:4" ht="12.75" x14ac:dyDescent="0.35">
      <c r="A1796" s="4">
        <v>44794</v>
      </c>
      <c r="B1796" s="3" t="s">
        <v>783</v>
      </c>
      <c r="C1796" s="3">
        <v>40.03</v>
      </c>
      <c r="D1796" s="3">
        <v>1</v>
      </c>
    </row>
    <row r="1797" spans="1:4" ht="12.75" x14ac:dyDescent="0.35">
      <c r="A1797" s="4">
        <v>44672</v>
      </c>
      <c r="B1797" s="3" t="s">
        <v>401</v>
      </c>
      <c r="C1797" s="3">
        <v>39.94</v>
      </c>
      <c r="D1797" s="3">
        <v>5</v>
      </c>
    </row>
    <row r="1798" spans="1:4" ht="12.75" x14ac:dyDescent="0.35">
      <c r="A1798" s="4">
        <v>44916</v>
      </c>
      <c r="B1798" s="3" t="s">
        <v>459</v>
      </c>
      <c r="C1798" s="3">
        <v>39.94</v>
      </c>
      <c r="D1798" s="3">
        <v>2</v>
      </c>
    </row>
    <row r="1799" spans="1:4" ht="12.75" x14ac:dyDescent="0.35">
      <c r="A1799" s="4">
        <v>44641</v>
      </c>
      <c r="B1799" s="3" t="s">
        <v>785</v>
      </c>
      <c r="C1799" s="3">
        <v>39.93</v>
      </c>
      <c r="D1799" s="3">
        <v>1</v>
      </c>
    </row>
    <row r="1800" spans="1:4" ht="12.75" x14ac:dyDescent="0.35">
      <c r="A1800" s="4">
        <v>44672</v>
      </c>
      <c r="B1800" s="3" t="s">
        <v>227</v>
      </c>
      <c r="C1800" s="3">
        <v>39.92</v>
      </c>
      <c r="D1800" s="3">
        <v>3</v>
      </c>
    </row>
    <row r="1801" spans="1:4" ht="12.75" x14ac:dyDescent="0.35">
      <c r="A1801" s="4">
        <v>44613</v>
      </c>
      <c r="B1801" s="3" t="s">
        <v>544</v>
      </c>
      <c r="C1801" s="3">
        <v>39.840000000000003</v>
      </c>
      <c r="D1801" s="3">
        <v>1</v>
      </c>
    </row>
    <row r="1802" spans="1:4" ht="12.75" x14ac:dyDescent="0.35">
      <c r="A1802" s="4">
        <v>44886</v>
      </c>
      <c r="B1802" s="3" t="s">
        <v>668</v>
      </c>
      <c r="C1802" s="3">
        <v>39.78</v>
      </c>
      <c r="D1802" s="3">
        <v>1</v>
      </c>
    </row>
    <row r="1803" spans="1:4" ht="12.75" x14ac:dyDescent="0.35">
      <c r="A1803" s="4">
        <v>44582</v>
      </c>
      <c r="B1803" s="3" t="s">
        <v>194</v>
      </c>
      <c r="C1803" s="3">
        <v>39.770000000000003</v>
      </c>
      <c r="D1803" s="3">
        <v>6</v>
      </c>
    </row>
    <row r="1804" spans="1:4" ht="12.75" x14ac:dyDescent="0.35">
      <c r="A1804" s="4">
        <v>44855</v>
      </c>
      <c r="B1804" s="3" t="s">
        <v>282</v>
      </c>
      <c r="C1804" s="3">
        <v>39.729999999999997</v>
      </c>
      <c r="D1804" s="3">
        <v>1</v>
      </c>
    </row>
    <row r="1805" spans="1:4" ht="12.75" x14ac:dyDescent="0.35">
      <c r="A1805" s="4">
        <v>44702</v>
      </c>
      <c r="B1805" s="3" t="s">
        <v>595</v>
      </c>
      <c r="C1805" s="3">
        <v>39.67</v>
      </c>
      <c r="D1805" s="3">
        <v>5</v>
      </c>
    </row>
    <row r="1806" spans="1:4" ht="12.75" x14ac:dyDescent="0.35">
      <c r="A1806" s="5">
        <v>44763</v>
      </c>
      <c r="B1806" s="3" t="s">
        <v>175</v>
      </c>
      <c r="C1806" s="3">
        <v>39.67</v>
      </c>
      <c r="D1806" s="3">
        <v>11</v>
      </c>
    </row>
    <row r="1807" spans="1:4" ht="12.75" x14ac:dyDescent="0.35">
      <c r="A1807" s="4">
        <v>44672</v>
      </c>
      <c r="B1807" s="3" t="s">
        <v>378</v>
      </c>
      <c r="C1807" s="3">
        <v>39.64</v>
      </c>
      <c r="D1807" s="3">
        <v>2</v>
      </c>
    </row>
    <row r="1808" spans="1:4" ht="12.75" x14ac:dyDescent="0.35">
      <c r="A1808" s="4">
        <v>44886</v>
      </c>
      <c r="B1808" s="3" t="s">
        <v>1512</v>
      </c>
      <c r="C1808" s="3">
        <v>39.6</v>
      </c>
      <c r="D1808" s="3">
        <v>3</v>
      </c>
    </row>
    <row r="1809" spans="1:4" ht="12.75" x14ac:dyDescent="0.35">
      <c r="A1809" s="4">
        <v>44855</v>
      </c>
      <c r="B1809" s="3" t="s">
        <v>15</v>
      </c>
      <c r="C1809" s="3">
        <v>39.409999999999997</v>
      </c>
      <c r="D1809" s="3">
        <v>1</v>
      </c>
    </row>
    <row r="1810" spans="1:4" ht="12.75" x14ac:dyDescent="0.35">
      <c r="A1810" s="5">
        <v>44733</v>
      </c>
      <c r="B1810" s="3" t="s">
        <v>965</v>
      </c>
      <c r="C1810" s="3">
        <v>39.380000000000003</v>
      </c>
      <c r="D1810" s="3">
        <v>1</v>
      </c>
    </row>
    <row r="1811" spans="1:4" ht="12.75" x14ac:dyDescent="0.35">
      <c r="A1811" s="4">
        <v>44916</v>
      </c>
      <c r="B1811" s="3" t="s">
        <v>449</v>
      </c>
      <c r="C1811" s="3">
        <v>39.31</v>
      </c>
      <c r="D1811" s="3">
        <v>6</v>
      </c>
    </row>
    <row r="1812" spans="1:4" ht="12.75" x14ac:dyDescent="0.35">
      <c r="A1812" s="4">
        <v>44613</v>
      </c>
      <c r="B1812" s="3" t="s">
        <v>570</v>
      </c>
      <c r="C1812" s="3">
        <v>39.24</v>
      </c>
      <c r="D1812" s="3">
        <v>1</v>
      </c>
    </row>
    <row r="1813" spans="1:4" ht="12.75" x14ac:dyDescent="0.35">
      <c r="A1813" s="4">
        <v>44672</v>
      </c>
      <c r="B1813" s="3" t="s">
        <v>868</v>
      </c>
      <c r="C1813" s="3">
        <v>39.24</v>
      </c>
      <c r="D1813" s="3">
        <v>3</v>
      </c>
    </row>
    <row r="1814" spans="1:4" ht="12.75" x14ac:dyDescent="0.35">
      <c r="A1814" s="5">
        <v>44733</v>
      </c>
      <c r="B1814" s="3" t="s">
        <v>85</v>
      </c>
      <c r="C1814" s="3">
        <v>39.19</v>
      </c>
      <c r="D1814" s="3">
        <v>1</v>
      </c>
    </row>
    <row r="1815" spans="1:4" ht="12.75" x14ac:dyDescent="0.35">
      <c r="A1815" s="4">
        <v>44582</v>
      </c>
      <c r="B1815" s="3" t="s">
        <v>232</v>
      </c>
      <c r="C1815" s="3">
        <v>39.17</v>
      </c>
      <c r="D1815" s="3">
        <v>5</v>
      </c>
    </row>
    <row r="1816" spans="1:4" ht="12.75" x14ac:dyDescent="0.35">
      <c r="A1816" s="4">
        <v>44886</v>
      </c>
      <c r="B1816" s="3" t="s">
        <v>1818</v>
      </c>
      <c r="C1816" s="3">
        <v>39.159999999999997</v>
      </c>
      <c r="D1816" s="3">
        <v>1</v>
      </c>
    </row>
    <row r="1817" spans="1:4" ht="12.75" x14ac:dyDescent="0.35">
      <c r="A1817" s="4">
        <v>44916</v>
      </c>
      <c r="B1817" s="3" t="s">
        <v>546</v>
      </c>
      <c r="C1817" s="3">
        <v>39.090000000000003</v>
      </c>
      <c r="D1817" s="3">
        <v>1</v>
      </c>
    </row>
    <row r="1818" spans="1:4" ht="12.75" x14ac:dyDescent="0.35">
      <c r="A1818" s="5">
        <v>44763</v>
      </c>
      <c r="B1818" s="3" t="s">
        <v>708</v>
      </c>
      <c r="C1818" s="3">
        <v>39.06</v>
      </c>
      <c r="D1818" s="3">
        <v>2</v>
      </c>
    </row>
    <row r="1819" spans="1:4" ht="12.75" x14ac:dyDescent="0.35">
      <c r="A1819" s="5">
        <v>44733</v>
      </c>
      <c r="B1819" s="3" t="s">
        <v>484</v>
      </c>
      <c r="C1819" s="3">
        <v>39.020000000000003</v>
      </c>
      <c r="D1819" s="3">
        <v>1</v>
      </c>
    </row>
    <row r="1820" spans="1:4" ht="12.75" x14ac:dyDescent="0.35">
      <c r="A1820" s="4">
        <v>44672</v>
      </c>
      <c r="B1820" s="3" t="s">
        <v>941</v>
      </c>
      <c r="C1820" s="3">
        <v>38.82</v>
      </c>
      <c r="D1820" s="3">
        <v>1</v>
      </c>
    </row>
    <row r="1821" spans="1:4" ht="12.75" x14ac:dyDescent="0.35">
      <c r="A1821" s="4">
        <v>44582</v>
      </c>
      <c r="B1821" s="3" t="s">
        <v>148</v>
      </c>
      <c r="C1821" s="3">
        <v>38.81</v>
      </c>
      <c r="D1821" s="3">
        <v>1</v>
      </c>
    </row>
    <row r="1822" spans="1:4" ht="12.75" x14ac:dyDescent="0.35">
      <c r="A1822" s="4">
        <v>44702</v>
      </c>
      <c r="B1822" s="3" t="s">
        <v>536</v>
      </c>
      <c r="C1822" s="3">
        <v>38.81</v>
      </c>
      <c r="D1822" s="3">
        <v>9</v>
      </c>
    </row>
    <row r="1823" spans="1:4" ht="12.75" x14ac:dyDescent="0.35">
      <c r="A1823" s="4">
        <v>44886</v>
      </c>
      <c r="B1823" s="3" t="s">
        <v>180</v>
      </c>
      <c r="C1823" s="3">
        <v>38.770000000000003</v>
      </c>
      <c r="D1823" s="3">
        <v>1</v>
      </c>
    </row>
    <row r="1824" spans="1:4" ht="12.75" x14ac:dyDescent="0.35">
      <c r="A1824" s="4">
        <v>44916</v>
      </c>
      <c r="B1824" s="3" t="s">
        <v>1843</v>
      </c>
      <c r="C1824" s="3">
        <v>38.75</v>
      </c>
      <c r="D1824" s="3">
        <v>2</v>
      </c>
    </row>
    <row r="1825" spans="1:4" ht="12.75" x14ac:dyDescent="0.35">
      <c r="A1825" s="5">
        <v>44733</v>
      </c>
      <c r="B1825" s="3" t="s">
        <v>546</v>
      </c>
      <c r="C1825" s="3">
        <v>38.72</v>
      </c>
      <c r="D1825" s="3">
        <v>1</v>
      </c>
    </row>
    <row r="1826" spans="1:4" ht="12.75" x14ac:dyDescent="0.35">
      <c r="A1826" s="5">
        <v>44763</v>
      </c>
      <c r="B1826" s="3" t="s">
        <v>61</v>
      </c>
      <c r="C1826" s="3">
        <v>38.72</v>
      </c>
      <c r="D1826" s="3">
        <v>1</v>
      </c>
    </row>
    <row r="1827" spans="1:4" ht="12.75" x14ac:dyDescent="0.35">
      <c r="A1827" s="4">
        <v>44702</v>
      </c>
      <c r="B1827" s="3" t="s">
        <v>703</v>
      </c>
      <c r="C1827" s="3">
        <v>38.67</v>
      </c>
      <c r="D1827" s="3">
        <v>2</v>
      </c>
    </row>
    <row r="1828" spans="1:4" ht="12.75" x14ac:dyDescent="0.35">
      <c r="A1828" s="4">
        <v>44672</v>
      </c>
      <c r="B1828" s="3" t="s">
        <v>451</v>
      </c>
      <c r="C1828" s="3">
        <v>38.450000000000003</v>
      </c>
      <c r="D1828" s="3">
        <v>1</v>
      </c>
    </row>
    <row r="1829" spans="1:4" ht="12.75" x14ac:dyDescent="0.35">
      <c r="A1829" s="4">
        <v>44916</v>
      </c>
      <c r="B1829" s="3" t="s">
        <v>1914</v>
      </c>
      <c r="C1829" s="3">
        <v>38.43</v>
      </c>
      <c r="D1829" s="3">
        <v>1</v>
      </c>
    </row>
    <row r="1830" spans="1:4" ht="12.75" x14ac:dyDescent="0.35">
      <c r="A1830" s="4">
        <v>44582</v>
      </c>
      <c r="B1830" s="3" t="s">
        <v>281</v>
      </c>
      <c r="C1830" s="3">
        <v>38.380000000000003</v>
      </c>
      <c r="D1830" s="3">
        <v>1</v>
      </c>
    </row>
    <row r="1831" spans="1:4" ht="12.75" x14ac:dyDescent="0.35">
      <c r="A1831" s="4">
        <v>44855</v>
      </c>
      <c r="B1831" s="3" t="s">
        <v>195</v>
      </c>
      <c r="C1831" s="3">
        <v>38.28</v>
      </c>
      <c r="D1831" s="3">
        <v>5</v>
      </c>
    </row>
    <row r="1832" spans="1:4" ht="12.75" x14ac:dyDescent="0.35">
      <c r="A1832" s="5">
        <v>44733</v>
      </c>
      <c r="B1832" s="3" t="s">
        <v>282</v>
      </c>
      <c r="C1832" s="3">
        <v>38.25</v>
      </c>
      <c r="D1832" s="3">
        <v>1</v>
      </c>
    </row>
    <row r="1833" spans="1:4" ht="12.75" x14ac:dyDescent="0.35">
      <c r="A1833" s="4">
        <v>44672</v>
      </c>
      <c r="B1833" s="3" t="s">
        <v>106</v>
      </c>
      <c r="C1833" s="3">
        <v>38.18</v>
      </c>
      <c r="D1833" s="3">
        <v>1</v>
      </c>
    </row>
    <row r="1834" spans="1:4" ht="12.75" x14ac:dyDescent="0.35">
      <c r="A1834" s="4">
        <v>44886</v>
      </c>
      <c r="B1834" s="3" t="s">
        <v>459</v>
      </c>
      <c r="C1834" s="3">
        <v>38.08</v>
      </c>
      <c r="D1834" s="3">
        <v>2</v>
      </c>
    </row>
    <row r="1835" spans="1:4" ht="12.75" x14ac:dyDescent="0.35">
      <c r="A1835" s="4">
        <v>44582</v>
      </c>
      <c r="B1835" s="3" t="s">
        <v>220</v>
      </c>
      <c r="C1835" s="3">
        <v>37.909999999999997</v>
      </c>
      <c r="D1835" s="3">
        <v>3</v>
      </c>
    </row>
    <row r="1836" spans="1:4" ht="12.75" x14ac:dyDescent="0.35">
      <c r="A1836" s="4">
        <v>44641</v>
      </c>
      <c r="B1836" s="3" t="s">
        <v>586</v>
      </c>
      <c r="C1836" s="3">
        <v>37.909999999999997</v>
      </c>
      <c r="D1836" s="3">
        <v>1</v>
      </c>
    </row>
    <row r="1837" spans="1:4" ht="12.75" x14ac:dyDescent="0.35">
      <c r="A1837" s="4">
        <v>44672</v>
      </c>
      <c r="B1837" s="3" t="s">
        <v>350</v>
      </c>
      <c r="C1837" s="3">
        <v>37.909999999999997</v>
      </c>
      <c r="D1837" s="3">
        <v>1</v>
      </c>
    </row>
    <row r="1838" spans="1:4" ht="12.75" x14ac:dyDescent="0.35">
      <c r="A1838" s="4">
        <v>44794</v>
      </c>
      <c r="B1838" s="3" t="s">
        <v>402</v>
      </c>
      <c r="C1838" s="3">
        <v>37.880000000000003</v>
      </c>
      <c r="D1838" s="3">
        <v>1</v>
      </c>
    </row>
    <row r="1839" spans="1:4" ht="12.75" x14ac:dyDescent="0.35">
      <c r="A1839" s="4">
        <v>44613</v>
      </c>
      <c r="B1839" s="3" t="s">
        <v>595</v>
      </c>
      <c r="C1839" s="3">
        <v>37.86</v>
      </c>
      <c r="D1839" s="3">
        <v>5</v>
      </c>
    </row>
    <row r="1840" spans="1:4" ht="12.75" x14ac:dyDescent="0.35">
      <c r="A1840" s="4">
        <v>44672</v>
      </c>
      <c r="B1840" s="3" t="s">
        <v>596</v>
      </c>
      <c r="C1840" s="3">
        <v>37.840000000000003</v>
      </c>
      <c r="D1840" s="3">
        <v>1</v>
      </c>
    </row>
    <row r="1841" spans="1:4" ht="12.75" x14ac:dyDescent="0.35">
      <c r="A1841" s="4">
        <v>44916</v>
      </c>
      <c r="B1841" s="3" t="s">
        <v>668</v>
      </c>
      <c r="C1841" s="3">
        <v>37.81</v>
      </c>
      <c r="D1841" s="3">
        <v>1</v>
      </c>
    </row>
    <row r="1842" spans="1:4" ht="12.75" x14ac:dyDescent="0.35">
      <c r="A1842" s="4">
        <v>44641</v>
      </c>
      <c r="B1842" s="3" t="s">
        <v>687</v>
      </c>
      <c r="C1842" s="3">
        <v>37.799999999999997</v>
      </c>
      <c r="D1842" s="3">
        <v>3</v>
      </c>
    </row>
    <row r="1843" spans="1:4" ht="12.75" x14ac:dyDescent="0.35">
      <c r="A1843" s="4">
        <v>44702</v>
      </c>
      <c r="B1843" s="3" t="s">
        <v>1146</v>
      </c>
      <c r="C1843" s="3">
        <v>37.64</v>
      </c>
      <c r="D1843" s="3">
        <v>2</v>
      </c>
    </row>
    <row r="1844" spans="1:4" ht="12.75" x14ac:dyDescent="0.35">
      <c r="A1844" s="5">
        <v>44733</v>
      </c>
      <c r="B1844" s="3" t="s">
        <v>1178</v>
      </c>
      <c r="C1844" s="3">
        <v>37.450000000000003</v>
      </c>
      <c r="D1844" s="3">
        <v>1</v>
      </c>
    </row>
    <row r="1845" spans="1:4" ht="12.75" x14ac:dyDescent="0.35">
      <c r="A1845" s="5">
        <v>44763</v>
      </c>
      <c r="B1845" s="3" t="s">
        <v>546</v>
      </c>
      <c r="C1845" s="3">
        <v>37.42</v>
      </c>
      <c r="D1845" s="3">
        <v>1</v>
      </c>
    </row>
    <row r="1846" spans="1:4" ht="12.75" x14ac:dyDescent="0.35">
      <c r="A1846" s="4">
        <v>44672</v>
      </c>
      <c r="B1846" s="3" t="s">
        <v>299</v>
      </c>
      <c r="C1846" s="3">
        <v>37.35</v>
      </c>
      <c r="D1846" s="3">
        <v>2</v>
      </c>
    </row>
    <row r="1847" spans="1:4" ht="12.75" x14ac:dyDescent="0.35">
      <c r="A1847" s="4">
        <v>44825</v>
      </c>
      <c r="B1847" s="3" t="s">
        <v>61</v>
      </c>
      <c r="C1847" s="3">
        <v>37.299999999999997</v>
      </c>
      <c r="D1847" s="3">
        <v>1</v>
      </c>
    </row>
    <row r="1848" spans="1:4" ht="12.75" x14ac:dyDescent="0.35">
      <c r="A1848" s="4">
        <v>44582</v>
      </c>
      <c r="B1848" s="3" t="s">
        <v>198</v>
      </c>
      <c r="C1848" s="3">
        <v>37.26</v>
      </c>
      <c r="D1848" s="3">
        <v>4</v>
      </c>
    </row>
    <row r="1849" spans="1:4" ht="12.75" x14ac:dyDescent="0.35">
      <c r="A1849" s="4">
        <v>44916</v>
      </c>
      <c r="B1849" s="3" t="s">
        <v>608</v>
      </c>
      <c r="C1849" s="3">
        <v>37.159999999999997</v>
      </c>
      <c r="D1849" s="3">
        <v>1</v>
      </c>
    </row>
    <row r="1850" spans="1:4" ht="12.75" x14ac:dyDescent="0.35">
      <c r="A1850" s="4">
        <v>44582</v>
      </c>
      <c r="B1850" s="3" t="s">
        <v>53</v>
      </c>
      <c r="C1850" s="3">
        <v>37.090000000000003</v>
      </c>
      <c r="D1850" s="3">
        <v>1</v>
      </c>
    </row>
    <row r="1851" spans="1:4" ht="12.75" x14ac:dyDescent="0.35">
      <c r="A1851" s="4">
        <v>44794</v>
      </c>
      <c r="B1851" s="3" t="s">
        <v>537</v>
      </c>
      <c r="C1851" s="3">
        <v>36.93</v>
      </c>
      <c r="D1851" s="3">
        <v>1</v>
      </c>
    </row>
    <row r="1852" spans="1:4" ht="12.75" x14ac:dyDescent="0.35">
      <c r="A1852" s="4">
        <v>44613</v>
      </c>
      <c r="B1852" s="3" t="s">
        <v>383</v>
      </c>
      <c r="C1852" s="3">
        <v>36.9</v>
      </c>
      <c r="D1852" s="3">
        <v>1</v>
      </c>
    </row>
    <row r="1853" spans="1:4" ht="12.75" x14ac:dyDescent="0.35">
      <c r="A1853" s="5">
        <v>44763</v>
      </c>
      <c r="B1853" s="3" t="s">
        <v>88</v>
      </c>
      <c r="C1853" s="3">
        <v>36.9</v>
      </c>
      <c r="D1853" s="3">
        <v>1</v>
      </c>
    </row>
    <row r="1854" spans="1:4" ht="12.75" x14ac:dyDescent="0.35">
      <c r="A1854" s="4">
        <v>44672</v>
      </c>
      <c r="B1854" s="3" t="s">
        <v>777</v>
      </c>
      <c r="C1854" s="3">
        <v>36.83</v>
      </c>
      <c r="D1854" s="3">
        <v>3</v>
      </c>
    </row>
    <row r="1855" spans="1:4" ht="12.75" x14ac:dyDescent="0.35">
      <c r="A1855" s="4">
        <v>44672</v>
      </c>
      <c r="B1855" s="3" t="s">
        <v>464</v>
      </c>
      <c r="C1855" s="3">
        <v>36.770000000000003</v>
      </c>
      <c r="D1855" s="3">
        <v>1</v>
      </c>
    </row>
    <row r="1856" spans="1:4" ht="12.75" x14ac:dyDescent="0.35">
      <c r="A1856" s="4">
        <v>44641</v>
      </c>
      <c r="B1856" s="3" t="s">
        <v>46</v>
      </c>
      <c r="C1856" s="3">
        <v>36.69</v>
      </c>
      <c r="D1856" s="3">
        <v>1</v>
      </c>
    </row>
    <row r="1857" spans="1:4" ht="12.75" x14ac:dyDescent="0.35">
      <c r="A1857" s="4">
        <v>44855</v>
      </c>
      <c r="B1857" s="3" t="s">
        <v>285</v>
      </c>
      <c r="C1857" s="3">
        <v>36.68</v>
      </c>
      <c r="D1857" s="3">
        <v>1</v>
      </c>
    </row>
    <row r="1858" spans="1:4" ht="12.75" x14ac:dyDescent="0.35">
      <c r="A1858" s="4">
        <v>44825</v>
      </c>
      <c r="B1858" s="3" t="s">
        <v>215</v>
      </c>
      <c r="C1858" s="3">
        <v>36.53</v>
      </c>
      <c r="D1858" s="3">
        <v>7</v>
      </c>
    </row>
    <row r="1859" spans="1:4" ht="12.75" x14ac:dyDescent="0.35">
      <c r="A1859" s="4">
        <v>44672</v>
      </c>
      <c r="B1859" s="3" t="s">
        <v>569</v>
      </c>
      <c r="C1859" s="3">
        <v>36.51</v>
      </c>
      <c r="D1859" s="3">
        <v>2</v>
      </c>
    </row>
    <row r="1860" spans="1:4" ht="12.75" x14ac:dyDescent="0.35">
      <c r="A1860" s="4">
        <v>44794</v>
      </c>
      <c r="B1860" s="3" t="s">
        <v>593</v>
      </c>
      <c r="C1860" s="3">
        <v>36.5</v>
      </c>
      <c r="D1860" s="3">
        <v>1</v>
      </c>
    </row>
    <row r="1861" spans="1:4" ht="12.75" x14ac:dyDescent="0.35">
      <c r="A1861" s="4">
        <v>44855</v>
      </c>
      <c r="B1861" s="3" t="s">
        <v>411</v>
      </c>
      <c r="C1861" s="3">
        <v>36.409999999999997</v>
      </c>
      <c r="D1861" s="3">
        <v>1</v>
      </c>
    </row>
    <row r="1862" spans="1:4" ht="12.75" x14ac:dyDescent="0.35">
      <c r="A1862" s="4">
        <v>44886</v>
      </c>
      <c r="B1862" s="3" t="s">
        <v>1127</v>
      </c>
      <c r="C1862" s="3">
        <v>36.39</v>
      </c>
      <c r="D1862" s="3">
        <v>1</v>
      </c>
    </row>
    <row r="1863" spans="1:4" ht="12.75" x14ac:dyDescent="0.35">
      <c r="A1863" s="4">
        <v>44582</v>
      </c>
      <c r="B1863" s="3" t="s">
        <v>358</v>
      </c>
      <c r="C1863" s="3">
        <v>36.33</v>
      </c>
      <c r="D1863" s="3">
        <v>2</v>
      </c>
    </row>
    <row r="1864" spans="1:4" ht="12.75" x14ac:dyDescent="0.35">
      <c r="A1864" s="4">
        <v>44641</v>
      </c>
      <c r="B1864" s="3" t="s">
        <v>488</v>
      </c>
      <c r="C1864" s="3">
        <v>36.22</v>
      </c>
      <c r="D1864" s="3">
        <v>2</v>
      </c>
    </row>
    <row r="1865" spans="1:4" ht="12.75" x14ac:dyDescent="0.35">
      <c r="A1865" s="4">
        <v>44672</v>
      </c>
      <c r="B1865" s="3" t="s">
        <v>540</v>
      </c>
      <c r="C1865" s="3">
        <v>36.19</v>
      </c>
      <c r="D1865" s="3">
        <v>5</v>
      </c>
    </row>
    <row r="1866" spans="1:4" ht="12.75" x14ac:dyDescent="0.35">
      <c r="A1866" s="4">
        <v>44613</v>
      </c>
      <c r="B1866" s="3" t="s">
        <v>323</v>
      </c>
      <c r="C1866" s="3">
        <v>36.14</v>
      </c>
      <c r="D1866" s="3">
        <v>1</v>
      </c>
    </row>
    <row r="1867" spans="1:4" ht="12.75" x14ac:dyDescent="0.35">
      <c r="A1867" s="4">
        <v>44672</v>
      </c>
      <c r="B1867" s="3" t="s">
        <v>413</v>
      </c>
      <c r="C1867" s="3">
        <v>36.090000000000003</v>
      </c>
      <c r="D1867" s="3">
        <v>2</v>
      </c>
    </row>
    <row r="1868" spans="1:4" ht="12.75" x14ac:dyDescent="0.35">
      <c r="A1868" s="4">
        <v>44916</v>
      </c>
      <c r="B1868" s="3" t="s">
        <v>535</v>
      </c>
      <c r="C1868" s="3">
        <v>36.020000000000003</v>
      </c>
      <c r="D1868" s="3">
        <v>3</v>
      </c>
    </row>
    <row r="1869" spans="1:4" ht="12.75" x14ac:dyDescent="0.35">
      <c r="A1869" s="4">
        <v>44702</v>
      </c>
      <c r="B1869" s="3" t="s">
        <v>375</v>
      </c>
      <c r="C1869" s="3">
        <v>35.99</v>
      </c>
      <c r="D1869" s="3">
        <v>1</v>
      </c>
    </row>
    <row r="1870" spans="1:4" ht="12.75" x14ac:dyDescent="0.35">
      <c r="A1870" s="4">
        <v>44582</v>
      </c>
      <c r="B1870" s="3" t="s">
        <v>324</v>
      </c>
      <c r="C1870" s="3">
        <v>35.950000000000003</v>
      </c>
      <c r="D1870" s="3">
        <v>3</v>
      </c>
    </row>
    <row r="1871" spans="1:4" ht="12.75" x14ac:dyDescent="0.35">
      <c r="A1871" s="5">
        <v>44763</v>
      </c>
      <c r="B1871" s="3" t="s">
        <v>424</v>
      </c>
      <c r="C1871" s="3">
        <v>35.9</v>
      </c>
      <c r="D1871" s="3">
        <v>1</v>
      </c>
    </row>
    <row r="1872" spans="1:4" ht="12.75" x14ac:dyDescent="0.35">
      <c r="A1872" s="4">
        <v>44702</v>
      </c>
      <c r="B1872" s="3" t="s">
        <v>175</v>
      </c>
      <c r="C1872" s="3">
        <v>35.83</v>
      </c>
      <c r="D1872" s="3">
        <v>11</v>
      </c>
    </row>
    <row r="1873" spans="1:4" ht="12.75" x14ac:dyDescent="0.35">
      <c r="A1873" s="4">
        <v>44825</v>
      </c>
      <c r="B1873" s="3" t="s">
        <v>435</v>
      </c>
      <c r="C1873" s="3">
        <v>35.79</v>
      </c>
      <c r="D1873" s="3">
        <v>3</v>
      </c>
    </row>
    <row r="1874" spans="1:4" ht="12.75" x14ac:dyDescent="0.35">
      <c r="A1874" s="4">
        <v>44794</v>
      </c>
      <c r="B1874" s="3" t="s">
        <v>1583</v>
      </c>
      <c r="C1874" s="3">
        <v>35.78</v>
      </c>
      <c r="D1874" s="3">
        <v>2</v>
      </c>
    </row>
    <row r="1875" spans="1:4" ht="12.75" x14ac:dyDescent="0.35">
      <c r="A1875" s="4">
        <v>44794</v>
      </c>
      <c r="B1875" s="3" t="s">
        <v>708</v>
      </c>
      <c r="C1875" s="3">
        <v>35.770000000000003</v>
      </c>
      <c r="D1875" s="3">
        <v>2</v>
      </c>
    </row>
    <row r="1876" spans="1:4" ht="12.75" x14ac:dyDescent="0.35">
      <c r="A1876" s="4">
        <v>44672</v>
      </c>
      <c r="B1876" s="3" t="s">
        <v>899</v>
      </c>
      <c r="C1876" s="3">
        <v>35.69</v>
      </c>
      <c r="D1876" s="3">
        <v>1</v>
      </c>
    </row>
    <row r="1877" spans="1:4" ht="12.75" x14ac:dyDescent="0.35">
      <c r="A1877" s="4">
        <v>44613</v>
      </c>
      <c r="B1877" s="3" t="s">
        <v>351</v>
      </c>
      <c r="C1877" s="3">
        <v>35.67</v>
      </c>
      <c r="D1877" s="3">
        <v>3</v>
      </c>
    </row>
    <row r="1878" spans="1:4" ht="12.75" x14ac:dyDescent="0.35">
      <c r="A1878" s="4">
        <v>44825</v>
      </c>
      <c r="B1878" s="3" t="s">
        <v>406</v>
      </c>
      <c r="C1878" s="3">
        <v>35.450000000000003</v>
      </c>
      <c r="D1878" s="3">
        <v>2</v>
      </c>
    </row>
    <row r="1879" spans="1:4" ht="12.75" x14ac:dyDescent="0.35">
      <c r="A1879" s="5">
        <v>44763</v>
      </c>
      <c r="B1879" s="3" t="s">
        <v>265</v>
      </c>
      <c r="C1879" s="3">
        <v>35.31</v>
      </c>
      <c r="D1879" s="3">
        <v>2</v>
      </c>
    </row>
    <row r="1880" spans="1:4" ht="12.75" x14ac:dyDescent="0.35">
      <c r="A1880" s="4">
        <v>44702</v>
      </c>
      <c r="B1880" s="3" t="s">
        <v>540</v>
      </c>
      <c r="C1880" s="3">
        <v>35.29</v>
      </c>
      <c r="D1880" s="3">
        <v>5</v>
      </c>
    </row>
    <row r="1881" spans="1:4" ht="12.75" x14ac:dyDescent="0.35">
      <c r="A1881" s="4">
        <v>44794</v>
      </c>
      <c r="B1881" s="3" t="s">
        <v>1149</v>
      </c>
      <c r="C1881" s="3">
        <v>35.29</v>
      </c>
      <c r="D1881" s="3">
        <v>1</v>
      </c>
    </row>
    <row r="1882" spans="1:4" ht="12.75" x14ac:dyDescent="0.35">
      <c r="A1882" s="4">
        <v>44641</v>
      </c>
      <c r="B1882" s="3" t="s">
        <v>453</v>
      </c>
      <c r="C1882" s="3">
        <v>35.26</v>
      </c>
      <c r="D1882" s="3">
        <v>1</v>
      </c>
    </row>
    <row r="1883" spans="1:4" ht="12.75" x14ac:dyDescent="0.35">
      <c r="A1883" s="4">
        <v>44886</v>
      </c>
      <c r="B1883" s="3" t="s">
        <v>487</v>
      </c>
      <c r="C1883" s="3">
        <v>34.99</v>
      </c>
      <c r="D1883" s="3">
        <v>2</v>
      </c>
    </row>
    <row r="1884" spans="1:4" ht="12.75" x14ac:dyDescent="0.35">
      <c r="A1884" s="4">
        <v>44855</v>
      </c>
      <c r="B1884" s="3" t="s">
        <v>275</v>
      </c>
      <c r="C1884" s="3">
        <v>34.96</v>
      </c>
      <c r="D1884" s="3">
        <v>1</v>
      </c>
    </row>
    <row r="1885" spans="1:4" ht="12.75" x14ac:dyDescent="0.35">
      <c r="A1885" s="4">
        <v>44916</v>
      </c>
      <c r="B1885" s="3" t="s">
        <v>682</v>
      </c>
      <c r="C1885" s="3">
        <v>34.96</v>
      </c>
      <c r="D1885" s="3">
        <v>9</v>
      </c>
    </row>
    <row r="1886" spans="1:4" ht="12.75" x14ac:dyDescent="0.35">
      <c r="A1886" s="4">
        <v>44582</v>
      </c>
      <c r="B1886" s="3" t="s">
        <v>173</v>
      </c>
      <c r="C1886" s="3">
        <v>34.92</v>
      </c>
      <c r="D1886" s="3">
        <v>1</v>
      </c>
    </row>
    <row r="1887" spans="1:4" ht="12.75" x14ac:dyDescent="0.35">
      <c r="A1887" s="4">
        <v>44582</v>
      </c>
      <c r="B1887" s="3" t="s">
        <v>371</v>
      </c>
      <c r="C1887" s="3">
        <v>34.89</v>
      </c>
      <c r="D1887" s="3">
        <v>1</v>
      </c>
    </row>
    <row r="1888" spans="1:4" ht="12.75" x14ac:dyDescent="0.35">
      <c r="A1888" s="4">
        <v>44613</v>
      </c>
      <c r="B1888" s="3" t="s">
        <v>28</v>
      </c>
      <c r="C1888" s="3">
        <v>34.799999999999997</v>
      </c>
      <c r="D1888" s="3">
        <v>1</v>
      </c>
    </row>
    <row r="1889" spans="1:4" ht="12.75" x14ac:dyDescent="0.35">
      <c r="A1889" s="4">
        <v>44794</v>
      </c>
      <c r="B1889" s="3" t="s">
        <v>1226</v>
      </c>
      <c r="C1889" s="3">
        <v>34.71</v>
      </c>
      <c r="D1889" s="3">
        <v>3</v>
      </c>
    </row>
    <row r="1890" spans="1:4" ht="12.75" x14ac:dyDescent="0.35">
      <c r="A1890" s="4">
        <v>44916</v>
      </c>
      <c r="B1890" s="3" t="s">
        <v>487</v>
      </c>
      <c r="C1890" s="3">
        <v>34.659999999999997</v>
      </c>
      <c r="D1890" s="3">
        <v>2</v>
      </c>
    </row>
    <row r="1891" spans="1:4" ht="12.75" x14ac:dyDescent="0.35">
      <c r="A1891" s="4">
        <v>44641</v>
      </c>
      <c r="B1891" s="3" t="s">
        <v>30</v>
      </c>
      <c r="C1891" s="3">
        <v>34.619999999999997</v>
      </c>
      <c r="D1891" s="3">
        <v>6</v>
      </c>
    </row>
    <row r="1892" spans="1:4" ht="12.75" x14ac:dyDescent="0.35">
      <c r="A1892" s="5">
        <v>44763</v>
      </c>
      <c r="B1892" s="3" t="s">
        <v>297</v>
      </c>
      <c r="C1892" s="3">
        <v>34.61</v>
      </c>
      <c r="D1892" s="3">
        <v>1</v>
      </c>
    </row>
    <row r="1893" spans="1:4" ht="12.75" x14ac:dyDescent="0.35">
      <c r="A1893" s="4">
        <v>44855</v>
      </c>
      <c r="B1893" s="3" t="s">
        <v>35</v>
      </c>
      <c r="C1893" s="3">
        <v>34.56</v>
      </c>
      <c r="D1893" s="3">
        <v>1</v>
      </c>
    </row>
    <row r="1894" spans="1:4" ht="12.75" x14ac:dyDescent="0.35">
      <c r="A1894" s="4">
        <v>44641</v>
      </c>
      <c r="B1894" s="3" t="s">
        <v>645</v>
      </c>
      <c r="C1894" s="3">
        <v>34.51</v>
      </c>
      <c r="D1894" s="3">
        <v>1</v>
      </c>
    </row>
    <row r="1895" spans="1:4" ht="12.75" x14ac:dyDescent="0.35">
      <c r="A1895" s="4">
        <v>44794</v>
      </c>
      <c r="B1895" s="3" t="s">
        <v>620</v>
      </c>
      <c r="C1895" s="3">
        <v>34.46</v>
      </c>
      <c r="D1895" s="3">
        <v>4</v>
      </c>
    </row>
    <row r="1896" spans="1:4" ht="12.75" x14ac:dyDescent="0.35">
      <c r="A1896" s="4">
        <v>44886</v>
      </c>
      <c r="B1896" s="3" t="s">
        <v>336</v>
      </c>
      <c r="C1896" s="3">
        <v>34.409999999999997</v>
      </c>
      <c r="D1896" s="3">
        <v>2</v>
      </c>
    </row>
    <row r="1897" spans="1:4" ht="12.75" x14ac:dyDescent="0.35">
      <c r="A1897" s="4">
        <v>44825</v>
      </c>
      <c r="B1897" s="3" t="s">
        <v>546</v>
      </c>
      <c r="C1897" s="3">
        <v>34.270000000000003</v>
      </c>
      <c r="D1897" s="3">
        <v>1</v>
      </c>
    </row>
    <row r="1898" spans="1:4" ht="12.75" x14ac:dyDescent="0.35">
      <c r="A1898" s="4">
        <v>44582</v>
      </c>
      <c r="B1898" s="3" t="s">
        <v>308</v>
      </c>
      <c r="C1898" s="3">
        <v>34.18</v>
      </c>
      <c r="D1898" s="3">
        <v>4</v>
      </c>
    </row>
    <row r="1899" spans="1:4" ht="12.75" x14ac:dyDescent="0.35">
      <c r="A1899" s="4">
        <v>44613</v>
      </c>
      <c r="B1899" s="3" t="s">
        <v>505</v>
      </c>
      <c r="C1899" s="3">
        <v>34.14</v>
      </c>
      <c r="D1899" s="3">
        <v>5</v>
      </c>
    </row>
    <row r="1900" spans="1:4" ht="12.75" x14ac:dyDescent="0.35">
      <c r="A1900" s="4">
        <v>44825</v>
      </c>
      <c r="B1900" s="3" t="s">
        <v>334</v>
      </c>
      <c r="C1900" s="3">
        <v>34.14</v>
      </c>
      <c r="D1900" s="3">
        <v>1</v>
      </c>
    </row>
    <row r="1901" spans="1:4" ht="12.75" x14ac:dyDescent="0.35">
      <c r="A1901" s="4">
        <v>44672</v>
      </c>
      <c r="B1901" s="3" t="s">
        <v>833</v>
      </c>
      <c r="C1901" s="3">
        <v>34.04</v>
      </c>
      <c r="D1901" s="3">
        <v>1</v>
      </c>
    </row>
    <row r="1902" spans="1:4" ht="12.75" x14ac:dyDescent="0.35">
      <c r="A1902" s="5">
        <v>44733</v>
      </c>
      <c r="B1902" s="3" t="s">
        <v>594</v>
      </c>
      <c r="C1902" s="3">
        <v>34.03</v>
      </c>
      <c r="D1902" s="3">
        <v>4</v>
      </c>
    </row>
    <row r="1903" spans="1:4" ht="12.75" x14ac:dyDescent="0.35">
      <c r="A1903" s="4">
        <v>44702</v>
      </c>
      <c r="B1903" s="3" t="s">
        <v>695</v>
      </c>
      <c r="C1903" s="3">
        <v>33.979999999999997</v>
      </c>
      <c r="D1903" s="3">
        <v>1</v>
      </c>
    </row>
    <row r="1904" spans="1:4" ht="12.75" x14ac:dyDescent="0.35">
      <c r="A1904" s="5">
        <v>44763</v>
      </c>
      <c r="B1904" s="3" t="s">
        <v>37</v>
      </c>
      <c r="C1904" s="3">
        <v>33.97</v>
      </c>
      <c r="D1904" s="3">
        <v>1</v>
      </c>
    </row>
    <row r="1905" spans="1:4" ht="12.75" x14ac:dyDescent="0.35">
      <c r="A1905" s="4">
        <v>44794</v>
      </c>
      <c r="B1905" s="3" t="s">
        <v>155</v>
      </c>
      <c r="C1905" s="3">
        <v>33.97</v>
      </c>
      <c r="D1905" s="3">
        <v>1</v>
      </c>
    </row>
    <row r="1906" spans="1:4" ht="12.75" x14ac:dyDescent="0.35">
      <c r="A1906" s="4">
        <v>44672</v>
      </c>
      <c r="B1906" s="3" t="s">
        <v>372</v>
      </c>
      <c r="C1906" s="3">
        <v>33.83</v>
      </c>
      <c r="D1906" s="3">
        <v>1</v>
      </c>
    </row>
    <row r="1907" spans="1:4" ht="12.75" x14ac:dyDescent="0.35">
      <c r="A1907" s="4">
        <v>44855</v>
      </c>
      <c r="B1907" s="3" t="s">
        <v>1127</v>
      </c>
      <c r="C1907" s="3">
        <v>33.83</v>
      </c>
      <c r="D1907" s="3">
        <v>1</v>
      </c>
    </row>
    <row r="1908" spans="1:4" ht="12.75" x14ac:dyDescent="0.35">
      <c r="A1908" s="5">
        <v>44733</v>
      </c>
      <c r="B1908" s="3" t="s">
        <v>435</v>
      </c>
      <c r="C1908" s="3">
        <v>33.82</v>
      </c>
      <c r="D1908" s="3">
        <v>3</v>
      </c>
    </row>
    <row r="1909" spans="1:4" ht="12.75" x14ac:dyDescent="0.35">
      <c r="A1909" s="5">
        <v>44763</v>
      </c>
      <c r="B1909" s="3" t="s">
        <v>598</v>
      </c>
      <c r="C1909" s="3">
        <v>33.81</v>
      </c>
      <c r="D1909" s="3">
        <v>1</v>
      </c>
    </row>
    <row r="1910" spans="1:4" ht="12.75" x14ac:dyDescent="0.35">
      <c r="A1910" s="4">
        <v>44672</v>
      </c>
      <c r="B1910" s="3" t="s">
        <v>352</v>
      </c>
      <c r="C1910" s="3">
        <v>33.700000000000003</v>
      </c>
      <c r="D1910" s="3">
        <v>1</v>
      </c>
    </row>
    <row r="1911" spans="1:4" ht="12.75" x14ac:dyDescent="0.35">
      <c r="A1911" s="4">
        <v>44825</v>
      </c>
      <c r="B1911" s="3" t="s">
        <v>19</v>
      </c>
      <c r="C1911" s="3">
        <v>33.659999999999997</v>
      </c>
      <c r="D1911" s="3">
        <v>1</v>
      </c>
    </row>
    <row r="1912" spans="1:4" ht="12.75" x14ac:dyDescent="0.35">
      <c r="A1912" s="5">
        <v>44733</v>
      </c>
      <c r="B1912" s="3" t="s">
        <v>298</v>
      </c>
      <c r="C1912" s="3">
        <v>33.520000000000003</v>
      </c>
      <c r="D1912" s="3">
        <v>1</v>
      </c>
    </row>
    <row r="1913" spans="1:4" ht="12.75" x14ac:dyDescent="0.35">
      <c r="A1913" s="4">
        <v>44641</v>
      </c>
      <c r="B1913" s="3" t="s">
        <v>688</v>
      </c>
      <c r="C1913" s="3">
        <v>33.5</v>
      </c>
      <c r="D1913" s="3">
        <v>4</v>
      </c>
    </row>
    <row r="1914" spans="1:4" ht="12.75" x14ac:dyDescent="0.35">
      <c r="A1914" s="4">
        <v>44886</v>
      </c>
      <c r="B1914" s="3" t="s">
        <v>449</v>
      </c>
      <c r="C1914" s="3">
        <v>33.5</v>
      </c>
      <c r="D1914" s="3">
        <v>6</v>
      </c>
    </row>
    <row r="1915" spans="1:4" ht="12.75" x14ac:dyDescent="0.35">
      <c r="A1915" s="4">
        <v>44582</v>
      </c>
      <c r="B1915" s="3" t="s">
        <v>93</v>
      </c>
      <c r="C1915" s="3">
        <v>33.46</v>
      </c>
      <c r="D1915" s="3">
        <v>5</v>
      </c>
    </row>
    <row r="1916" spans="1:4" ht="12.75" x14ac:dyDescent="0.35">
      <c r="A1916" s="4">
        <v>44672</v>
      </c>
      <c r="B1916" s="3" t="s">
        <v>864</v>
      </c>
      <c r="C1916" s="3">
        <v>33.450000000000003</v>
      </c>
      <c r="D1916" s="3">
        <v>1</v>
      </c>
    </row>
    <row r="1917" spans="1:4" ht="12.75" x14ac:dyDescent="0.35">
      <c r="A1917" s="4">
        <v>44886</v>
      </c>
      <c r="B1917" s="3" t="s">
        <v>333</v>
      </c>
      <c r="C1917" s="3">
        <v>33.44</v>
      </c>
      <c r="D1917" s="3">
        <v>2</v>
      </c>
    </row>
    <row r="1918" spans="1:4" ht="12.75" x14ac:dyDescent="0.35">
      <c r="A1918" s="4">
        <v>44825</v>
      </c>
      <c r="B1918" s="3" t="s">
        <v>85</v>
      </c>
      <c r="C1918" s="3">
        <v>33.43</v>
      </c>
      <c r="D1918" s="3">
        <v>1</v>
      </c>
    </row>
    <row r="1919" spans="1:4" ht="12.75" x14ac:dyDescent="0.35">
      <c r="A1919" s="4">
        <v>44641</v>
      </c>
      <c r="B1919" s="3" t="s">
        <v>620</v>
      </c>
      <c r="C1919" s="3">
        <v>33.42</v>
      </c>
      <c r="D1919" s="3">
        <v>4</v>
      </c>
    </row>
    <row r="1920" spans="1:4" ht="12.75" x14ac:dyDescent="0.35">
      <c r="A1920" s="4">
        <v>44886</v>
      </c>
      <c r="B1920" s="3" t="s">
        <v>1837</v>
      </c>
      <c r="C1920" s="3">
        <v>33.4</v>
      </c>
      <c r="D1920" s="3">
        <v>1</v>
      </c>
    </row>
    <row r="1921" spans="1:4" ht="12.75" x14ac:dyDescent="0.35">
      <c r="A1921" s="4">
        <v>44672</v>
      </c>
      <c r="B1921" s="3" t="s">
        <v>162</v>
      </c>
      <c r="C1921" s="3">
        <v>33.33</v>
      </c>
      <c r="D1921" s="3">
        <v>1</v>
      </c>
    </row>
    <row r="1922" spans="1:4" ht="12.75" x14ac:dyDescent="0.35">
      <c r="A1922" s="4">
        <v>44672</v>
      </c>
      <c r="B1922" s="3" t="s">
        <v>762</v>
      </c>
      <c r="C1922" s="3">
        <v>33.270000000000003</v>
      </c>
      <c r="D1922" s="3">
        <v>2</v>
      </c>
    </row>
    <row r="1923" spans="1:4" ht="12.75" x14ac:dyDescent="0.35">
      <c r="A1923" s="4">
        <v>44613</v>
      </c>
      <c r="B1923" s="3" t="s">
        <v>449</v>
      </c>
      <c r="C1923" s="3">
        <v>33.24</v>
      </c>
      <c r="D1923" s="3">
        <v>6</v>
      </c>
    </row>
    <row r="1924" spans="1:4" ht="12.75" x14ac:dyDescent="0.35">
      <c r="A1924" s="5">
        <v>44733</v>
      </c>
      <c r="B1924" s="3" t="s">
        <v>995</v>
      </c>
      <c r="C1924" s="3">
        <v>33.19</v>
      </c>
      <c r="D1924" s="3">
        <v>2</v>
      </c>
    </row>
    <row r="1925" spans="1:4" ht="12.75" x14ac:dyDescent="0.35">
      <c r="A1925" s="4">
        <v>44916</v>
      </c>
      <c r="B1925" s="3" t="s">
        <v>435</v>
      </c>
      <c r="C1925" s="3">
        <v>33.159999999999997</v>
      </c>
      <c r="D1925" s="3">
        <v>3</v>
      </c>
    </row>
    <row r="1926" spans="1:4" ht="12.75" x14ac:dyDescent="0.35">
      <c r="A1926" s="4">
        <v>44672</v>
      </c>
      <c r="B1926" s="3" t="s">
        <v>374</v>
      </c>
      <c r="C1926" s="3">
        <v>33.119999999999997</v>
      </c>
      <c r="D1926" s="3">
        <v>1</v>
      </c>
    </row>
    <row r="1927" spans="1:4" ht="12.75" x14ac:dyDescent="0.35">
      <c r="A1927" s="5">
        <v>44763</v>
      </c>
      <c r="B1927" s="3" t="s">
        <v>931</v>
      </c>
      <c r="C1927" s="3">
        <v>33.119999999999997</v>
      </c>
      <c r="D1927" s="3">
        <v>1</v>
      </c>
    </row>
    <row r="1928" spans="1:4" ht="12.75" x14ac:dyDescent="0.35">
      <c r="A1928" s="4">
        <v>44886</v>
      </c>
      <c r="B1928" s="3" t="s">
        <v>466</v>
      </c>
      <c r="C1928" s="3">
        <v>33.090000000000003</v>
      </c>
      <c r="D1928" s="3">
        <v>1</v>
      </c>
    </row>
    <row r="1929" spans="1:4" ht="12.75" x14ac:dyDescent="0.35">
      <c r="A1929" s="4">
        <v>44916</v>
      </c>
      <c r="B1929" s="3" t="s">
        <v>1195</v>
      </c>
      <c r="C1929" s="3">
        <v>33.07</v>
      </c>
      <c r="D1929" s="3">
        <v>1</v>
      </c>
    </row>
    <row r="1930" spans="1:4" ht="12.75" x14ac:dyDescent="0.35">
      <c r="A1930" s="4">
        <v>44702</v>
      </c>
      <c r="B1930" s="3" t="s">
        <v>157</v>
      </c>
      <c r="C1930" s="3">
        <v>33.06</v>
      </c>
      <c r="D1930" s="3">
        <v>2</v>
      </c>
    </row>
    <row r="1931" spans="1:4" ht="12.75" x14ac:dyDescent="0.35">
      <c r="A1931" s="4">
        <v>44794</v>
      </c>
      <c r="B1931" s="3" t="s">
        <v>364</v>
      </c>
      <c r="C1931" s="3">
        <v>33.01</v>
      </c>
      <c r="D1931" s="3">
        <v>1</v>
      </c>
    </row>
    <row r="1932" spans="1:4" ht="12.75" x14ac:dyDescent="0.35">
      <c r="A1932" s="4">
        <v>44582</v>
      </c>
      <c r="B1932" s="3" t="s">
        <v>383</v>
      </c>
      <c r="C1932" s="3">
        <v>33</v>
      </c>
      <c r="D1932" s="3">
        <v>1</v>
      </c>
    </row>
    <row r="1933" spans="1:4" ht="12.75" x14ac:dyDescent="0.35">
      <c r="A1933" s="5">
        <v>44733</v>
      </c>
      <c r="B1933" s="3" t="s">
        <v>402</v>
      </c>
      <c r="C1933" s="3">
        <v>32.94</v>
      </c>
      <c r="D1933" s="3">
        <v>1</v>
      </c>
    </row>
    <row r="1934" spans="1:4" ht="12.75" x14ac:dyDescent="0.35">
      <c r="A1934" s="5">
        <v>44763</v>
      </c>
      <c r="B1934" s="3" t="s">
        <v>941</v>
      </c>
      <c r="C1934" s="3">
        <v>32.89</v>
      </c>
      <c r="D1934" s="3">
        <v>1</v>
      </c>
    </row>
    <row r="1935" spans="1:4" ht="12.75" x14ac:dyDescent="0.35">
      <c r="A1935" s="4">
        <v>44672</v>
      </c>
      <c r="B1935" s="3" t="s">
        <v>975</v>
      </c>
      <c r="C1935" s="3">
        <v>32.79</v>
      </c>
      <c r="D1935" s="3">
        <v>1</v>
      </c>
    </row>
    <row r="1936" spans="1:4" ht="12.75" x14ac:dyDescent="0.35">
      <c r="A1936" s="4">
        <v>44886</v>
      </c>
      <c r="B1936" s="3" t="s">
        <v>645</v>
      </c>
      <c r="C1936" s="3">
        <v>32.74</v>
      </c>
      <c r="D1936" s="3">
        <v>1</v>
      </c>
    </row>
    <row r="1937" spans="1:4" ht="12.75" x14ac:dyDescent="0.35">
      <c r="A1937" s="4">
        <v>44916</v>
      </c>
      <c r="B1937" s="3" t="s">
        <v>656</v>
      </c>
      <c r="C1937" s="3">
        <v>32.729999999999997</v>
      </c>
      <c r="D1937" s="3">
        <v>2</v>
      </c>
    </row>
    <row r="1938" spans="1:4" ht="12.75" x14ac:dyDescent="0.35">
      <c r="A1938" s="4">
        <v>44672</v>
      </c>
      <c r="B1938" s="3" t="s">
        <v>258</v>
      </c>
      <c r="C1938" s="3">
        <v>32.659999999999997</v>
      </c>
      <c r="D1938" s="3">
        <v>2</v>
      </c>
    </row>
    <row r="1939" spans="1:4" ht="12.75" x14ac:dyDescent="0.35">
      <c r="A1939" s="4">
        <v>44582</v>
      </c>
      <c r="B1939" s="3" t="s">
        <v>250</v>
      </c>
      <c r="C1939" s="3">
        <v>32.65</v>
      </c>
      <c r="D1939" s="3">
        <v>3</v>
      </c>
    </row>
    <row r="1940" spans="1:4" ht="12.75" x14ac:dyDescent="0.35">
      <c r="A1940" s="4">
        <v>44825</v>
      </c>
      <c r="B1940" s="3" t="s">
        <v>49</v>
      </c>
      <c r="C1940" s="3">
        <v>32.65</v>
      </c>
      <c r="D1940" s="3">
        <v>3</v>
      </c>
    </row>
    <row r="1941" spans="1:4" ht="12.75" x14ac:dyDescent="0.35">
      <c r="A1941" s="4">
        <v>44613</v>
      </c>
      <c r="B1941" s="3" t="s">
        <v>131</v>
      </c>
      <c r="C1941" s="3">
        <v>32.64</v>
      </c>
      <c r="D1941" s="3">
        <v>6</v>
      </c>
    </row>
    <row r="1942" spans="1:4" ht="12.75" x14ac:dyDescent="0.35">
      <c r="A1942" s="4">
        <v>44794</v>
      </c>
      <c r="B1942" s="3" t="s">
        <v>1151</v>
      </c>
      <c r="C1942" s="3">
        <v>32.630000000000003</v>
      </c>
      <c r="D1942" s="3">
        <v>1</v>
      </c>
    </row>
    <row r="1943" spans="1:4" ht="12.75" x14ac:dyDescent="0.35">
      <c r="A1943" s="4">
        <v>44641</v>
      </c>
      <c r="B1943" s="3" t="s">
        <v>324</v>
      </c>
      <c r="C1943" s="3">
        <v>32.61</v>
      </c>
      <c r="D1943" s="3">
        <v>3</v>
      </c>
    </row>
    <row r="1944" spans="1:4" ht="12.75" x14ac:dyDescent="0.35">
      <c r="A1944" s="4">
        <v>44702</v>
      </c>
      <c r="B1944" s="3" t="s">
        <v>765</v>
      </c>
      <c r="C1944" s="3">
        <v>32.53</v>
      </c>
      <c r="D1944" s="3">
        <v>2</v>
      </c>
    </row>
    <row r="1945" spans="1:4" ht="12.75" x14ac:dyDescent="0.35">
      <c r="A1945" s="4">
        <v>44702</v>
      </c>
      <c r="B1945" s="3" t="s">
        <v>1021</v>
      </c>
      <c r="C1945" s="3">
        <v>32.409999999999997</v>
      </c>
      <c r="D1945" s="3">
        <v>1</v>
      </c>
    </row>
    <row r="1946" spans="1:4" ht="12.75" x14ac:dyDescent="0.35">
      <c r="A1946" s="4">
        <v>44825</v>
      </c>
      <c r="B1946" s="3" t="s">
        <v>273</v>
      </c>
      <c r="C1946" s="3">
        <v>32.39</v>
      </c>
      <c r="D1946" s="3">
        <v>2</v>
      </c>
    </row>
    <row r="1947" spans="1:4" ht="12.75" x14ac:dyDescent="0.35">
      <c r="A1947" s="4">
        <v>44641</v>
      </c>
      <c r="B1947" s="3" t="s">
        <v>777</v>
      </c>
      <c r="C1947" s="3">
        <v>32.340000000000003</v>
      </c>
      <c r="D1947" s="3">
        <v>3</v>
      </c>
    </row>
    <row r="1948" spans="1:4" ht="12.75" x14ac:dyDescent="0.35">
      <c r="A1948" s="4">
        <v>44582</v>
      </c>
      <c r="B1948" s="3" t="s">
        <v>162</v>
      </c>
      <c r="C1948" s="3">
        <v>32.299999999999997</v>
      </c>
      <c r="D1948" s="3">
        <v>1</v>
      </c>
    </row>
    <row r="1949" spans="1:4" ht="12.75" x14ac:dyDescent="0.35">
      <c r="A1949" s="5">
        <v>44733</v>
      </c>
      <c r="B1949" s="3" t="s">
        <v>451</v>
      </c>
      <c r="C1949" s="3">
        <v>32.26</v>
      </c>
      <c r="D1949" s="3">
        <v>1</v>
      </c>
    </row>
    <row r="1950" spans="1:4" ht="12.75" x14ac:dyDescent="0.35">
      <c r="A1950" s="4">
        <v>44672</v>
      </c>
      <c r="B1950" s="3" t="s">
        <v>723</v>
      </c>
      <c r="C1950" s="3">
        <v>32.1</v>
      </c>
      <c r="D1950" s="3">
        <v>2</v>
      </c>
    </row>
    <row r="1951" spans="1:4" ht="12.75" x14ac:dyDescent="0.35">
      <c r="A1951" s="4">
        <v>44672</v>
      </c>
      <c r="B1951" s="3" t="s">
        <v>812</v>
      </c>
      <c r="C1951" s="3">
        <v>32.07</v>
      </c>
      <c r="D1951" s="3">
        <v>1</v>
      </c>
    </row>
    <row r="1952" spans="1:4" ht="12.75" x14ac:dyDescent="0.35">
      <c r="A1952" s="4">
        <v>44916</v>
      </c>
      <c r="B1952" s="3" t="s">
        <v>244</v>
      </c>
      <c r="C1952" s="3">
        <v>32.049999999999997</v>
      </c>
      <c r="D1952" s="3">
        <v>1</v>
      </c>
    </row>
    <row r="1953" spans="1:4" ht="12.75" x14ac:dyDescent="0.35">
      <c r="A1953" s="5">
        <v>44763</v>
      </c>
      <c r="B1953" s="3" t="s">
        <v>682</v>
      </c>
      <c r="C1953" s="3">
        <v>32.03</v>
      </c>
      <c r="D1953" s="3">
        <v>9</v>
      </c>
    </row>
    <row r="1954" spans="1:4" ht="12.75" x14ac:dyDescent="0.35">
      <c r="A1954" s="4">
        <v>44672</v>
      </c>
      <c r="B1954" s="3" t="s">
        <v>653</v>
      </c>
      <c r="C1954" s="3">
        <v>31.95</v>
      </c>
      <c r="D1954" s="3">
        <v>1</v>
      </c>
    </row>
    <row r="1955" spans="1:4" ht="12.75" x14ac:dyDescent="0.35">
      <c r="A1955" s="4">
        <v>44672</v>
      </c>
      <c r="B1955" s="3" t="s">
        <v>487</v>
      </c>
      <c r="C1955" s="3">
        <v>31.93</v>
      </c>
      <c r="D1955" s="3">
        <v>2</v>
      </c>
    </row>
    <row r="1956" spans="1:4" ht="12.75" x14ac:dyDescent="0.35">
      <c r="A1956" s="4">
        <v>44702</v>
      </c>
      <c r="B1956" s="3" t="s">
        <v>961</v>
      </c>
      <c r="C1956" s="3">
        <v>31.9</v>
      </c>
      <c r="D1956" s="3">
        <v>2</v>
      </c>
    </row>
    <row r="1957" spans="1:4" ht="12.75" x14ac:dyDescent="0.35">
      <c r="A1957" s="4">
        <v>44613</v>
      </c>
      <c r="B1957" s="3" t="s">
        <v>400</v>
      </c>
      <c r="C1957" s="3">
        <v>31.89</v>
      </c>
      <c r="D1957" s="3">
        <v>2</v>
      </c>
    </row>
    <row r="1958" spans="1:4" ht="12.75" x14ac:dyDescent="0.35">
      <c r="A1958" s="4">
        <v>44855</v>
      </c>
      <c r="B1958" s="3" t="s">
        <v>546</v>
      </c>
      <c r="C1958" s="3">
        <v>31.83</v>
      </c>
      <c r="D1958" s="3">
        <v>1</v>
      </c>
    </row>
    <row r="1959" spans="1:4" ht="12.75" x14ac:dyDescent="0.35">
      <c r="A1959" s="4">
        <v>44641</v>
      </c>
      <c r="B1959" s="3" t="s">
        <v>455</v>
      </c>
      <c r="C1959" s="3">
        <v>31.73</v>
      </c>
      <c r="D1959" s="3">
        <v>1</v>
      </c>
    </row>
    <row r="1960" spans="1:4" ht="12.75" x14ac:dyDescent="0.35">
      <c r="A1960" s="5">
        <v>44763</v>
      </c>
      <c r="B1960" s="3" t="s">
        <v>85</v>
      </c>
      <c r="C1960" s="3">
        <v>31.71</v>
      </c>
      <c r="D1960" s="3">
        <v>1</v>
      </c>
    </row>
    <row r="1961" spans="1:4" ht="12.75" x14ac:dyDescent="0.35">
      <c r="A1961" s="4">
        <v>44702</v>
      </c>
      <c r="B1961" s="3" t="s">
        <v>521</v>
      </c>
      <c r="C1961" s="3">
        <v>31.66</v>
      </c>
      <c r="D1961" s="3">
        <v>2</v>
      </c>
    </row>
    <row r="1962" spans="1:4" ht="12.75" x14ac:dyDescent="0.35">
      <c r="A1962" s="4">
        <v>44794</v>
      </c>
      <c r="B1962" s="3" t="s">
        <v>85</v>
      </c>
      <c r="C1962" s="3">
        <v>31.66</v>
      </c>
      <c r="D1962" s="3">
        <v>1</v>
      </c>
    </row>
    <row r="1963" spans="1:4" ht="12.75" x14ac:dyDescent="0.35">
      <c r="A1963" s="4">
        <v>44641</v>
      </c>
      <c r="B1963" s="3" t="s">
        <v>352</v>
      </c>
      <c r="C1963" s="3">
        <v>31.64</v>
      </c>
      <c r="D1963" s="3">
        <v>1</v>
      </c>
    </row>
    <row r="1964" spans="1:4" ht="12.75" x14ac:dyDescent="0.35">
      <c r="A1964" s="4">
        <v>44855</v>
      </c>
      <c r="B1964" s="3" t="s">
        <v>598</v>
      </c>
      <c r="C1964" s="3">
        <v>31.55</v>
      </c>
      <c r="D1964" s="3">
        <v>1</v>
      </c>
    </row>
    <row r="1965" spans="1:4" ht="12.75" x14ac:dyDescent="0.35">
      <c r="A1965" s="4">
        <v>44672</v>
      </c>
      <c r="B1965" s="3" t="s">
        <v>177</v>
      </c>
      <c r="C1965" s="3">
        <v>31.48</v>
      </c>
      <c r="D1965" s="3">
        <v>2</v>
      </c>
    </row>
    <row r="1966" spans="1:4" ht="12.75" x14ac:dyDescent="0.35">
      <c r="A1966" s="4">
        <v>44886</v>
      </c>
      <c r="B1966" s="3" t="s">
        <v>175</v>
      </c>
      <c r="C1966" s="3">
        <v>31.43</v>
      </c>
      <c r="D1966" s="3">
        <v>11</v>
      </c>
    </row>
    <row r="1967" spans="1:4" ht="12.75" x14ac:dyDescent="0.35">
      <c r="A1967" s="4">
        <v>44641</v>
      </c>
      <c r="B1967" s="3" t="s">
        <v>692</v>
      </c>
      <c r="C1967" s="3">
        <v>31.24</v>
      </c>
      <c r="D1967" s="3">
        <v>3</v>
      </c>
    </row>
    <row r="1968" spans="1:4" ht="12.75" x14ac:dyDescent="0.35">
      <c r="A1968" s="4">
        <v>44886</v>
      </c>
      <c r="B1968" s="3" t="s">
        <v>939</v>
      </c>
      <c r="C1968" s="3">
        <v>31.06</v>
      </c>
      <c r="D1968" s="3">
        <v>2</v>
      </c>
    </row>
    <row r="1969" spans="1:4" ht="12.75" x14ac:dyDescent="0.35">
      <c r="A1969" s="4">
        <v>44855</v>
      </c>
      <c r="B1969" s="3" t="s">
        <v>215</v>
      </c>
      <c r="C1969" s="3">
        <v>31.05</v>
      </c>
      <c r="D1969" s="3">
        <v>7</v>
      </c>
    </row>
    <row r="1970" spans="1:4" ht="12.75" x14ac:dyDescent="0.35">
      <c r="A1970" s="4">
        <v>44641</v>
      </c>
      <c r="B1970" s="3" t="s">
        <v>641</v>
      </c>
      <c r="C1970" s="3">
        <v>30.97</v>
      </c>
      <c r="D1970" s="3">
        <v>2</v>
      </c>
    </row>
    <row r="1971" spans="1:4" ht="12.75" x14ac:dyDescent="0.35">
      <c r="A1971" s="5">
        <v>44733</v>
      </c>
      <c r="B1971" s="3" t="s">
        <v>412</v>
      </c>
      <c r="C1971" s="3">
        <v>30.95</v>
      </c>
      <c r="D1971" s="3">
        <v>4</v>
      </c>
    </row>
    <row r="1972" spans="1:4" ht="12.75" x14ac:dyDescent="0.35">
      <c r="A1972" s="4">
        <v>44916</v>
      </c>
      <c r="B1972" s="3" t="s">
        <v>395</v>
      </c>
      <c r="C1972" s="3">
        <v>30.95</v>
      </c>
      <c r="D1972" s="3">
        <v>1</v>
      </c>
    </row>
    <row r="1973" spans="1:4" ht="12.75" x14ac:dyDescent="0.35">
      <c r="A1973" s="4">
        <v>44794</v>
      </c>
      <c r="B1973" s="3" t="s">
        <v>1562</v>
      </c>
      <c r="C1973" s="3">
        <v>30.91</v>
      </c>
      <c r="D1973" s="3">
        <v>2</v>
      </c>
    </row>
    <row r="1974" spans="1:4" ht="12.75" x14ac:dyDescent="0.35">
      <c r="A1974" s="4">
        <v>44613</v>
      </c>
      <c r="B1974" s="3" t="s">
        <v>479</v>
      </c>
      <c r="C1974" s="3">
        <v>30.83</v>
      </c>
      <c r="D1974" s="3">
        <v>3</v>
      </c>
    </row>
    <row r="1975" spans="1:4" ht="12.75" x14ac:dyDescent="0.35">
      <c r="A1975" s="4">
        <v>44855</v>
      </c>
      <c r="B1975" s="3" t="s">
        <v>695</v>
      </c>
      <c r="C1975" s="3">
        <v>30.8</v>
      </c>
      <c r="D1975" s="3">
        <v>1</v>
      </c>
    </row>
    <row r="1976" spans="1:4" ht="12.75" x14ac:dyDescent="0.35">
      <c r="A1976" s="4">
        <v>44886</v>
      </c>
      <c r="B1976" s="3" t="s">
        <v>1525</v>
      </c>
      <c r="C1976" s="3">
        <v>30.78</v>
      </c>
      <c r="D1976" s="3">
        <v>1</v>
      </c>
    </row>
    <row r="1977" spans="1:4" ht="12.75" x14ac:dyDescent="0.35">
      <c r="A1977" s="4">
        <v>44855</v>
      </c>
      <c r="B1977" s="3" t="s">
        <v>348</v>
      </c>
      <c r="C1977" s="3">
        <v>30.68</v>
      </c>
      <c r="D1977" s="3">
        <v>1</v>
      </c>
    </row>
    <row r="1978" spans="1:4" ht="12.75" x14ac:dyDescent="0.35">
      <c r="A1978" s="4">
        <v>44582</v>
      </c>
      <c r="B1978" s="3" t="s">
        <v>354</v>
      </c>
      <c r="C1978" s="3">
        <v>30.63</v>
      </c>
      <c r="D1978" s="3">
        <v>2</v>
      </c>
    </row>
    <row r="1979" spans="1:4" ht="12.75" x14ac:dyDescent="0.35">
      <c r="A1979" s="5">
        <v>44733</v>
      </c>
      <c r="B1979" s="3" t="s">
        <v>227</v>
      </c>
      <c r="C1979" s="3">
        <v>30.6</v>
      </c>
      <c r="D1979" s="3">
        <v>3</v>
      </c>
    </row>
    <row r="1980" spans="1:4" ht="12.75" x14ac:dyDescent="0.35">
      <c r="A1980" s="4">
        <v>44641</v>
      </c>
      <c r="B1980" s="3" t="s">
        <v>727</v>
      </c>
      <c r="C1980" s="3">
        <v>30.56</v>
      </c>
      <c r="D1980" s="3">
        <v>2</v>
      </c>
    </row>
    <row r="1981" spans="1:4" ht="12.75" x14ac:dyDescent="0.35">
      <c r="A1981" s="4">
        <v>44702</v>
      </c>
      <c r="B1981" s="3" t="s">
        <v>555</v>
      </c>
      <c r="C1981" s="3">
        <v>30.56</v>
      </c>
      <c r="D1981" s="3">
        <v>2</v>
      </c>
    </row>
    <row r="1982" spans="1:4" ht="12.75" x14ac:dyDescent="0.35">
      <c r="A1982" s="4">
        <v>44916</v>
      </c>
      <c r="B1982" s="3" t="s">
        <v>466</v>
      </c>
      <c r="C1982" s="3">
        <v>30.55</v>
      </c>
      <c r="D1982" s="3">
        <v>1</v>
      </c>
    </row>
    <row r="1983" spans="1:4" ht="12.75" x14ac:dyDescent="0.35">
      <c r="A1983" s="4">
        <v>44582</v>
      </c>
      <c r="B1983" s="3" t="s">
        <v>338</v>
      </c>
      <c r="C1983" s="3">
        <v>30.52</v>
      </c>
      <c r="D1983" s="3">
        <v>1</v>
      </c>
    </row>
    <row r="1984" spans="1:4" ht="12.75" x14ac:dyDescent="0.35">
      <c r="A1984" s="4">
        <v>44794</v>
      </c>
      <c r="B1984" s="3" t="s">
        <v>1614</v>
      </c>
      <c r="C1984" s="3">
        <v>30.48</v>
      </c>
      <c r="D1984" s="3">
        <v>1</v>
      </c>
    </row>
    <row r="1985" spans="1:4" ht="12.75" x14ac:dyDescent="0.35">
      <c r="A1985" s="4">
        <v>44613</v>
      </c>
      <c r="B1985" s="3" t="s">
        <v>424</v>
      </c>
      <c r="C1985" s="3">
        <v>30.42</v>
      </c>
      <c r="D1985" s="3">
        <v>1</v>
      </c>
    </row>
    <row r="1986" spans="1:4" ht="12.75" x14ac:dyDescent="0.35">
      <c r="A1986" s="4">
        <v>44672</v>
      </c>
      <c r="B1986" s="3" t="s">
        <v>917</v>
      </c>
      <c r="C1986" s="3">
        <v>30.37</v>
      </c>
      <c r="D1986" s="3">
        <v>1</v>
      </c>
    </row>
    <row r="1987" spans="1:4" ht="12.75" x14ac:dyDescent="0.35">
      <c r="A1987" s="5">
        <v>44733</v>
      </c>
      <c r="B1987" s="3" t="s">
        <v>1438</v>
      </c>
      <c r="C1987" s="3">
        <v>30.35</v>
      </c>
      <c r="D1987" s="3">
        <v>1</v>
      </c>
    </row>
    <row r="1988" spans="1:4" ht="12.75" x14ac:dyDescent="0.35">
      <c r="A1988" s="4">
        <v>44641</v>
      </c>
      <c r="B1988" s="3" t="s">
        <v>774</v>
      </c>
      <c r="C1988" s="3">
        <v>30.28</v>
      </c>
      <c r="D1988" s="3">
        <v>1</v>
      </c>
    </row>
    <row r="1989" spans="1:4" ht="12.75" x14ac:dyDescent="0.35">
      <c r="A1989" s="4">
        <v>44702</v>
      </c>
      <c r="B1989" s="3" t="s">
        <v>432</v>
      </c>
      <c r="C1989" s="3">
        <v>30.24</v>
      </c>
      <c r="D1989" s="3">
        <v>1</v>
      </c>
    </row>
    <row r="1990" spans="1:4" ht="12.75" x14ac:dyDescent="0.35">
      <c r="A1990" s="4">
        <v>44825</v>
      </c>
      <c r="B1990" s="3" t="s">
        <v>697</v>
      </c>
      <c r="C1990" s="3">
        <v>30.21</v>
      </c>
      <c r="D1990" s="3">
        <v>2</v>
      </c>
    </row>
    <row r="1991" spans="1:4" ht="12.75" x14ac:dyDescent="0.35">
      <c r="A1991" s="4">
        <v>44794</v>
      </c>
      <c r="B1991" s="3" t="s">
        <v>586</v>
      </c>
      <c r="C1991" s="3">
        <v>30.18</v>
      </c>
      <c r="D1991" s="3">
        <v>1</v>
      </c>
    </row>
    <row r="1992" spans="1:4" ht="12.75" x14ac:dyDescent="0.35">
      <c r="A1992" s="4">
        <v>44855</v>
      </c>
      <c r="B1992" s="3" t="s">
        <v>592</v>
      </c>
      <c r="C1992" s="3">
        <v>30.18</v>
      </c>
      <c r="D1992" s="3">
        <v>1</v>
      </c>
    </row>
    <row r="1993" spans="1:4" ht="12.75" x14ac:dyDescent="0.35">
      <c r="A1993" s="4">
        <v>44613</v>
      </c>
      <c r="B1993" s="3" t="s">
        <v>466</v>
      </c>
      <c r="C1993" s="3">
        <v>30.16</v>
      </c>
      <c r="D1993" s="3">
        <v>1</v>
      </c>
    </row>
    <row r="1994" spans="1:4" ht="12.75" x14ac:dyDescent="0.35">
      <c r="A1994" s="4">
        <v>44641</v>
      </c>
      <c r="B1994" s="3" t="s">
        <v>708</v>
      </c>
      <c r="C1994" s="3">
        <v>30.11</v>
      </c>
      <c r="D1994" s="3">
        <v>2</v>
      </c>
    </row>
    <row r="1995" spans="1:4" ht="12.75" x14ac:dyDescent="0.35">
      <c r="A1995" s="4">
        <v>44582</v>
      </c>
      <c r="B1995" s="3" t="s">
        <v>217</v>
      </c>
      <c r="C1995" s="3">
        <v>30.06</v>
      </c>
      <c r="D1995" s="3">
        <v>1</v>
      </c>
    </row>
    <row r="1996" spans="1:4" ht="12.75" x14ac:dyDescent="0.35">
      <c r="A1996" s="4">
        <v>44794</v>
      </c>
      <c r="B1996" s="3" t="s">
        <v>281</v>
      </c>
      <c r="C1996" s="3">
        <v>30.01</v>
      </c>
      <c r="D1996" s="3">
        <v>1</v>
      </c>
    </row>
    <row r="1997" spans="1:4" ht="12.75" x14ac:dyDescent="0.35">
      <c r="A1997" s="4">
        <v>44582</v>
      </c>
      <c r="B1997" s="3" t="s">
        <v>328</v>
      </c>
      <c r="C1997" s="3">
        <v>30</v>
      </c>
      <c r="D1997" s="3">
        <v>4</v>
      </c>
    </row>
    <row r="1998" spans="1:4" ht="12.75" x14ac:dyDescent="0.35">
      <c r="A1998" s="4">
        <v>44672</v>
      </c>
      <c r="B1998" s="3" t="s">
        <v>678</v>
      </c>
      <c r="C1998" s="3">
        <v>29.99</v>
      </c>
      <c r="D1998" s="3">
        <v>1</v>
      </c>
    </row>
    <row r="1999" spans="1:4" ht="12.75" x14ac:dyDescent="0.35">
      <c r="A1999" s="4">
        <v>44825</v>
      </c>
      <c r="B1999" s="3" t="s">
        <v>484</v>
      </c>
      <c r="C1999" s="3">
        <v>29.99</v>
      </c>
      <c r="D1999" s="3">
        <v>1</v>
      </c>
    </row>
    <row r="2000" spans="1:4" ht="12.75" x14ac:dyDescent="0.35">
      <c r="A2000" s="4">
        <v>44672</v>
      </c>
      <c r="B2000" s="3" t="s">
        <v>319</v>
      </c>
      <c r="C2000" s="3">
        <v>29.98</v>
      </c>
      <c r="D2000" s="3">
        <v>1</v>
      </c>
    </row>
    <row r="2001" spans="1:4" ht="12.75" x14ac:dyDescent="0.35">
      <c r="A2001" s="4">
        <v>44582</v>
      </c>
      <c r="B2001" s="3" t="s">
        <v>75</v>
      </c>
      <c r="C2001" s="3">
        <v>29.88</v>
      </c>
      <c r="D2001" s="3">
        <v>6</v>
      </c>
    </row>
    <row r="2002" spans="1:4" ht="12.75" x14ac:dyDescent="0.35">
      <c r="A2002" s="4">
        <v>44672</v>
      </c>
      <c r="B2002" s="3" t="s">
        <v>17</v>
      </c>
      <c r="C2002" s="3">
        <v>29.88</v>
      </c>
      <c r="D2002" s="3">
        <v>1</v>
      </c>
    </row>
    <row r="2003" spans="1:4" ht="12.75" x14ac:dyDescent="0.35">
      <c r="A2003" s="4">
        <v>44672</v>
      </c>
      <c r="B2003" s="3" t="s">
        <v>113</v>
      </c>
      <c r="C2003" s="3">
        <v>29.87</v>
      </c>
      <c r="D2003" s="3">
        <v>1</v>
      </c>
    </row>
    <row r="2004" spans="1:4" ht="12.75" x14ac:dyDescent="0.35">
      <c r="A2004" s="5">
        <v>44733</v>
      </c>
      <c r="B2004" s="3" t="s">
        <v>579</v>
      </c>
      <c r="C2004" s="3">
        <v>29.84</v>
      </c>
      <c r="D2004" s="3">
        <v>2</v>
      </c>
    </row>
    <row r="2005" spans="1:4" ht="12.75" x14ac:dyDescent="0.35">
      <c r="A2005" s="5">
        <v>44763</v>
      </c>
      <c r="B2005" s="3" t="s">
        <v>415</v>
      </c>
      <c r="C2005" s="3">
        <v>29.84</v>
      </c>
      <c r="D2005" s="3">
        <v>1</v>
      </c>
    </row>
    <row r="2006" spans="1:4" ht="12.75" x14ac:dyDescent="0.35">
      <c r="A2006" s="4">
        <v>44794</v>
      </c>
      <c r="B2006" s="3" t="s">
        <v>923</v>
      </c>
      <c r="C2006" s="3">
        <v>29.82</v>
      </c>
      <c r="D2006" s="3">
        <v>1</v>
      </c>
    </row>
    <row r="2007" spans="1:4" ht="12.75" x14ac:dyDescent="0.35">
      <c r="A2007" s="4">
        <v>44886</v>
      </c>
      <c r="B2007" s="3" t="s">
        <v>379</v>
      </c>
      <c r="C2007" s="3">
        <v>29.7</v>
      </c>
      <c r="D2007" s="3">
        <v>1</v>
      </c>
    </row>
    <row r="2008" spans="1:4" ht="12.75" x14ac:dyDescent="0.35">
      <c r="A2008" s="4">
        <v>44702</v>
      </c>
      <c r="B2008" s="3" t="s">
        <v>253</v>
      </c>
      <c r="C2008" s="3">
        <v>29.65</v>
      </c>
      <c r="D2008" s="3">
        <v>3</v>
      </c>
    </row>
    <row r="2009" spans="1:4" ht="12.75" x14ac:dyDescent="0.35">
      <c r="A2009" s="4">
        <v>44641</v>
      </c>
      <c r="B2009" s="3" t="s">
        <v>448</v>
      </c>
      <c r="C2009" s="3">
        <v>29.64</v>
      </c>
      <c r="D2009" s="3">
        <v>1</v>
      </c>
    </row>
    <row r="2010" spans="1:4" ht="12.75" x14ac:dyDescent="0.35">
      <c r="A2010" s="4">
        <v>44613</v>
      </c>
      <c r="B2010" s="3" t="s">
        <v>443</v>
      </c>
      <c r="C2010" s="3">
        <v>29.61</v>
      </c>
      <c r="D2010" s="3">
        <v>1</v>
      </c>
    </row>
    <row r="2011" spans="1:4" ht="12.75" x14ac:dyDescent="0.35">
      <c r="A2011" s="4">
        <v>44613</v>
      </c>
      <c r="B2011" s="3" t="s">
        <v>559</v>
      </c>
      <c r="C2011" s="3">
        <v>29.54</v>
      </c>
      <c r="D2011" s="3">
        <v>2</v>
      </c>
    </row>
    <row r="2012" spans="1:4" ht="12.75" x14ac:dyDescent="0.35">
      <c r="A2012" s="5">
        <v>44733</v>
      </c>
      <c r="B2012" s="3" t="s">
        <v>131</v>
      </c>
      <c r="C2012" s="3">
        <v>29.53</v>
      </c>
      <c r="D2012" s="3">
        <v>6</v>
      </c>
    </row>
    <row r="2013" spans="1:4" ht="12.75" x14ac:dyDescent="0.35">
      <c r="A2013" s="4">
        <v>44641</v>
      </c>
      <c r="B2013" s="3" t="s">
        <v>724</v>
      </c>
      <c r="C2013" s="3">
        <v>29.5</v>
      </c>
      <c r="D2013" s="3">
        <v>2</v>
      </c>
    </row>
    <row r="2014" spans="1:4" ht="12.75" x14ac:dyDescent="0.35">
      <c r="A2014" s="5">
        <v>44763</v>
      </c>
      <c r="B2014" s="3" t="s">
        <v>1172</v>
      </c>
      <c r="C2014" s="3">
        <v>29.5</v>
      </c>
      <c r="D2014" s="3">
        <v>1</v>
      </c>
    </row>
    <row r="2015" spans="1:4" ht="12.75" x14ac:dyDescent="0.35">
      <c r="A2015" s="4">
        <v>44825</v>
      </c>
      <c r="B2015" s="3" t="s">
        <v>995</v>
      </c>
      <c r="C2015" s="3">
        <v>29.5</v>
      </c>
      <c r="D2015" s="3">
        <v>2</v>
      </c>
    </row>
    <row r="2016" spans="1:4" ht="12.75" x14ac:dyDescent="0.35">
      <c r="A2016" s="4">
        <v>44672</v>
      </c>
      <c r="B2016" s="3" t="s">
        <v>666</v>
      </c>
      <c r="C2016" s="3">
        <v>29.39</v>
      </c>
      <c r="D2016" s="3">
        <v>1</v>
      </c>
    </row>
    <row r="2017" spans="1:4" ht="12.75" x14ac:dyDescent="0.35">
      <c r="A2017" s="4">
        <v>44794</v>
      </c>
      <c r="B2017" s="3" t="s">
        <v>466</v>
      </c>
      <c r="C2017" s="3">
        <v>29.35</v>
      </c>
      <c r="D2017" s="3">
        <v>1</v>
      </c>
    </row>
    <row r="2018" spans="1:4" ht="12.75" x14ac:dyDescent="0.35">
      <c r="A2018" s="4">
        <v>44582</v>
      </c>
      <c r="B2018" s="3" t="s">
        <v>202</v>
      </c>
      <c r="C2018" s="3">
        <v>29.33</v>
      </c>
      <c r="D2018" s="3">
        <v>1</v>
      </c>
    </row>
    <row r="2019" spans="1:4" ht="12.75" x14ac:dyDescent="0.35">
      <c r="A2019" s="4">
        <v>44672</v>
      </c>
      <c r="B2019" s="3" t="s">
        <v>533</v>
      </c>
      <c r="C2019" s="3">
        <v>29.31</v>
      </c>
      <c r="D2019" s="3">
        <v>1</v>
      </c>
    </row>
    <row r="2020" spans="1:4" ht="12.75" x14ac:dyDescent="0.35">
      <c r="A2020" s="4">
        <v>44855</v>
      </c>
      <c r="B2020" s="3" t="s">
        <v>559</v>
      </c>
      <c r="C2020" s="3">
        <v>29.23</v>
      </c>
      <c r="D2020" s="3">
        <v>2</v>
      </c>
    </row>
    <row r="2021" spans="1:4" ht="12.75" x14ac:dyDescent="0.35">
      <c r="A2021" s="4">
        <v>44672</v>
      </c>
      <c r="B2021" s="3" t="s">
        <v>132</v>
      </c>
      <c r="C2021" s="3">
        <v>29.1</v>
      </c>
      <c r="D2021" s="3">
        <v>1</v>
      </c>
    </row>
    <row r="2022" spans="1:4" ht="12.75" x14ac:dyDescent="0.35">
      <c r="A2022" s="4">
        <v>44672</v>
      </c>
      <c r="B2022" s="3" t="s">
        <v>564</v>
      </c>
      <c r="C2022" s="3">
        <v>29.06</v>
      </c>
      <c r="D2022" s="3">
        <v>1</v>
      </c>
    </row>
    <row r="2023" spans="1:4" ht="12.75" x14ac:dyDescent="0.35">
      <c r="A2023" s="4">
        <v>44702</v>
      </c>
      <c r="B2023" s="3" t="s">
        <v>921</v>
      </c>
      <c r="C2023" s="3">
        <v>29.06</v>
      </c>
      <c r="D2023" s="3">
        <v>1</v>
      </c>
    </row>
    <row r="2024" spans="1:4" ht="12.75" x14ac:dyDescent="0.35">
      <c r="A2024" s="4">
        <v>44825</v>
      </c>
      <c r="B2024" s="3" t="s">
        <v>483</v>
      </c>
      <c r="C2024" s="3">
        <v>29.03</v>
      </c>
      <c r="D2024" s="3">
        <v>1</v>
      </c>
    </row>
    <row r="2025" spans="1:4" ht="12.75" x14ac:dyDescent="0.35">
      <c r="A2025" s="4">
        <v>44641</v>
      </c>
      <c r="B2025" s="3" t="s">
        <v>48</v>
      </c>
      <c r="C2025" s="3">
        <v>28.99</v>
      </c>
      <c r="D2025" s="3">
        <v>4</v>
      </c>
    </row>
    <row r="2026" spans="1:4" ht="12.75" x14ac:dyDescent="0.35">
      <c r="A2026" s="4">
        <v>44672</v>
      </c>
      <c r="B2026" s="3" t="s">
        <v>232</v>
      </c>
      <c r="C2026" s="3">
        <v>28.99</v>
      </c>
      <c r="D2026" s="3">
        <v>5</v>
      </c>
    </row>
    <row r="2027" spans="1:4" ht="12.75" x14ac:dyDescent="0.35">
      <c r="A2027" s="4">
        <v>44916</v>
      </c>
      <c r="B2027" s="3" t="s">
        <v>35</v>
      </c>
      <c r="C2027" s="3">
        <v>28.88</v>
      </c>
      <c r="D2027" s="3">
        <v>1</v>
      </c>
    </row>
    <row r="2028" spans="1:4" ht="12.75" x14ac:dyDescent="0.35">
      <c r="A2028" s="4">
        <v>44916</v>
      </c>
      <c r="B2028" s="3" t="s">
        <v>4</v>
      </c>
      <c r="C2028" s="3">
        <v>28.81</v>
      </c>
      <c r="D2028" s="3">
        <v>1</v>
      </c>
    </row>
    <row r="2029" spans="1:4" ht="12.75" x14ac:dyDescent="0.35">
      <c r="A2029" s="4">
        <v>44613</v>
      </c>
      <c r="B2029" s="3" t="s">
        <v>341</v>
      </c>
      <c r="C2029" s="3">
        <v>28.79</v>
      </c>
      <c r="D2029" s="3">
        <v>1</v>
      </c>
    </row>
    <row r="2030" spans="1:4" ht="12.75" x14ac:dyDescent="0.35">
      <c r="A2030" s="4">
        <v>44702</v>
      </c>
      <c r="B2030" s="3" t="s">
        <v>1087</v>
      </c>
      <c r="C2030" s="3">
        <v>28.74</v>
      </c>
      <c r="D2030" s="3">
        <v>1</v>
      </c>
    </row>
    <row r="2031" spans="1:4" ht="12.75" x14ac:dyDescent="0.35">
      <c r="A2031" s="4">
        <v>44794</v>
      </c>
      <c r="B2031" s="3" t="s">
        <v>157</v>
      </c>
      <c r="C2031" s="3">
        <v>28.74</v>
      </c>
      <c r="D2031" s="3">
        <v>2</v>
      </c>
    </row>
    <row r="2032" spans="1:4" ht="12.75" x14ac:dyDescent="0.35">
      <c r="A2032" s="4">
        <v>44641</v>
      </c>
      <c r="B2032" s="3" t="s">
        <v>415</v>
      </c>
      <c r="C2032" s="3">
        <v>28.73</v>
      </c>
      <c r="D2032" s="3">
        <v>1</v>
      </c>
    </row>
    <row r="2033" spans="1:4" ht="12.75" x14ac:dyDescent="0.35">
      <c r="A2033" s="4">
        <v>44582</v>
      </c>
      <c r="B2033" s="3" t="s">
        <v>112</v>
      </c>
      <c r="C2033" s="3">
        <v>28.68</v>
      </c>
      <c r="D2033" s="3">
        <v>2</v>
      </c>
    </row>
    <row r="2034" spans="1:4" ht="12.75" x14ac:dyDescent="0.35">
      <c r="A2034" s="5">
        <v>44733</v>
      </c>
      <c r="B2034" s="3" t="s">
        <v>371</v>
      </c>
      <c r="C2034" s="3">
        <v>28.63</v>
      </c>
      <c r="D2034" s="3">
        <v>1</v>
      </c>
    </row>
    <row r="2035" spans="1:4" ht="12.75" x14ac:dyDescent="0.35">
      <c r="A2035" s="4">
        <v>44672</v>
      </c>
      <c r="B2035" s="3" t="s">
        <v>153</v>
      </c>
      <c r="C2035" s="3">
        <v>28.56</v>
      </c>
      <c r="D2035" s="3">
        <v>1</v>
      </c>
    </row>
    <row r="2036" spans="1:4" ht="12.75" x14ac:dyDescent="0.35">
      <c r="A2036" s="5">
        <v>44763</v>
      </c>
      <c r="B2036" s="3" t="s">
        <v>157</v>
      </c>
      <c r="C2036" s="3">
        <v>28.56</v>
      </c>
      <c r="D2036" s="3">
        <v>2</v>
      </c>
    </row>
    <row r="2037" spans="1:4" ht="12.75" x14ac:dyDescent="0.35">
      <c r="A2037" s="4">
        <v>44672</v>
      </c>
      <c r="B2037" s="3" t="s">
        <v>768</v>
      </c>
      <c r="C2037" s="3">
        <v>28.55</v>
      </c>
      <c r="D2037" s="3">
        <v>1</v>
      </c>
    </row>
    <row r="2038" spans="1:4" ht="12.75" x14ac:dyDescent="0.35">
      <c r="A2038" s="4">
        <v>44641</v>
      </c>
      <c r="B2038" s="3" t="s">
        <v>683</v>
      </c>
      <c r="C2038" s="3">
        <v>28.5</v>
      </c>
      <c r="D2038" s="3">
        <v>1</v>
      </c>
    </row>
    <row r="2039" spans="1:4" ht="12.75" x14ac:dyDescent="0.35">
      <c r="A2039" s="4">
        <v>44672</v>
      </c>
      <c r="B2039" s="3" t="s">
        <v>479</v>
      </c>
      <c r="C2039" s="3">
        <v>28.48</v>
      </c>
      <c r="D2039" s="3">
        <v>3</v>
      </c>
    </row>
    <row r="2040" spans="1:4" ht="12.75" x14ac:dyDescent="0.35">
      <c r="A2040" s="4">
        <v>44613</v>
      </c>
      <c r="B2040" s="3" t="s">
        <v>488</v>
      </c>
      <c r="C2040" s="3">
        <v>28.34</v>
      </c>
      <c r="D2040" s="3">
        <v>2</v>
      </c>
    </row>
    <row r="2041" spans="1:4" ht="12.75" x14ac:dyDescent="0.35">
      <c r="A2041" s="4">
        <v>44672</v>
      </c>
      <c r="B2041" s="3" t="s">
        <v>85</v>
      </c>
      <c r="C2041" s="3">
        <v>28.34</v>
      </c>
      <c r="D2041" s="3">
        <v>1</v>
      </c>
    </row>
    <row r="2042" spans="1:4" ht="12.75" x14ac:dyDescent="0.35">
      <c r="A2042" s="4">
        <v>44855</v>
      </c>
      <c r="B2042" s="3" t="s">
        <v>517</v>
      </c>
      <c r="C2042" s="3">
        <v>28.31</v>
      </c>
      <c r="D2042" s="3">
        <v>3</v>
      </c>
    </row>
    <row r="2043" spans="1:4" ht="12.75" x14ac:dyDescent="0.35">
      <c r="A2043" s="4">
        <v>44825</v>
      </c>
      <c r="B2043" s="3" t="s">
        <v>1098</v>
      </c>
      <c r="C2043" s="3">
        <v>28.3</v>
      </c>
      <c r="D2043" s="3">
        <v>1</v>
      </c>
    </row>
    <row r="2044" spans="1:4" ht="12.75" x14ac:dyDescent="0.35">
      <c r="A2044" s="4">
        <v>44672</v>
      </c>
      <c r="B2044" s="3" t="s">
        <v>802</v>
      </c>
      <c r="C2044" s="3">
        <v>28.22</v>
      </c>
      <c r="D2044" s="3">
        <v>3</v>
      </c>
    </row>
    <row r="2045" spans="1:4" ht="12.75" x14ac:dyDescent="0.35">
      <c r="A2045" s="4">
        <v>44641</v>
      </c>
      <c r="B2045" s="3" t="s">
        <v>629</v>
      </c>
      <c r="C2045" s="3">
        <v>28.16</v>
      </c>
      <c r="D2045" s="3">
        <v>2</v>
      </c>
    </row>
    <row r="2046" spans="1:4" ht="12.75" x14ac:dyDescent="0.35">
      <c r="A2046" s="4">
        <v>44794</v>
      </c>
      <c r="B2046" s="3" t="s">
        <v>74</v>
      </c>
      <c r="C2046" s="3">
        <v>28.14</v>
      </c>
      <c r="D2046" s="3">
        <v>2</v>
      </c>
    </row>
    <row r="2047" spans="1:4" ht="12.75" x14ac:dyDescent="0.35">
      <c r="A2047" s="4">
        <v>44582</v>
      </c>
      <c r="B2047" s="3" t="s">
        <v>316</v>
      </c>
      <c r="C2047" s="3">
        <v>28.13</v>
      </c>
      <c r="D2047" s="3">
        <v>1</v>
      </c>
    </row>
    <row r="2048" spans="1:4" ht="12.75" x14ac:dyDescent="0.35">
      <c r="A2048" s="4">
        <v>44702</v>
      </c>
      <c r="B2048" s="3" t="s">
        <v>593</v>
      </c>
      <c r="C2048" s="3">
        <v>28.13</v>
      </c>
      <c r="D2048" s="3">
        <v>1</v>
      </c>
    </row>
    <row r="2049" spans="1:4" ht="12.75" x14ac:dyDescent="0.35">
      <c r="A2049" s="4">
        <v>44855</v>
      </c>
      <c r="B2049" s="3" t="s">
        <v>624</v>
      </c>
      <c r="C2049" s="3">
        <v>28.11</v>
      </c>
      <c r="D2049" s="3">
        <v>1</v>
      </c>
    </row>
    <row r="2050" spans="1:4" ht="12.75" x14ac:dyDescent="0.35">
      <c r="A2050" s="4">
        <v>44825</v>
      </c>
      <c r="B2050" s="3" t="s">
        <v>1614</v>
      </c>
      <c r="C2050" s="3">
        <v>28.1</v>
      </c>
      <c r="D2050" s="3">
        <v>1</v>
      </c>
    </row>
    <row r="2051" spans="1:4" ht="12.75" x14ac:dyDescent="0.35">
      <c r="A2051" s="4">
        <v>44672</v>
      </c>
      <c r="B2051" s="3" t="s">
        <v>262</v>
      </c>
      <c r="C2051" s="3">
        <v>28.09</v>
      </c>
      <c r="D2051" s="3">
        <v>5</v>
      </c>
    </row>
    <row r="2052" spans="1:4" ht="12.75" x14ac:dyDescent="0.35">
      <c r="A2052" s="5">
        <v>44733</v>
      </c>
      <c r="B2052" s="3" t="s">
        <v>372</v>
      </c>
      <c r="C2052" s="3">
        <v>28.07</v>
      </c>
      <c r="D2052" s="3">
        <v>1</v>
      </c>
    </row>
    <row r="2053" spans="1:4" ht="12.75" x14ac:dyDescent="0.35">
      <c r="A2053" s="5">
        <v>44733</v>
      </c>
      <c r="B2053" s="3" t="s">
        <v>309</v>
      </c>
      <c r="C2053" s="3">
        <v>27.94</v>
      </c>
      <c r="D2053" s="3">
        <v>2</v>
      </c>
    </row>
    <row r="2054" spans="1:4" ht="12.75" x14ac:dyDescent="0.35">
      <c r="A2054" s="4">
        <v>44613</v>
      </c>
      <c r="B2054" s="3" t="s">
        <v>419</v>
      </c>
      <c r="C2054" s="3">
        <v>27.91</v>
      </c>
      <c r="D2054" s="3">
        <v>3</v>
      </c>
    </row>
    <row r="2055" spans="1:4" ht="12.75" x14ac:dyDescent="0.35">
      <c r="A2055" s="4">
        <v>44582</v>
      </c>
      <c r="B2055" s="3" t="s">
        <v>394</v>
      </c>
      <c r="C2055" s="3">
        <v>27.9</v>
      </c>
      <c r="D2055" s="3">
        <v>4</v>
      </c>
    </row>
    <row r="2056" spans="1:4" ht="12.75" x14ac:dyDescent="0.35">
      <c r="A2056" s="5">
        <v>44733</v>
      </c>
      <c r="B2056" s="3" t="s">
        <v>620</v>
      </c>
      <c r="C2056" s="3">
        <v>27.89</v>
      </c>
      <c r="D2056" s="3">
        <v>4</v>
      </c>
    </row>
    <row r="2057" spans="1:4" ht="12.75" x14ac:dyDescent="0.35">
      <c r="A2057" s="5">
        <v>44733</v>
      </c>
      <c r="B2057" s="3" t="s">
        <v>688</v>
      </c>
      <c r="C2057" s="3">
        <v>27.88</v>
      </c>
      <c r="D2057" s="3">
        <v>4</v>
      </c>
    </row>
    <row r="2058" spans="1:4" ht="12.75" x14ac:dyDescent="0.35">
      <c r="A2058" s="5">
        <v>44763</v>
      </c>
      <c r="B2058" s="3" t="s">
        <v>69</v>
      </c>
      <c r="C2058" s="3">
        <v>27.86</v>
      </c>
      <c r="D2058" s="3">
        <v>10</v>
      </c>
    </row>
    <row r="2059" spans="1:4" ht="12.75" x14ac:dyDescent="0.35">
      <c r="A2059" s="4">
        <v>44702</v>
      </c>
      <c r="B2059" s="3" t="s">
        <v>840</v>
      </c>
      <c r="C2059" s="3">
        <v>27.84</v>
      </c>
      <c r="D2059" s="3">
        <v>1</v>
      </c>
    </row>
    <row r="2060" spans="1:4" ht="12.75" x14ac:dyDescent="0.35">
      <c r="A2060" s="4">
        <v>44641</v>
      </c>
      <c r="B2060" s="3" t="s">
        <v>713</v>
      </c>
      <c r="C2060" s="3">
        <v>27.78</v>
      </c>
      <c r="D2060" s="3">
        <v>1</v>
      </c>
    </row>
    <row r="2061" spans="1:4" ht="12.75" x14ac:dyDescent="0.35">
      <c r="A2061" s="5">
        <v>44733</v>
      </c>
      <c r="B2061" s="3" t="s">
        <v>102</v>
      </c>
      <c r="C2061" s="3">
        <v>27.77</v>
      </c>
      <c r="D2061" s="3">
        <v>3</v>
      </c>
    </row>
    <row r="2062" spans="1:4" ht="12.75" x14ac:dyDescent="0.35">
      <c r="A2062" s="4">
        <v>44672</v>
      </c>
      <c r="B2062" s="3" t="s">
        <v>915</v>
      </c>
      <c r="C2062" s="3">
        <v>27.71</v>
      </c>
      <c r="D2062" s="3">
        <v>1</v>
      </c>
    </row>
    <row r="2063" spans="1:4" ht="12.75" x14ac:dyDescent="0.35">
      <c r="A2063" s="4">
        <v>44916</v>
      </c>
      <c r="B2063" s="3" t="s">
        <v>391</v>
      </c>
      <c r="C2063" s="3">
        <v>27.69</v>
      </c>
      <c r="D2063" s="3">
        <v>1</v>
      </c>
    </row>
    <row r="2064" spans="1:4" ht="12.75" x14ac:dyDescent="0.35">
      <c r="A2064" s="4">
        <v>44794</v>
      </c>
      <c r="B2064" s="3" t="s">
        <v>1676</v>
      </c>
      <c r="C2064" s="3">
        <v>27.66</v>
      </c>
      <c r="D2064" s="3">
        <v>1</v>
      </c>
    </row>
    <row r="2065" spans="1:4" ht="12.75" x14ac:dyDescent="0.35">
      <c r="A2065" s="4">
        <v>44855</v>
      </c>
      <c r="B2065" s="3" t="s">
        <v>557</v>
      </c>
      <c r="C2065" s="3">
        <v>27.66</v>
      </c>
      <c r="D2065" s="3">
        <v>3</v>
      </c>
    </row>
    <row r="2066" spans="1:4" ht="12.75" x14ac:dyDescent="0.35">
      <c r="A2066" s="4">
        <v>44641</v>
      </c>
      <c r="B2066" s="3" t="s">
        <v>679</v>
      </c>
      <c r="C2066" s="3">
        <v>27.65</v>
      </c>
      <c r="D2066" s="3">
        <v>2</v>
      </c>
    </row>
    <row r="2067" spans="1:4" ht="12.75" x14ac:dyDescent="0.35">
      <c r="A2067" s="4">
        <v>44672</v>
      </c>
      <c r="B2067" s="3" t="s">
        <v>933</v>
      </c>
      <c r="C2067" s="3">
        <v>27.65</v>
      </c>
      <c r="D2067" s="3">
        <v>1</v>
      </c>
    </row>
    <row r="2068" spans="1:4" ht="12.75" x14ac:dyDescent="0.35">
      <c r="A2068" s="4">
        <v>44613</v>
      </c>
      <c r="B2068" s="3" t="s">
        <v>583</v>
      </c>
      <c r="C2068" s="3">
        <v>27.62</v>
      </c>
      <c r="D2068" s="3">
        <v>1</v>
      </c>
    </row>
    <row r="2069" spans="1:4" ht="12.75" x14ac:dyDescent="0.35">
      <c r="A2069" s="4">
        <v>44672</v>
      </c>
      <c r="B2069" s="3" t="s">
        <v>183</v>
      </c>
      <c r="C2069" s="3">
        <v>27.55</v>
      </c>
      <c r="D2069" s="3">
        <v>1</v>
      </c>
    </row>
    <row r="2070" spans="1:4" ht="12.75" x14ac:dyDescent="0.35">
      <c r="A2070" s="4">
        <v>44641</v>
      </c>
      <c r="B2070" s="3" t="s">
        <v>603</v>
      </c>
      <c r="C2070" s="3">
        <v>27.5</v>
      </c>
      <c r="D2070" s="3">
        <v>1</v>
      </c>
    </row>
    <row r="2071" spans="1:4" ht="12.75" x14ac:dyDescent="0.35">
      <c r="A2071" s="4">
        <v>44641</v>
      </c>
      <c r="B2071" s="3" t="s">
        <v>604</v>
      </c>
      <c r="C2071" s="3">
        <v>27.5</v>
      </c>
      <c r="D2071" s="3">
        <v>1</v>
      </c>
    </row>
    <row r="2072" spans="1:4" ht="12.75" x14ac:dyDescent="0.35">
      <c r="A2072" s="4">
        <v>44641</v>
      </c>
      <c r="B2072" s="3" t="s">
        <v>605</v>
      </c>
      <c r="C2072" s="3">
        <v>27.5</v>
      </c>
      <c r="D2072" s="3">
        <v>1</v>
      </c>
    </row>
    <row r="2073" spans="1:4" ht="12.75" x14ac:dyDescent="0.35">
      <c r="A2073" s="4">
        <v>44641</v>
      </c>
      <c r="B2073" s="3" t="s">
        <v>609</v>
      </c>
      <c r="C2073" s="3">
        <v>27.5</v>
      </c>
      <c r="D2073" s="3">
        <v>1</v>
      </c>
    </row>
    <row r="2074" spans="1:4" ht="12.75" x14ac:dyDescent="0.35">
      <c r="A2074" s="4">
        <v>44641</v>
      </c>
      <c r="B2074" s="3" t="s">
        <v>613</v>
      </c>
      <c r="C2074" s="3">
        <v>27.5</v>
      </c>
      <c r="D2074" s="3">
        <v>1</v>
      </c>
    </row>
    <row r="2075" spans="1:4" ht="12.75" x14ac:dyDescent="0.35">
      <c r="A2075" s="4">
        <v>44641</v>
      </c>
      <c r="B2075" s="3" t="s">
        <v>621</v>
      </c>
      <c r="C2075" s="3">
        <v>27.5</v>
      </c>
      <c r="D2075" s="3">
        <v>1</v>
      </c>
    </row>
    <row r="2076" spans="1:4" ht="12.75" x14ac:dyDescent="0.35">
      <c r="A2076" s="4">
        <v>44641</v>
      </c>
      <c r="B2076" s="3" t="s">
        <v>623</v>
      </c>
      <c r="C2076" s="3">
        <v>27.5</v>
      </c>
      <c r="D2076" s="3">
        <v>1</v>
      </c>
    </row>
    <row r="2077" spans="1:4" ht="12.75" x14ac:dyDescent="0.35">
      <c r="A2077" s="4">
        <v>44641</v>
      </c>
      <c r="B2077" s="3" t="s">
        <v>625</v>
      </c>
      <c r="C2077" s="3">
        <v>27.5</v>
      </c>
      <c r="D2077" s="3">
        <v>1</v>
      </c>
    </row>
    <row r="2078" spans="1:4" ht="12.75" x14ac:dyDescent="0.35">
      <c r="A2078" s="4">
        <v>44641</v>
      </c>
      <c r="B2078" s="3" t="s">
        <v>630</v>
      </c>
      <c r="C2078" s="3">
        <v>27.5</v>
      </c>
      <c r="D2078" s="3">
        <v>1</v>
      </c>
    </row>
    <row r="2079" spans="1:4" ht="12.75" x14ac:dyDescent="0.35">
      <c r="A2079" s="4">
        <v>44641</v>
      </c>
      <c r="B2079" s="3" t="s">
        <v>631</v>
      </c>
      <c r="C2079" s="3">
        <v>27.5</v>
      </c>
      <c r="D2079" s="3">
        <v>1</v>
      </c>
    </row>
    <row r="2080" spans="1:4" ht="12.75" x14ac:dyDescent="0.35">
      <c r="A2080" s="4">
        <v>44641</v>
      </c>
      <c r="B2080" s="3" t="s">
        <v>632</v>
      </c>
      <c r="C2080" s="3">
        <v>27.5</v>
      </c>
      <c r="D2080" s="3">
        <v>1</v>
      </c>
    </row>
    <row r="2081" spans="1:4" ht="12.75" x14ac:dyDescent="0.35">
      <c r="A2081" s="4">
        <v>44641</v>
      </c>
      <c r="B2081" s="3" t="s">
        <v>633</v>
      </c>
      <c r="C2081" s="3">
        <v>27.5</v>
      </c>
      <c r="D2081" s="3">
        <v>1</v>
      </c>
    </row>
    <row r="2082" spans="1:4" ht="12.75" x14ac:dyDescent="0.35">
      <c r="A2082" s="4">
        <v>44641</v>
      </c>
      <c r="B2082" s="3" t="s">
        <v>634</v>
      </c>
      <c r="C2082" s="3">
        <v>27.5</v>
      </c>
      <c r="D2082" s="3">
        <v>1</v>
      </c>
    </row>
    <row r="2083" spans="1:4" ht="12.75" x14ac:dyDescent="0.35">
      <c r="A2083" s="4">
        <v>44641</v>
      </c>
      <c r="B2083" s="3" t="s">
        <v>635</v>
      </c>
      <c r="C2083" s="3">
        <v>27.5</v>
      </c>
      <c r="D2083" s="3">
        <v>1</v>
      </c>
    </row>
    <row r="2084" spans="1:4" ht="12.75" x14ac:dyDescent="0.35">
      <c r="A2084" s="4">
        <v>44641</v>
      </c>
      <c r="B2084" s="3" t="s">
        <v>636</v>
      </c>
      <c r="C2084" s="3">
        <v>27.5</v>
      </c>
      <c r="D2084" s="3">
        <v>1</v>
      </c>
    </row>
    <row r="2085" spans="1:4" ht="12.75" x14ac:dyDescent="0.35">
      <c r="A2085" s="4">
        <v>44641</v>
      </c>
      <c r="B2085" s="3" t="s">
        <v>637</v>
      </c>
      <c r="C2085" s="3">
        <v>27.5</v>
      </c>
      <c r="D2085" s="3">
        <v>1</v>
      </c>
    </row>
    <row r="2086" spans="1:4" ht="12.75" x14ac:dyDescent="0.35">
      <c r="A2086" s="4">
        <v>44641</v>
      </c>
      <c r="B2086" s="3" t="s">
        <v>640</v>
      </c>
      <c r="C2086" s="3">
        <v>27.5</v>
      </c>
      <c r="D2086" s="3">
        <v>1</v>
      </c>
    </row>
    <row r="2087" spans="1:4" ht="12.75" x14ac:dyDescent="0.35">
      <c r="A2087" s="4">
        <v>44641</v>
      </c>
      <c r="B2087" s="3" t="s">
        <v>643</v>
      </c>
      <c r="C2087" s="3">
        <v>27.5</v>
      </c>
      <c r="D2087" s="3">
        <v>1</v>
      </c>
    </row>
    <row r="2088" spans="1:4" ht="12.75" x14ac:dyDescent="0.35">
      <c r="A2088" s="4">
        <v>44641</v>
      </c>
      <c r="B2088" s="3" t="s">
        <v>644</v>
      </c>
      <c r="C2088" s="3">
        <v>27.5</v>
      </c>
      <c r="D2088" s="3">
        <v>1</v>
      </c>
    </row>
    <row r="2089" spans="1:4" ht="12.75" x14ac:dyDescent="0.35">
      <c r="A2089" s="4">
        <v>44641</v>
      </c>
      <c r="B2089" s="3" t="s">
        <v>647</v>
      </c>
      <c r="C2089" s="3">
        <v>27.5</v>
      </c>
      <c r="D2089" s="3">
        <v>1</v>
      </c>
    </row>
    <row r="2090" spans="1:4" ht="12.75" x14ac:dyDescent="0.35">
      <c r="A2090" s="4">
        <v>44641</v>
      </c>
      <c r="B2090" s="3" t="s">
        <v>651</v>
      </c>
      <c r="C2090" s="3">
        <v>27.5</v>
      </c>
      <c r="D2090" s="3">
        <v>1</v>
      </c>
    </row>
    <row r="2091" spans="1:4" ht="12.75" x14ac:dyDescent="0.35">
      <c r="A2091" s="4">
        <v>44641</v>
      </c>
      <c r="B2091" s="3" t="s">
        <v>654</v>
      </c>
      <c r="C2091" s="3">
        <v>27.5</v>
      </c>
      <c r="D2091" s="3">
        <v>1</v>
      </c>
    </row>
    <row r="2092" spans="1:4" ht="12.75" x14ac:dyDescent="0.35">
      <c r="A2092" s="4">
        <v>44641</v>
      </c>
      <c r="B2092" s="3" t="s">
        <v>655</v>
      </c>
      <c r="C2092" s="3">
        <v>27.5</v>
      </c>
      <c r="D2092" s="3">
        <v>1</v>
      </c>
    </row>
    <row r="2093" spans="1:4" ht="12.75" x14ac:dyDescent="0.35">
      <c r="A2093" s="4">
        <v>44641</v>
      </c>
      <c r="B2093" s="3" t="s">
        <v>660</v>
      </c>
      <c r="C2093" s="3">
        <v>27.5</v>
      </c>
      <c r="D2093" s="3">
        <v>1</v>
      </c>
    </row>
    <row r="2094" spans="1:4" ht="12.75" x14ac:dyDescent="0.35">
      <c r="A2094" s="4">
        <v>44641</v>
      </c>
      <c r="B2094" s="3" t="s">
        <v>661</v>
      </c>
      <c r="C2094" s="3">
        <v>27.5</v>
      </c>
      <c r="D2094" s="3">
        <v>1</v>
      </c>
    </row>
    <row r="2095" spans="1:4" ht="12.75" x14ac:dyDescent="0.35">
      <c r="A2095" s="4">
        <v>44641</v>
      </c>
      <c r="B2095" s="3" t="s">
        <v>662</v>
      </c>
      <c r="C2095" s="3">
        <v>27.5</v>
      </c>
      <c r="D2095" s="3">
        <v>1</v>
      </c>
    </row>
    <row r="2096" spans="1:4" ht="12.75" x14ac:dyDescent="0.35">
      <c r="A2096" s="4">
        <v>44641</v>
      </c>
      <c r="B2096" s="3" t="s">
        <v>663</v>
      </c>
      <c r="C2096" s="3">
        <v>27.5</v>
      </c>
      <c r="D2096" s="3">
        <v>1</v>
      </c>
    </row>
    <row r="2097" spans="1:4" ht="12.75" x14ac:dyDescent="0.35">
      <c r="A2097" s="4">
        <v>44641</v>
      </c>
      <c r="B2097" s="3" t="s">
        <v>664</v>
      </c>
      <c r="C2097" s="3">
        <v>27.5</v>
      </c>
      <c r="D2097" s="3">
        <v>1</v>
      </c>
    </row>
    <row r="2098" spans="1:4" ht="12.75" x14ac:dyDescent="0.35">
      <c r="A2098" s="4">
        <v>44641</v>
      </c>
      <c r="B2098" s="3" t="s">
        <v>665</v>
      </c>
      <c r="C2098" s="3">
        <v>27.5</v>
      </c>
      <c r="D2098" s="3">
        <v>1</v>
      </c>
    </row>
    <row r="2099" spans="1:4" ht="12.75" x14ac:dyDescent="0.35">
      <c r="A2099" s="4">
        <v>44641</v>
      </c>
      <c r="B2099" s="3" t="s">
        <v>667</v>
      </c>
      <c r="C2099" s="3">
        <v>27.5</v>
      </c>
      <c r="D2099" s="3">
        <v>1</v>
      </c>
    </row>
    <row r="2100" spans="1:4" ht="12.75" x14ac:dyDescent="0.35">
      <c r="A2100" s="4">
        <v>44641</v>
      </c>
      <c r="B2100" s="3" t="s">
        <v>671</v>
      </c>
      <c r="C2100" s="3">
        <v>27.5</v>
      </c>
      <c r="D2100" s="3">
        <v>1</v>
      </c>
    </row>
    <row r="2101" spans="1:4" ht="12.75" x14ac:dyDescent="0.35">
      <c r="A2101" s="4">
        <v>44641</v>
      </c>
      <c r="B2101" s="3" t="s">
        <v>672</v>
      </c>
      <c r="C2101" s="3">
        <v>27.5</v>
      </c>
      <c r="D2101" s="3">
        <v>1</v>
      </c>
    </row>
    <row r="2102" spans="1:4" ht="12.75" x14ac:dyDescent="0.35">
      <c r="A2102" s="4">
        <v>44641</v>
      </c>
      <c r="B2102" s="3" t="s">
        <v>673</v>
      </c>
      <c r="C2102" s="3">
        <v>27.5</v>
      </c>
      <c r="D2102" s="3">
        <v>1</v>
      </c>
    </row>
    <row r="2103" spans="1:4" ht="12.75" x14ac:dyDescent="0.35">
      <c r="A2103" s="4">
        <v>44641</v>
      </c>
      <c r="B2103" s="3" t="s">
        <v>674</v>
      </c>
      <c r="C2103" s="3">
        <v>27.5</v>
      </c>
      <c r="D2103" s="3">
        <v>1</v>
      </c>
    </row>
    <row r="2104" spans="1:4" ht="12.75" x14ac:dyDescent="0.35">
      <c r="A2104" s="4">
        <v>44641</v>
      </c>
      <c r="B2104" s="3" t="s">
        <v>680</v>
      </c>
      <c r="C2104" s="3">
        <v>27.5</v>
      </c>
      <c r="D2104" s="3">
        <v>1</v>
      </c>
    </row>
    <row r="2105" spans="1:4" ht="12.75" x14ac:dyDescent="0.35">
      <c r="A2105" s="4">
        <v>44641</v>
      </c>
      <c r="B2105" s="3" t="s">
        <v>684</v>
      </c>
      <c r="C2105" s="3">
        <v>27.5</v>
      </c>
      <c r="D2105" s="3">
        <v>1</v>
      </c>
    </row>
    <row r="2106" spans="1:4" ht="12.75" x14ac:dyDescent="0.35">
      <c r="A2106" s="4">
        <v>44641</v>
      </c>
      <c r="B2106" s="3" t="s">
        <v>689</v>
      </c>
      <c r="C2106" s="3">
        <v>27.5</v>
      </c>
      <c r="D2106" s="3">
        <v>1</v>
      </c>
    </row>
    <row r="2107" spans="1:4" ht="12.75" x14ac:dyDescent="0.35">
      <c r="A2107" s="4">
        <v>44641</v>
      </c>
      <c r="B2107" s="3" t="s">
        <v>690</v>
      </c>
      <c r="C2107" s="3">
        <v>27.5</v>
      </c>
      <c r="D2107" s="3">
        <v>1</v>
      </c>
    </row>
    <row r="2108" spans="1:4" ht="12.75" x14ac:dyDescent="0.35">
      <c r="A2108" s="4">
        <v>44641</v>
      </c>
      <c r="B2108" s="3" t="s">
        <v>691</v>
      </c>
      <c r="C2108" s="3">
        <v>27.5</v>
      </c>
      <c r="D2108" s="3">
        <v>1</v>
      </c>
    </row>
    <row r="2109" spans="1:4" ht="12.75" x14ac:dyDescent="0.35">
      <c r="A2109" s="4">
        <v>44641</v>
      </c>
      <c r="B2109" s="3" t="s">
        <v>693</v>
      </c>
      <c r="C2109" s="3">
        <v>27.5</v>
      </c>
      <c r="D2109" s="3">
        <v>1</v>
      </c>
    </row>
    <row r="2110" spans="1:4" ht="12.75" x14ac:dyDescent="0.35">
      <c r="A2110" s="4">
        <v>44641</v>
      </c>
      <c r="B2110" s="3" t="s">
        <v>696</v>
      </c>
      <c r="C2110" s="3">
        <v>27.5</v>
      </c>
      <c r="D2110" s="3">
        <v>1</v>
      </c>
    </row>
    <row r="2111" spans="1:4" ht="12.75" x14ac:dyDescent="0.35">
      <c r="A2111" s="4">
        <v>44641</v>
      </c>
      <c r="B2111" s="3" t="s">
        <v>701</v>
      </c>
      <c r="C2111" s="3">
        <v>27.5</v>
      </c>
      <c r="D2111" s="3">
        <v>1</v>
      </c>
    </row>
    <row r="2112" spans="1:4" ht="12.75" x14ac:dyDescent="0.35">
      <c r="A2112" s="4">
        <v>44641</v>
      </c>
      <c r="B2112" s="3" t="s">
        <v>702</v>
      </c>
      <c r="C2112" s="3">
        <v>27.5</v>
      </c>
      <c r="D2112" s="3">
        <v>1</v>
      </c>
    </row>
    <row r="2113" spans="1:4" ht="12.75" x14ac:dyDescent="0.35">
      <c r="A2113" s="4">
        <v>44641</v>
      </c>
      <c r="B2113" s="3" t="s">
        <v>705</v>
      </c>
      <c r="C2113" s="3">
        <v>27.5</v>
      </c>
      <c r="D2113" s="3">
        <v>1</v>
      </c>
    </row>
    <row r="2114" spans="1:4" ht="12.75" x14ac:dyDescent="0.35">
      <c r="A2114" s="4">
        <v>44641</v>
      </c>
      <c r="B2114" s="3" t="s">
        <v>706</v>
      </c>
      <c r="C2114" s="3">
        <v>27.5</v>
      </c>
      <c r="D2114" s="3">
        <v>1</v>
      </c>
    </row>
    <row r="2115" spans="1:4" ht="12.75" x14ac:dyDescent="0.35">
      <c r="A2115" s="4">
        <v>44641</v>
      </c>
      <c r="B2115" s="3" t="s">
        <v>707</v>
      </c>
      <c r="C2115" s="3">
        <v>27.5</v>
      </c>
      <c r="D2115" s="3">
        <v>1</v>
      </c>
    </row>
    <row r="2116" spans="1:4" ht="12.75" x14ac:dyDescent="0.35">
      <c r="A2116" s="4">
        <v>44641</v>
      </c>
      <c r="B2116" s="3" t="s">
        <v>709</v>
      </c>
      <c r="C2116" s="3">
        <v>27.5</v>
      </c>
      <c r="D2116" s="3">
        <v>1</v>
      </c>
    </row>
    <row r="2117" spans="1:4" ht="12.75" x14ac:dyDescent="0.35">
      <c r="A2117" s="4">
        <v>44641</v>
      </c>
      <c r="B2117" s="3" t="s">
        <v>710</v>
      </c>
      <c r="C2117" s="3">
        <v>27.5</v>
      </c>
      <c r="D2117" s="3">
        <v>1</v>
      </c>
    </row>
    <row r="2118" spans="1:4" ht="12.75" x14ac:dyDescent="0.35">
      <c r="A2118" s="4">
        <v>44641</v>
      </c>
      <c r="B2118" s="3" t="s">
        <v>711</v>
      </c>
      <c r="C2118" s="3">
        <v>27.5</v>
      </c>
      <c r="D2118" s="3">
        <v>1</v>
      </c>
    </row>
    <row r="2119" spans="1:4" ht="12.75" x14ac:dyDescent="0.35">
      <c r="A2119" s="4">
        <v>44641</v>
      </c>
      <c r="B2119" s="3" t="s">
        <v>434</v>
      </c>
      <c r="C2119" s="3">
        <v>27.5</v>
      </c>
      <c r="D2119" s="3">
        <v>1</v>
      </c>
    </row>
    <row r="2120" spans="1:4" ht="12.75" x14ac:dyDescent="0.35">
      <c r="A2120" s="4">
        <v>44641</v>
      </c>
      <c r="B2120" s="3" t="s">
        <v>712</v>
      </c>
      <c r="C2120" s="3">
        <v>27.5</v>
      </c>
      <c r="D2120" s="3">
        <v>1</v>
      </c>
    </row>
    <row r="2121" spans="1:4" ht="12.75" x14ac:dyDescent="0.35">
      <c r="A2121" s="4">
        <v>44641</v>
      </c>
      <c r="B2121" s="3" t="s">
        <v>716</v>
      </c>
      <c r="C2121" s="3">
        <v>27.5</v>
      </c>
      <c r="D2121" s="3">
        <v>1</v>
      </c>
    </row>
    <row r="2122" spans="1:4" ht="12.75" x14ac:dyDescent="0.35">
      <c r="A2122" s="4">
        <v>44641</v>
      </c>
      <c r="B2122" s="3" t="s">
        <v>717</v>
      </c>
      <c r="C2122" s="3">
        <v>27.5</v>
      </c>
      <c r="D2122" s="3">
        <v>1</v>
      </c>
    </row>
    <row r="2123" spans="1:4" ht="12.75" x14ac:dyDescent="0.35">
      <c r="A2123" s="4">
        <v>44641</v>
      </c>
      <c r="B2123" s="3" t="s">
        <v>721</v>
      </c>
      <c r="C2123" s="3">
        <v>27.5</v>
      </c>
      <c r="D2123" s="3">
        <v>1</v>
      </c>
    </row>
    <row r="2124" spans="1:4" ht="12.75" x14ac:dyDescent="0.35">
      <c r="A2124" s="4">
        <v>44641</v>
      </c>
      <c r="B2124" s="3" t="s">
        <v>722</v>
      </c>
      <c r="C2124" s="3">
        <v>27.5</v>
      </c>
      <c r="D2124" s="3">
        <v>1</v>
      </c>
    </row>
    <row r="2125" spans="1:4" ht="12.75" x14ac:dyDescent="0.35">
      <c r="A2125" s="4">
        <v>44641</v>
      </c>
      <c r="B2125" s="3" t="s">
        <v>728</v>
      </c>
      <c r="C2125" s="3">
        <v>27.5</v>
      </c>
      <c r="D2125" s="3">
        <v>1</v>
      </c>
    </row>
    <row r="2126" spans="1:4" ht="12.75" x14ac:dyDescent="0.35">
      <c r="A2126" s="4">
        <v>44641</v>
      </c>
      <c r="B2126" s="3" t="s">
        <v>729</v>
      </c>
      <c r="C2126" s="3">
        <v>27.5</v>
      </c>
      <c r="D2126" s="3">
        <v>1</v>
      </c>
    </row>
    <row r="2127" spans="1:4" ht="12.75" x14ac:dyDescent="0.35">
      <c r="A2127" s="4">
        <v>44641</v>
      </c>
      <c r="B2127" s="3" t="s">
        <v>730</v>
      </c>
      <c r="C2127" s="3">
        <v>27.5</v>
      </c>
      <c r="D2127" s="3">
        <v>1</v>
      </c>
    </row>
    <row r="2128" spans="1:4" ht="12.75" x14ac:dyDescent="0.35">
      <c r="A2128" s="4">
        <v>44641</v>
      </c>
      <c r="B2128" s="3" t="s">
        <v>739</v>
      </c>
      <c r="C2128" s="3">
        <v>27.5</v>
      </c>
      <c r="D2128" s="3">
        <v>1</v>
      </c>
    </row>
    <row r="2129" spans="1:4" ht="12.75" x14ac:dyDescent="0.35">
      <c r="A2129" s="4">
        <v>44641</v>
      </c>
      <c r="B2129" s="3" t="s">
        <v>740</v>
      </c>
      <c r="C2129" s="3">
        <v>27.5</v>
      </c>
      <c r="D2129" s="3">
        <v>1</v>
      </c>
    </row>
    <row r="2130" spans="1:4" ht="12.75" x14ac:dyDescent="0.35">
      <c r="A2130" s="4">
        <v>44641</v>
      </c>
      <c r="B2130" s="3" t="s">
        <v>743</v>
      </c>
      <c r="C2130" s="3">
        <v>27.5</v>
      </c>
      <c r="D2130" s="3">
        <v>1</v>
      </c>
    </row>
    <row r="2131" spans="1:4" ht="12.75" x14ac:dyDescent="0.35">
      <c r="A2131" s="4">
        <v>44641</v>
      </c>
      <c r="B2131" s="3" t="s">
        <v>744</v>
      </c>
      <c r="C2131" s="3">
        <v>27.5</v>
      </c>
      <c r="D2131" s="3">
        <v>1</v>
      </c>
    </row>
    <row r="2132" spans="1:4" ht="12.75" x14ac:dyDescent="0.35">
      <c r="A2132" s="4">
        <v>44641</v>
      </c>
      <c r="B2132" s="3" t="s">
        <v>745</v>
      </c>
      <c r="C2132" s="3">
        <v>27.5</v>
      </c>
      <c r="D2132" s="3">
        <v>1</v>
      </c>
    </row>
    <row r="2133" spans="1:4" ht="12.75" x14ac:dyDescent="0.35">
      <c r="A2133" s="4">
        <v>44641</v>
      </c>
      <c r="B2133" s="3" t="s">
        <v>748</v>
      </c>
      <c r="C2133" s="3">
        <v>27.5</v>
      </c>
      <c r="D2133" s="3">
        <v>1</v>
      </c>
    </row>
    <row r="2134" spans="1:4" ht="12.75" x14ac:dyDescent="0.35">
      <c r="A2134" s="4">
        <v>44641</v>
      </c>
      <c r="B2134" s="3" t="s">
        <v>749</v>
      </c>
      <c r="C2134" s="3">
        <v>27.5</v>
      </c>
      <c r="D2134" s="3">
        <v>1</v>
      </c>
    </row>
    <row r="2135" spans="1:4" ht="12.75" x14ac:dyDescent="0.35">
      <c r="A2135" s="4">
        <v>44641</v>
      </c>
      <c r="B2135" s="3" t="s">
        <v>751</v>
      </c>
      <c r="C2135" s="3">
        <v>27.5</v>
      </c>
      <c r="D2135" s="3">
        <v>1</v>
      </c>
    </row>
    <row r="2136" spans="1:4" ht="12.75" x14ac:dyDescent="0.35">
      <c r="A2136" s="4">
        <v>44641</v>
      </c>
      <c r="B2136" s="3" t="s">
        <v>752</v>
      </c>
      <c r="C2136" s="3">
        <v>27.5</v>
      </c>
      <c r="D2136" s="3">
        <v>1</v>
      </c>
    </row>
    <row r="2137" spans="1:4" ht="12.75" x14ac:dyDescent="0.35">
      <c r="A2137" s="4">
        <v>44641</v>
      </c>
      <c r="B2137" s="3" t="s">
        <v>753</v>
      </c>
      <c r="C2137" s="3">
        <v>27.5</v>
      </c>
      <c r="D2137" s="3">
        <v>1</v>
      </c>
    </row>
    <row r="2138" spans="1:4" ht="12.75" x14ac:dyDescent="0.35">
      <c r="A2138" s="4">
        <v>44641</v>
      </c>
      <c r="B2138" s="3" t="s">
        <v>756</v>
      </c>
      <c r="C2138" s="3">
        <v>27.5</v>
      </c>
      <c r="D2138" s="3">
        <v>1</v>
      </c>
    </row>
    <row r="2139" spans="1:4" ht="12.75" x14ac:dyDescent="0.35">
      <c r="A2139" s="4">
        <v>44641</v>
      </c>
      <c r="B2139" s="3" t="s">
        <v>757</v>
      </c>
      <c r="C2139" s="3">
        <v>27.5</v>
      </c>
      <c r="D2139" s="3">
        <v>1</v>
      </c>
    </row>
    <row r="2140" spans="1:4" ht="12.75" x14ac:dyDescent="0.35">
      <c r="A2140" s="4">
        <v>44641</v>
      </c>
      <c r="B2140" s="3" t="s">
        <v>761</v>
      </c>
      <c r="C2140" s="3">
        <v>27.5</v>
      </c>
      <c r="D2140" s="3">
        <v>1</v>
      </c>
    </row>
    <row r="2141" spans="1:4" ht="12.75" x14ac:dyDescent="0.35">
      <c r="A2141" s="4">
        <v>44641</v>
      </c>
      <c r="B2141" s="3" t="s">
        <v>763</v>
      </c>
      <c r="C2141" s="3">
        <v>27.5</v>
      </c>
      <c r="D2141" s="3">
        <v>1</v>
      </c>
    </row>
    <row r="2142" spans="1:4" ht="12.75" x14ac:dyDescent="0.35">
      <c r="A2142" s="4">
        <v>44641</v>
      </c>
      <c r="B2142" s="3" t="s">
        <v>766</v>
      </c>
      <c r="C2142" s="3">
        <v>27.5</v>
      </c>
      <c r="D2142" s="3">
        <v>1</v>
      </c>
    </row>
    <row r="2143" spans="1:4" ht="12.75" x14ac:dyDescent="0.35">
      <c r="A2143" s="4">
        <v>44641</v>
      </c>
      <c r="B2143" s="3" t="s">
        <v>192</v>
      </c>
      <c r="C2143" s="3">
        <v>27.5</v>
      </c>
      <c r="D2143" s="3">
        <v>1</v>
      </c>
    </row>
    <row r="2144" spans="1:4" ht="12.75" x14ac:dyDescent="0.35">
      <c r="A2144" s="4">
        <v>44641</v>
      </c>
      <c r="B2144" s="3" t="s">
        <v>770</v>
      </c>
      <c r="C2144" s="3">
        <v>27.5</v>
      </c>
      <c r="D2144" s="3">
        <v>1</v>
      </c>
    </row>
    <row r="2145" spans="1:4" ht="12.75" x14ac:dyDescent="0.35">
      <c r="A2145" s="4">
        <v>44641</v>
      </c>
      <c r="B2145" s="3" t="s">
        <v>772</v>
      </c>
      <c r="C2145" s="3">
        <v>27.5</v>
      </c>
      <c r="D2145" s="3">
        <v>1</v>
      </c>
    </row>
    <row r="2146" spans="1:4" ht="12.75" x14ac:dyDescent="0.35">
      <c r="A2146" s="4">
        <v>44641</v>
      </c>
      <c r="B2146" s="3" t="s">
        <v>773</v>
      </c>
      <c r="C2146" s="3">
        <v>27.5</v>
      </c>
      <c r="D2146" s="3">
        <v>1</v>
      </c>
    </row>
    <row r="2147" spans="1:4" ht="12.75" x14ac:dyDescent="0.35">
      <c r="A2147" s="4">
        <v>44641</v>
      </c>
      <c r="B2147" s="3" t="s">
        <v>779</v>
      </c>
      <c r="C2147" s="3">
        <v>27.5</v>
      </c>
      <c r="D2147" s="3">
        <v>1</v>
      </c>
    </row>
    <row r="2148" spans="1:4" ht="12.75" x14ac:dyDescent="0.35">
      <c r="A2148" s="4">
        <v>44641</v>
      </c>
      <c r="B2148" s="3" t="s">
        <v>786</v>
      </c>
      <c r="C2148" s="3">
        <v>27.5</v>
      </c>
      <c r="D2148" s="3">
        <v>1</v>
      </c>
    </row>
    <row r="2149" spans="1:4" ht="12.75" x14ac:dyDescent="0.35">
      <c r="A2149" s="4">
        <v>44641</v>
      </c>
      <c r="B2149" s="3" t="s">
        <v>791</v>
      </c>
      <c r="C2149" s="3">
        <v>27.5</v>
      </c>
      <c r="D2149" s="3">
        <v>1</v>
      </c>
    </row>
    <row r="2150" spans="1:4" ht="12.75" x14ac:dyDescent="0.35">
      <c r="A2150" s="4">
        <v>44672</v>
      </c>
      <c r="B2150" s="3" t="s">
        <v>839</v>
      </c>
      <c r="C2150" s="3">
        <v>27.5</v>
      </c>
      <c r="D2150" s="3">
        <v>1</v>
      </c>
    </row>
    <row r="2151" spans="1:4" ht="12.75" x14ac:dyDescent="0.35">
      <c r="A2151" s="4">
        <v>44672</v>
      </c>
      <c r="B2151" s="3" t="s">
        <v>902</v>
      </c>
      <c r="C2151" s="3">
        <v>27.5</v>
      </c>
      <c r="D2151" s="3">
        <v>1</v>
      </c>
    </row>
    <row r="2152" spans="1:4" ht="12.75" x14ac:dyDescent="0.35">
      <c r="A2152" s="4">
        <v>44672</v>
      </c>
      <c r="B2152" s="3" t="s">
        <v>907</v>
      </c>
      <c r="C2152" s="3">
        <v>27.5</v>
      </c>
      <c r="D2152" s="3">
        <v>1</v>
      </c>
    </row>
    <row r="2153" spans="1:4" ht="12.75" x14ac:dyDescent="0.35">
      <c r="A2153" s="4">
        <v>44672</v>
      </c>
      <c r="B2153" s="3" t="s">
        <v>987</v>
      </c>
      <c r="C2153" s="3">
        <v>27.5</v>
      </c>
      <c r="D2153" s="3">
        <v>1</v>
      </c>
    </row>
    <row r="2154" spans="1:4" ht="12.75" x14ac:dyDescent="0.35">
      <c r="A2154" s="4">
        <v>44641</v>
      </c>
      <c r="B2154" s="3" t="s">
        <v>222</v>
      </c>
      <c r="C2154" s="3">
        <v>27.47</v>
      </c>
      <c r="D2154" s="3">
        <v>1</v>
      </c>
    </row>
    <row r="2155" spans="1:4" ht="12.75" x14ac:dyDescent="0.35">
      <c r="A2155" s="5">
        <v>44733</v>
      </c>
      <c r="B2155" s="3" t="s">
        <v>1202</v>
      </c>
      <c r="C2155" s="3">
        <v>27.46</v>
      </c>
      <c r="D2155" s="3">
        <v>2</v>
      </c>
    </row>
    <row r="2156" spans="1:4" ht="12.75" x14ac:dyDescent="0.35">
      <c r="A2156" s="4">
        <v>44855</v>
      </c>
      <c r="B2156" s="3" t="s">
        <v>116</v>
      </c>
      <c r="C2156" s="3">
        <v>27.39</v>
      </c>
      <c r="D2156" s="3">
        <v>2</v>
      </c>
    </row>
    <row r="2157" spans="1:4" ht="12.75" x14ac:dyDescent="0.35">
      <c r="A2157" s="5">
        <v>44733</v>
      </c>
      <c r="B2157" s="3" t="s">
        <v>1021</v>
      </c>
      <c r="C2157" s="3">
        <v>27.35</v>
      </c>
      <c r="D2157" s="3">
        <v>1</v>
      </c>
    </row>
    <row r="2158" spans="1:4" ht="12.75" x14ac:dyDescent="0.35">
      <c r="A2158" s="4">
        <v>44702</v>
      </c>
      <c r="B2158" s="3" t="s">
        <v>1031</v>
      </c>
      <c r="C2158" s="3">
        <v>27.34</v>
      </c>
      <c r="D2158" s="3">
        <v>1</v>
      </c>
    </row>
    <row r="2159" spans="1:4" ht="12.75" x14ac:dyDescent="0.35">
      <c r="A2159" s="4">
        <v>44672</v>
      </c>
      <c r="B2159" s="3" t="s">
        <v>964</v>
      </c>
      <c r="C2159" s="3">
        <v>27.33</v>
      </c>
      <c r="D2159" s="3">
        <v>1</v>
      </c>
    </row>
    <row r="2160" spans="1:4" ht="12.75" x14ac:dyDescent="0.35">
      <c r="A2160" s="4">
        <v>44613</v>
      </c>
      <c r="B2160" s="3" t="s">
        <v>524</v>
      </c>
      <c r="C2160" s="3">
        <v>27.31</v>
      </c>
      <c r="D2160" s="3">
        <v>3</v>
      </c>
    </row>
    <row r="2161" spans="1:4" ht="12.75" x14ac:dyDescent="0.35">
      <c r="A2161" s="4">
        <v>44886</v>
      </c>
      <c r="B2161" s="3" t="s">
        <v>624</v>
      </c>
      <c r="C2161" s="3">
        <v>27.19</v>
      </c>
      <c r="D2161" s="3">
        <v>1</v>
      </c>
    </row>
    <row r="2162" spans="1:4" ht="12.75" x14ac:dyDescent="0.35">
      <c r="A2162" s="4">
        <v>44855</v>
      </c>
      <c r="B2162" s="3" t="s">
        <v>1098</v>
      </c>
      <c r="C2162" s="3">
        <v>27.16</v>
      </c>
      <c r="D2162" s="3">
        <v>1</v>
      </c>
    </row>
    <row r="2163" spans="1:4" ht="12.75" x14ac:dyDescent="0.35">
      <c r="A2163" s="5">
        <v>44733</v>
      </c>
      <c r="B2163" s="3" t="s">
        <v>474</v>
      </c>
      <c r="C2163" s="3">
        <v>27.14</v>
      </c>
      <c r="D2163" s="3">
        <v>2</v>
      </c>
    </row>
    <row r="2164" spans="1:4" ht="12.75" x14ac:dyDescent="0.35">
      <c r="A2164" s="5">
        <v>44763</v>
      </c>
      <c r="B2164" s="3" t="s">
        <v>35</v>
      </c>
      <c r="C2164" s="3">
        <v>27.13</v>
      </c>
      <c r="D2164" s="3">
        <v>1</v>
      </c>
    </row>
    <row r="2165" spans="1:4" ht="12.75" x14ac:dyDescent="0.35">
      <c r="A2165" s="5">
        <v>44733</v>
      </c>
      <c r="B2165" s="3" t="s">
        <v>1337</v>
      </c>
      <c r="C2165" s="3">
        <v>27.09</v>
      </c>
      <c r="D2165" s="3">
        <v>1</v>
      </c>
    </row>
    <row r="2166" spans="1:4" ht="12.75" x14ac:dyDescent="0.35">
      <c r="A2166" s="4">
        <v>44794</v>
      </c>
      <c r="B2166" s="3" t="s">
        <v>1085</v>
      </c>
      <c r="C2166" s="3">
        <v>26.93</v>
      </c>
      <c r="D2166" s="3">
        <v>1</v>
      </c>
    </row>
    <row r="2167" spans="1:4" ht="12.75" x14ac:dyDescent="0.35">
      <c r="A2167" s="4">
        <v>44855</v>
      </c>
      <c r="B2167" s="3" t="s">
        <v>49</v>
      </c>
      <c r="C2167" s="3">
        <v>26.92</v>
      </c>
      <c r="D2167" s="3">
        <v>3</v>
      </c>
    </row>
    <row r="2168" spans="1:4" ht="12.75" x14ac:dyDescent="0.35">
      <c r="A2168" s="4">
        <v>44672</v>
      </c>
      <c r="B2168" s="3" t="s">
        <v>657</v>
      </c>
      <c r="C2168" s="3">
        <v>26.9</v>
      </c>
      <c r="D2168" s="3">
        <v>1</v>
      </c>
    </row>
    <row r="2169" spans="1:4" ht="12.75" x14ac:dyDescent="0.35">
      <c r="A2169" s="4">
        <v>44825</v>
      </c>
      <c r="B2169" s="3" t="s">
        <v>282</v>
      </c>
      <c r="C2169" s="3">
        <v>26.85</v>
      </c>
      <c r="D2169" s="3">
        <v>1</v>
      </c>
    </row>
    <row r="2170" spans="1:4" ht="12.75" x14ac:dyDescent="0.35">
      <c r="A2170" s="4">
        <v>44702</v>
      </c>
      <c r="B2170" s="3" t="s">
        <v>460</v>
      </c>
      <c r="C2170" s="3">
        <v>26.83</v>
      </c>
      <c r="D2170" s="3">
        <v>4</v>
      </c>
    </row>
    <row r="2171" spans="1:4" ht="12.75" x14ac:dyDescent="0.35">
      <c r="A2171" s="4">
        <v>44582</v>
      </c>
      <c r="B2171" s="3" t="s">
        <v>385</v>
      </c>
      <c r="C2171" s="3">
        <v>26.79</v>
      </c>
      <c r="D2171" s="3">
        <v>1</v>
      </c>
    </row>
    <row r="2172" spans="1:4" ht="12.75" x14ac:dyDescent="0.35">
      <c r="A2172" s="4">
        <v>44613</v>
      </c>
      <c r="B2172" s="3" t="s">
        <v>579</v>
      </c>
      <c r="C2172" s="3">
        <v>26.69</v>
      </c>
      <c r="D2172" s="3">
        <v>2</v>
      </c>
    </row>
    <row r="2173" spans="1:4" ht="12.75" x14ac:dyDescent="0.35">
      <c r="A2173" s="5">
        <v>44733</v>
      </c>
      <c r="B2173" s="3" t="s">
        <v>852</v>
      </c>
      <c r="C2173" s="3">
        <v>26.69</v>
      </c>
      <c r="D2173" s="3">
        <v>1</v>
      </c>
    </row>
    <row r="2174" spans="1:4" ht="12.75" x14ac:dyDescent="0.35">
      <c r="A2174" s="4">
        <v>44641</v>
      </c>
      <c r="B2174" s="3" t="s">
        <v>375</v>
      </c>
      <c r="C2174" s="3">
        <v>26.67</v>
      </c>
      <c r="D2174" s="3">
        <v>1</v>
      </c>
    </row>
    <row r="2175" spans="1:4" ht="12.75" x14ac:dyDescent="0.35">
      <c r="A2175" s="5">
        <v>44763</v>
      </c>
      <c r="B2175" s="3" t="s">
        <v>687</v>
      </c>
      <c r="C2175" s="3">
        <v>26.66</v>
      </c>
      <c r="D2175" s="3">
        <v>3</v>
      </c>
    </row>
    <row r="2176" spans="1:4" ht="12.75" x14ac:dyDescent="0.35">
      <c r="A2176" s="4">
        <v>44855</v>
      </c>
      <c r="B2176" s="3" t="s">
        <v>802</v>
      </c>
      <c r="C2176" s="3">
        <v>26.58</v>
      </c>
      <c r="D2176" s="3">
        <v>3</v>
      </c>
    </row>
    <row r="2177" spans="1:4" ht="12.75" x14ac:dyDescent="0.35">
      <c r="A2177" s="5">
        <v>44733</v>
      </c>
      <c r="B2177" s="3" t="s">
        <v>467</v>
      </c>
      <c r="C2177" s="3">
        <v>26.57</v>
      </c>
      <c r="D2177" s="3">
        <v>1</v>
      </c>
    </row>
    <row r="2178" spans="1:4" ht="12.75" x14ac:dyDescent="0.35">
      <c r="A2178" s="4">
        <v>44672</v>
      </c>
      <c r="B2178" s="3" t="s">
        <v>836</v>
      </c>
      <c r="C2178" s="3">
        <v>26.52</v>
      </c>
      <c r="D2178" s="3">
        <v>1</v>
      </c>
    </row>
    <row r="2179" spans="1:4" ht="12.75" x14ac:dyDescent="0.35">
      <c r="A2179" s="4">
        <v>44825</v>
      </c>
      <c r="B2179" s="3" t="s">
        <v>1004</v>
      </c>
      <c r="C2179" s="3">
        <v>26.49</v>
      </c>
      <c r="D2179" s="3">
        <v>2</v>
      </c>
    </row>
    <row r="2180" spans="1:4" ht="12.75" x14ac:dyDescent="0.35">
      <c r="A2180" s="4">
        <v>44582</v>
      </c>
      <c r="B2180" s="3" t="s">
        <v>113</v>
      </c>
      <c r="C2180" s="3">
        <v>26.47</v>
      </c>
      <c r="D2180" s="3">
        <v>1</v>
      </c>
    </row>
    <row r="2181" spans="1:4" ht="12.75" x14ac:dyDescent="0.35">
      <c r="A2181" s="4">
        <v>44641</v>
      </c>
      <c r="B2181" s="3" t="s">
        <v>569</v>
      </c>
      <c r="C2181" s="3">
        <v>26.41</v>
      </c>
      <c r="D2181" s="3">
        <v>2</v>
      </c>
    </row>
    <row r="2182" spans="1:4" ht="12.75" x14ac:dyDescent="0.35">
      <c r="A2182" s="4">
        <v>44794</v>
      </c>
      <c r="B2182" s="3" t="s">
        <v>1675</v>
      </c>
      <c r="C2182" s="3">
        <v>26.36</v>
      </c>
      <c r="D2182" s="3">
        <v>2</v>
      </c>
    </row>
    <row r="2183" spans="1:4" ht="12.75" x14ac:dyDescent="0.35">
      <c r="A2183" s="5">
        <v>44733</v>
      </c>
      <c r="B2183" s="3" t="s">
        <v>157</v>
      </c>
      <c r="C2183" s="3">
        <v>26.34</v>
      </c>
      <c r="D2183" s="3">
        <v>2</v>
      </c>
    </row>
    <row r="2184" spans="1:4" ht="12.75" x14ac:dyDescent="0.35">
      <c r="A2184" s="4">
        <v>44855</v>
      </c>
      <c r="B2184" s="3" t="s">
        <v>372</v>
      </c>
      <c r="C2184" s="3">
        <v>26.27</v>
      </c>
      <c r="D2184" s="3">
        <v>1</v>
      </c>
    </row>
    <row r="2185" spans="1:4" ht="12.75" x14ac:dyDescent="0.35">
      <c r="A2185" s="5">
        <v>44733</v>
      </c>
      <c r="B2185" s="3" t="s">
        <v>1098</v>
      </c>
      <c r="C2185" s="3">
        <v>26.21</v>
      </c>
      <c r="D2185" s="3">
        <v>1</v>
      </c>
    </row>
    <row r="2186" spans="1:4" ht="12.75" x14ac:dyDescent="0.35">
      <c r="A2186" s="4">
        <v>44855</v>
      </c>
      <c r="B2186" s="3" t="s">
        <v>419</v>
      </c>
      <c r="C2186" s="3">
        <v>26.12</v>
      </c>
      <c r="D2186" s="3">
        <v>3</v>
      </c>
    </row>
    <row r="2187" spans="1:4" ht="12.75" x14ac:dyDescent="0.35">
      <c r="A2187" s="4">
        <v>44825</v>
      </c>
      <c r="B2187" s="3" t="s">
        <v>645</v>
      </c>
      <c r="C2187" s="3">
        <v>26.08</v>
      </c>
      <c r="D2187" s="3">
        <v>1</v>
      </c>
    </row>
    <row r="2188" spans="1:4" ht="12.75" x14ac:dyDescent="0.35">
      <c r="A2188" s="4">
        <v>44613</v>
      </c>
      <c r="B2188" s="3" t="s">
        <v>319</v>
      </c>
      <c r="C2188" s="3">
        <v>26.04</v>
      </c>
      <c r="D2188" s="3">
        <v>1</v>
      </c>
    </row>
    <row r="2189" spans="1:4" ht="12.75" x14ac:dyDescent="0.35">
      <c r="A2189" s="5">
        <v>44763</v>
      </c>
      <c r="B2189" s="3" t="s">
        <v>295</v>
      </c>
      <c r="C2189" s="3">
        <v>26.04</v>
      </c>
      <c r="D2189" s="3">
        <v>4</v>
      </c>
    </row>
    <row r="2190" spans="1:4" ht="12.75" x14ac:dyDescent="0.35">
      <c r="A2190" s="4">
        <v>44886</v>
      </c>
      <c r="B2190" s="3" t="s">
        <v>1833</v>
      </c>
      <c r="C2190" s="3">
        <v>26.04</v>
      </c>
      <c r="D2190" s="3">
        <v>1</v>
      </c>
    </row>
    <row r="2191" spans="1:4" ht="12.75" x14ac:dyDescent="0.35">
      <c r="A2191" s="4">
        <v>44794</v>
      </c>
      <c r="B2191" s="3" t="s">
        <v>333</v>
      </c>
      <c r="C2191" s="3">
        <v>26.01</v>
      </c>
      <c r="D2191" s="3">
        <v>2</v>
      </c>
    </row>
    <row r="2192" spans="1:4" ht="12.75" x14ac:dyDescent="0.35">
      <c r="A2192" s="4">
        <v>44702</v>
      </c>
      <c r="B2192" s="3" t="s">
        <v>258</v>
      </c>
      <c r="C2192" s="3">
        <v>26</v>
      </c>
      <c r="D2192" s="3">
        <v>2</v>
      </c>
    </row>
    <row r="2193" spans="1:4" ht="12.75" x14ac:dyDescent="0.35">
      <c r="A2193" s="4">
        <v>44855</v>
      </c>
      <c r="B2193" s="3" t="s">
        <v>56</v>
      </c>
      <c r="C2193" s="3">
        <v>26</v>
      </c>
      <c r="D2193" s="3">
        <v>1</v>
      </c>
    </row>
    <row r="2194" spans="1:4" ht="12.75" x14ac:dyDescent="0.35">
      <c r="A2194" s="4">
        <v>44794</v>
      </c>
      <c r="B2194" s="3" t="s">
        <v>116</v>
      </c>
      <c r="C2194" s="3">
        <v>25.92</v>
      </c>
      <c r="D2194" s="3">
        <v>2</v>
      </c>
    </row>
    <row r="2195" spans="1:4" ht="12.75" x14ac:dyDescent="0.35">
      <c r="A2195" s="5">
        <v>44733</v>
      </c>
      <c r="B2195" s="3" t="s">
        <v>1058</v>
      </c>
      <c r="C2195" s="3">
        <v>25.81</v>
      </c>
      <c r="D2195" s="3">
        <v>1</v>
      </c>
    </row>
    <row r="2196" spans="1:4" ht="12.75" x14ac:dyDescent="0.35">
      <c r="A2196" s="4">
        <v>44672</v>
      </c>
      <c r="B2196" s="3" t="s">
        <v>537</v>
      </c>
      <c r="C2196" s="3">
        <v>25.76</v>
      </c>
      <c r="D2196" s="3">
        <v>1</v>
      </c>
    </row>
    <row r="2197" spans="1:4" ht="12.75" x14ac:dyDescent="0.35">
      <c r="A2197" s="4">
        <v>44855</v>
      </c>
      <c r="B2197" s="3" t="s">
        <v>330</v>
      </c>
      <c r="C2197" s="3">
        <v>25.76</v>
      </c>
      <c r="D2197" s="3">
        <v>1</v>
      </c>
    </row>
    <row r="2198" spans="1:4" ht="12.75" x14ac:dyDescent="0.35">
      <c r="A2198" s="5">
        <v>44763</v>
      </c>
      <c r="B2198" s="3" t="s">
        <v>760</v>
      </c>
      <c r="C2198" s="3">
        <v>25.73</v>
      </c>
      <c r="D2198" s="3">
        <v>3</v>
      </c>
    </row>
    <row r="2199" spans="1:4" ht="12.75" x14ac:dyDescent="0.35">
      <c r="A2199" s="4">
        <v>44825</v>
      </c>
      <c r="B2199" s="3" t="s">
        <v>1619</v>
      </c>
      <c r="C2199" s="3">
        <v>25.73</v>
      </c>
      <c r="D2199" s="3">
        <v>1</v>
      </c>
    </row>
    <row r="2200" spans="1:4" ht="12.75" x14ac:dyDescent="0.35">
      <c r="A2200" s="4">
        <v>44641</v>
      </c>
      <c r="B2200" s="3" t="s">
        <v>592</v>
      </c>
      <c r="C2200" s="3">
        <v>25.68</v>
      </c>
      <c r="D2200" s="3">
        <v>1</v>
      </c>
    </row>
    <row r="2201" spans="1:4" ht="12.75" x14ac:dyDescent="0.35">
      <c r="A2201" s="4">
        <v>44855</v>
      </c>
      <c r="B2201" s="3" t="s">
        <v>726</v>
      </c>
      <c r="C2201" s="3">
        <v>25.68</v>
      </c>
      <c r="D2201" s="3">
        <v>4</v>
      </c>
    </row>
    <row r="2202" spans="1:4" ht="12.75" x14ac:dyDescent="0.35">
      <c r="A2202" s="4">
        <v>44641</v>
      </c>
      <c r="B2202" s="3" t="s">
        <v>26</v>
      </c>
      <c r="C2202" s="3">
        <v>25.55</v>
      </c>
      <c r="D2202" s="3">
        <v>1</v>
      </c>
    </row>
    <row r="2203" spans="1:4" ht="12.75" x14ac:dyDescent="0.35">
      <c r="A2203" s="4">
        <v>44886</v>
      </c>
      <c r="B2203" s="3" t="s">
        <v>484</v>
      </c>
      <c r="C2203" s="3">
        <v>25.54</v>
      </c>
      <c r="D2203" s="3">
        <v>1</v>
      </c>
    </row>
    <row r="2204" spans="1:4" ht="12.75" x14ac:dyDescent="0.35">
      <c r="A2204" s="5">
        <v>44733</v>
      </c>
      <c r="B2204" s="3" t="s">
        <v>390</v>
      </c>
      <c r="C2204" s="3">
        <v>25.53</v>
      </c>
      <c r="D2204" s="3">
        <v>1</v>
      </c>
    </row>
    <row r="2205" spans="1:4" ht="12.75" x14ac:dyDescent="0.35">
      <c r="A2205" s="4">
        <v>44855</v>
      </c>
      <c r="B2205" s="3" t="s">
        <v>1601</v>
      </c>
      <c r="C2205" s="3">
        <v>25.53</v>
      </c>
      <c r="D2205" s="3">
        <v>1</v>
      </c>
    </row>
    <row r="2206" spans="1:4" ht="12.75" x14ac:dyDescent="0.35">
      <c r="A2206" s="5">
        <v>44733</v>
      </c>
      <c r="B2206" s="3" t="s">
        <v>1110</v>
      </c>
      <c r="C2206" s="3">
        <v>25.52</v>
      </c>
      <c r="D2206" s="3">
        <v>1</v>
      </c>
    </row>
    <row r="2207" spans="1:4" ht="12.75" x14ac:dyDescent="0.35">
      <c r="A2207" s="5">
        <v>44733</v>
      </c>
      <c r="B2207" s="3" t="s">
        <v>1431</v>
      </c>
      <c r="C2207" s="3">
        <v>25.52</v>
      </c>
      <c r="D2207" s="3">
        <v>1</v>
      </c>
    </row>
    <row r="2208" spans="1:4" ht="12.75" x14ac:dyDescent="0.35">
      <c r="A2208" s="4">
        <v>44825</v>
      </c>
      <c r="B2208" s="3" t="s">
        <v>212</v>
      </c>
      <c r="C2208" s="3">
        <v>25.49</v>
      </c>
      <c r="D2208" s="3">
        <v>2</v>
      </c>
    </row>
    <row r="2209" spans="1:4" ht="12.75" x14ac:dyDescent="0.35">
      <c r="A2209" s="4">
        <v>44794</v>
      </c>
      <c r="B2209" s="3" t="s">
        <v>1690</v>
      </c>
      <c r="C2209" s="3">
        <v>25.45</v>
      </c>
      <c r="D2209" s="3">
        <v>2</v>
      </c>
    </row>
    <row r="2210" spans="1:4" ht="12.75" x14ac:dyDescent="0.35">
      <c r="A2210" s="4">
        <v>44641</v>
      </c>
      <c r="B2210" s="3" t="s">
        <v>102</v>
      </c>
      <c r="C2210" s="3">
        <v>25.31</v>
      </c>
      <c r="D2210" s="3">
        <v>3</v>
      </c>
    </row>
    <row r="2211" spans="1:4" ht="12.75" x14ac:dyDescent="0.35">
      <c r="A2211" s="4">
        <v>44855</v>
      </c>
      <c r="B2211" s="3" t="s">
        <v>402</v>
      </c>
      <c r="C2211" s="3">
        <v>25.31</v>
      </c>
      <c r="D2211" s="3">
        <v>1</v>
      </c>
    </row>
    <row r="2212" spans="1:4" ht="12.75" x14ac:dyDescent="0.35">
      <c r="A2212" s="4">
        <v>44916</v>
      </c>
      <c r="B2212" s="3" t="s">
        <v>1889</v>
      </c>
      <c r="C2212" s="3">
        <v>25.31</v>
      </c>
      <c r="D2212" s="3">
        <v>1</v>
      </c>
    </row>
    <row r="2213" spans="1:4" ht="12.75" x14ac:dyDescent="0.35">
      <c r="A2213" s="4">
        <v>44855</v>
      </c>
      <c r="B2213" s="3" t="s">
        <v>1583</v>
      </c>
      <c r="C2213" s="3">
        <v>25.29</v>
      </c>
      <c r="D2213" s="3">
        <v>2</v>
      </c>
    </row>
    <row r="2214" spans="1:4" ht="12.75" x14ac:dyDescent="0.35">
      <c r="A2214" s="4">
        <v>44582</v>
      </c>
      <c r="B2214" s="3" t="s">
        <v>400</v>
      </c>
      <c r="C2214" s="3">
        <v>25.22</v>
      </c>
      <c r="D2214" s="3">
        <v>2</v>
      </c>
    </row>
    <row r="2215" spans="1:4" ht="12.75" x14ac:dyDescent="0.35">
      <c r="A2215" s="4">
        <v>44886</v>
      </c>
      <c r="B2215" s="3" t="s">
        <v>993</v>
      </c>
      <c r="C2215" s="3">
        <v>25.17</v>
      </c>
      <c r="D2215" s="3">
        <v>1</v>
      </c>
    </row>
    <row r="2216" spans="1:4" ht="12.75" x14ac:dyDescent="0.35">
      <c r="A2216" s="4">
        <v>44613</v>
      </c>
      <c r="B2216" s="3" t="s">
        <v>217</v>
      </c>
      <c r="C2216" s="3">
        <v>25.16</v>
      </c>
      <c r="D2216" s="3">
        <v>1</v>
      </c>
    </row>
    <row r="2217" spans="1:4" ht="12.75" x14ac:dyDescent="0.35">
      <c r="A2217" s="5">
        <v>44733</v>
      </c>
      <c r="B2217" s="3" t="s">
        <v>1428</v>
      </c>
      <c r="C2217" s="3">
        <v>25.15</v>
      </c>
      <c r="D2217" s="3">
        <v>1</v>
      </c>
    </row>
    <row r="2218" spans="1:4" ht="12.75" x14ac:dyDescent="0.35">
      <c r="A2218" s="4">
        <v>44794</v>
      </c>
      <c r="B2218" s="3" t="s">
        <v>1537</v>
      </c>
      <c r="C2218" s="3">
        <v>25.11</v>
      </c>
      <c r="D2218" s="3">
        <v>1</v>
      </c>
    </row>
    <row r="2219" spans="1:4" ht="12.75" x14ac:dyDescent="0.35">
      <c r="A2219" s="5">
        <v>44733</v>
      </c>
      <c r="B2219" s="3" t="s">
        <v>909</v>
      </c>
      <c r="C2219" s="3">
        <v>25.1</v>
      </c>
      <c r="D2219" s="3">
        <v>1</v>
      </c>
    </row>
    <row r="2220" spans="1:4" ht="12.75" x14ac:dyDescent="0.35">
      <c r="A2220" s="4">
        <v>44702</v>
      </c>
      <c r="B2220" s="3" t="s">
        <v>865</v>
      </c>
      <c r="C2220" s="3">
        <v>25.09</v>
      </c>
      <c r="D2220" s="3">
        <v>2</v>
      </c>
    </row>
    <row r="2221" spans="1:4" ht="12.75" x14ac:dyDescent="0.35">
      <c r="A2221" s="4">
        <v>44794</v>
      </c>
      <c r="B2221" s="3" t="s">
        <v>1336</v>
      </c>
      <c r="C2221" s="3">
        <v>25.09</v>
      </c>
      <c r="D2221" s="3">
        <v>1</v>
      </c>
    </row>
    <row r="2222" spans="1:4" ht="12.75" x14ac:dyDescent="0.35">
      <c r="A2222" s="4">
        <v>44672</v>
      </c>
      <c r="B2222" s="3" t="s">
        <v>782</v>
      </c>
      <c r="C2222" s="3">
        <v>25.07</v>
      </c>
      <c r="D2222" s="3">
        <v>4</v>
      </c>
    </row>
    <row r="2223" spans="1:4" ht="12.75" x14ac:dyDescent="0.35">
      <c r="A2223" s="5">
        <v>44733</v>
      </c>
      <c r="B2223" s="3" t="s">
        <v>293</v>
      </c>
      <c r="C2223" s="3">
        <v>25.01</v>
      </c>
      <c r="D2223" s="3">
        <v>4</v>
      </c>
    </row>
    <row r="2224" spans="1:4" ht="12.75" x14ac:dyDescent="0.35">
      <c r="A2224" s="4">
        <v>44794</v>
      </c>
      <c r="B2224" s="3" t="s">
        <v>645</v>
      </c>
      <c r="C2224" s="3">
        <v>24.99</v>
      </c>
      <c r="D2224" s="3">
        <v>1</v>
      </c>
    </row>
    <row r="2225" spans="1:4" ht="12.75" x14ac:dyDescent="0.35">
      <c r="A2225" s="4">
        <v>44916</v>
      </c>
      <c r="B2225" s="3" t="s">
        <v>330</v>
      </c>
      <c r="C2225" s="3">
        <v>24.92</v>
      </c>
      <c r="D2225" s="3">
        <v>1</v>
      </c>
    </row>
    <row r="2226" spans="1:4" ht="12.75" x14ac:dyDescent="0.35">
      <c r="A2226" s="4">
        <v>44825</v>
      </c>
      <c r="B2226" s="3" t="s">
        <v>1716</v>
      </c>
      <c r="C2226" s="3">
        <v>24.9</v>
      </c>
      <c r="D2226" s="3">
        <v>1</v>
      </c>
    </row>
    <row r="2227" spans="1:4" ht="12.75" x14ac:dyDescent="0.35">
      <c r="A2227" s="4">
        <v>44613</v>
      </c>
      <c r="B2227" s="3" t="s">
        <v>210</v>
      </c>
      <c r="C2227" s="3">
        <v>24.87</v>
      </c>
      <c r="D2227" s="3">
        <v>1</v>
      </c>
    </row>
    <row r="2228" spans="1:4" ht="12.75" x14ac:dyDescent="0.35">
      <c r="A2228" s="5">
        <v>44733</v>
      </c>
      <c r="B2228" s="3" t="s">
        <v>1010</v>
      </c>
      <c r="C2228" s="3">
        <v>24.81</v>
      </c>
      <c r="D2228" s="3">
        <v>1</v>
      </c>
    </row>
    <row r="2229" spans="1:4" ht="12.75" x14ac:dyDescent="0.35">
      <c r="A2229" s="4">
        <v>44916</v>
      </c>
      <c r="B2229" s="3" t="s">
        <v>1837</v>
      </c>
      <c r="C2229" s="3">
        <v>24.78</v>
      </c>
      <c r="D2229" s="3">
        <v>1</v>
      </c>
    </row>
    <row r="2230" spans="1:4" ht="12.75" x14ac:dyDescent="0.35">
      <c r="A2230" s="5">
        <v>44733</v>
      </c>
      <c r="B2230" s="3" t="s">
        <v>1005</v>
      </c>
      <c r="C2230" s="3">
        <v>24.76</v>
      </c>
      <c r="D2230" s="3">
        <v>2</v>
      </c>
    </row>
    <row r="2231" spans="1:4" ht="12.75" x14ac:dyDescent="0.35">
      <c r="A2231" s="4">
        <v>44702</v>
      </c>
      <c r="B2231" s="3" t="s">
        <v>583</v>
      </c>
      <c r="C2231" s="3">
        <v>24.74</v>
      </c>
      <c r="D2231" s="3">
        <v>1</v>
      </c>
    </row>
    <row r="2232" spans="1:4" ht="12.75" x14ac:dyDescent="0.35">
      <c r="A2232" s="4">
        <v>44825</v>
      </c>
      <c r="B2232" s="3" t="s">
        <v>155</v>
      </c>
      <c r="C2232" s="3">
        <v>24.72</v>
      </c>
      <c r="D2232" s="3">
        <v>1</v>
      </c>
    </row>
    <row r="2233" spans="1:4" ht="12.75" x14ac:dyDescent="0.35">
      <c r="A2233" s="4">
        <v>44855</v>
      </c>
      <c r="B2233" s="3" t="s">
        <v>993</v>
      </c>
      <c r="C2233" s="3">
        <v>24.72</v>
      </c>
      <c r="D2233" s="3">
        <v>1</v>
      </c>
    </row>
    <row r="2234" spans="1:4" ht="12.75" x14ac:dyDescent="0.35">
      <c r="A2234" s="4">
        <v>44855</v>
      </c>
      <c r="B2234" s="3" t="s">
        <v>1286</v>
      </c>
      <c r="C2234" s="3">
        <v>24.72</v>
      </c>
      <c r="D2234" s="3">
        <v>1</v>
      </c>
    </row>
    <row r="2235" spans="1:4" ht="12.75" x14ac:dyDescent="0.35">
      <c r="A2235" s="4">
        <v>44886</v>
      </c>
      <c r="B2235" s="3" t="s">
        <v>255</v>
      </c>
      <c r="C2235" s="3">
        <v>24.7</v>
      </c>
      <c r="D2235" s="3">
        <v>1</v>
      </c>
    </row>
    <row r="2236" spans="1:4" ht="12.75" x14ac:dyDescent="0.35">
      <c r="A2236" s="4">
        <v>44916</v>
      </c>
      <c r="B2236" s="3" t="s">
        <v>88</v>
      </c>
      <c r="C2236" s="3">
        <v>24.7</v>
      </c>
      <c r="D2236" s="3">
        <v>1</v>
      </c>
    </row>
    <row r="2237" spans="1:4" ht="12.75" x14ac:dyDescent="0.35">
      <c r="A2237" s="5">
        <v>44733</v>
      </c>
      <c r="B2237" s="3" t="s">
        <v>49</v>
      </c>
      <c r="C2237" s="3">
        <v>24.68</v>
      </c>
      <c r="D2237" s="3">
        <v>3</v>
      </c>
    </row>
    <row r="2238" spans="1:4" ht="12.75" x14ac:dyDescent="0.35">
      <c r="A2238" s="4">
        <v>44613</v>
      </c>
      <c r="B2238" s="3" t="s">
        <v>416</v>
      </c>
      <c r="C2238" s="3">
        <v>24.62</v>
      </c>
      <c r="D2238" s="3">
        <v>2</v>
      </c>
    </row>
    <row r="2239" spans="1:4" ht="12.75" x14ac:dyDescent="0.35">
      <c r="A2239" s="4">
        <v>44825</v>
      </c>
      <c r="B2239" s="3" t="s">
        <v>941</v>
      </c>
      <c r="C2239" s="3">
        <v>24.6</v>
      </c>
      <c r="D2239" s="3">
        <v>1</v>
      </c>
    </row>
    <row r="2240" spans="1:4" ht="12.75" x14ac:dyDescent="0.35">
      <c r="A2240" s="4">
        <v>44916</v>
      </c>
      <c r="B2240" s="3" t="s">
        <v>457</v>
      </c>
      <c r="C2240" s="3">
        <v>24.6</v>
      </c>
      <c r="D2240" s="3">
        <v>1</v>
      </c>
    </row>
    <row r="2241" spans="1:4" ht="12.75" x14ac:dyDescent="0.35">
      <c r="A2241" s="4">
        <v>44855</v>
      </c>
      <c r="B2241" s="3" t="s">
        <v>593</v>
      </c>
      <c r="C2241" s="3">
        <v>24.56</v>
      </c>
      <c r="D2241" s="3">
        <v>1</v>
      </c>
    </row>
    <row r="2242" spans="1:4" ht="12.75" x14ac:dyDescent="0.35">
      <c r="A2242" s="4">
        <v>44702</v>
      </c>
      <c r="B2242" s="3" t="s">
        <v>162</v>
      </c>
      <c r="C2242" s="3">
        <v>24.5</v>
      </c>
      <c r="D2242" s="3">
        <v>1</v>
      </c>
    </row>
    <row r="2243" spans="1:4" ht="12.75" x14ac:dyDescent="0.35">
      <c r="A2243" s="5">
        <v>44733</v>
      </c>
      <c r="B2243" s="3" t="s">
        <v>344</v>
      </c>
      <c r="C2243" s="3">
        <v>24.5</v>
      </c>
      <c r="D2243" s="3">
        <v>3</v>
      </c>
    </row>
    <row r="2244" spans="1:4" ht="12.75" x14ac:dyDescent="0.35">
      <c r="A2244" s="4">
        <v>44916</v>
      </c>
      <c r="B2244" s="3" t="s">
        <v>1958</v>
      </c>
      <c r="C2244" s="3">
        <v>24.47</v>
      </c>
      <c r="D2244" s="3">
        <v>1</v>
      </c>
    </row>
    <row r="2245" spans="1:4" ht="12.75" x14ac:dyDescent="0.35">
      <c r="A2245" s="4">
        <v>44794</v>
      </c>
      <c r="B2245" s="3" t="s">
        <v>993</v>
      </c>
      <c r="C2245" s="3">
        <v>24.33</v>
      </c>
      <c r="D2245" s="3">
        <v>1</v>
      </c>
    </row>
    <row r="2246" spans="1:4" ht="12.75" x14ac:dyDescent="0.35">
      <c r="A2246" s="4">
        <v>44855</v>
      </c>
      <c r="B2246" s="3" t="s">
        <v>687</v>
      </c>
      <c r="C2246" s="3">
        <v>24.29</v>
      </c>
      <c r="D2246" s="3">
        <v>3</v>
      </c>
    </row>
    <row r="2247" spans="1:4" ht="12.75" x14ac:dyDescent="0.35">
      <c r="A2247" s="4">
        <v>44672</v>
      </c>
      <c r="B2247" s="3" t="s">
        <v>178</v>
      </c>
      <c r="C2247" s="3">
        <v>24.25</v>
      </c>
      <c r="D2247" s="3">
        <v>1</v>
      </c>
    </row>
    <row r="2248" spans="1:4" ht="12.75" x14ac:dyDescent="0.35">
      <c r="A2248" s="4">
        <v>44613</v>
      </c>
      <c r="B2248" s="3" t="s">
        <v>455</v>
      </c>
      <c r="C2248" s="3">
        <v>24.2</v>
      </c>
      <c r="D2248" s="3">
        <v>1</v>
      </c>
    </row>
    <row r="2249" spans="1:4" ht="12.75" x14ac:dyDescent="0.35">
      <c r="A2249" s="4">
        <v>44672</v>
      </c>
      <c r="B2249" s="3" t="s">
        <v>19</v>
      </c>
      <c r="C2249" s="3">
        <v>24.19</v>
      </c>
      <c r="D2249" s="3">
        <v>1</v>
      </c>
    </row>
    <row r="2250" spans="1:4" ht="12.75" x14ac:dyDescent="0.35">
      <c r="A2250" s="4">
        <v>44794</v>
      </c>
      <c r="B2250" s="3" t="s">
        <v>1603</v>
      </c>
      <c r="C2250" s="3">
        <v>24.17</v>
      </c>
      <c r="D2250" s="3">
        <v>1</v>
      </c>
    </row>
    <row r="2251" spans="1:4" ht="12.75" x14ac:dyDescent="0.35">
      <c r="A2251" s="4">
        <v>44672</v>
      </c>
      <c r="B2251" s="3" t="s">
        <v>220</v>
      </c>
      <c r="C2251" s="3">
        <v>24</v>
      </c>
      <c r="D2251" s="3">
        <v>3</v>
      </c>
    </row>
    <row r="2252" spans="1:4" ht="12.75" x14ac:dyDescent="0.35">
      <c r="A2252" s="4">
        <v>44794</v>
      </c>
      <c r="B2252" s="3" t="s">
        <v>559</v>
      </c>
      <c r="C2252" s="3">
        <v>24</v>
      </c>
      <c r="D2252" s="3">
        <v>2</v>
      </c>
    </row>
    <row r="2253" spans="1:4" ht="12.75" x14ac:dyDescent="0.35">
      <c r="A2253" s="5">
        <v>44763</v>
      </c>
      <c r="B2253" s="3" t="s">
        <v>362</v>
      </c>
      <c r="C2253" s="3">
        <v>23.98</v>
      </c>
      <c r="D2253" s="3">
        <v>7</v>
      </c>
    </row>
    <row r="2254" spans="1:4" ht="12.75" x14ac:dyDescent="0.35">
      <c r="A2254" s="5">
        <v>44733</v>
      </c>
      <c r="B2254" s="3" t="s">
        <v>1244</v>
      </c>
      <c r="C2254" s="3">
        <v>23.96</v>
      </c>
      <c r="D2254" s="3">
        <v>1</v>
      </c>
    </row>
    <row r="2255" spans="1:4" ht="12.75" x14ac:dyDescent="0.35">
      <c r="A2255" s="4">
        <v>44582</v>
      </c>
      <c r="B2255" s="3" t="s">
        <v>189</v>
      </c>
      <c r="C2255" s="3">
        <v>23.94</v>
      </c>
      <c r="D2255" s="3">
        <v>2</v>
      </c>
    </row>
    <row r="2256" spans="1:4" ht="12.75" x14ac:dyDescent="0.35">
      <c r="A2256" s="4">
        <v>44613</v>
      </c>
      <c r="B2256" s="3" t="s">
        <v>316</v>
      </c>
      <c r="C2256" s="3">
        <v>23.93</v>
      </c>
      <c r="D2256" s="3">
        <v>1</v>
      </c>
    </row>
    <row r="2257" spans="1:4" ht="12.75" x14ac:dyDescent="0.35">
      <c r="A2257" s="4">
        <v>44794</v>
      </c>
      <c r="B2257" s="3" t="s">
        <v>1172</v>
      </c>
      <c r="C2257" s="3">
        <v>23.87</v>
      </c>
      <c r="D2257" s="3">
        <v>1</v>
      </c>
    </row>
    <row r="2258" spans="1:4" ht="12.75" x14ac:dyDescent="0.35">
      <c r="A2258" s="4">
        <v>44672</v>
      </c>
      <c r="B2258" s="3" t="s">
        <v>449</v>
      </c>
      <c r="C2258" s="3">
        <v>23.77</v>
      </c>
      <c r="D2258" s="3">
        <v>6</v>
      </c>
    </row>
    <row r="2259" spans="1:4" ht="12.75" x14ac:dyDescent="0.35">
      <c r="A2259" s="5">
        <v>44733</v>
      </c>
      <c r="B2259" s="3" t="s">
        <v>898</v>
      </c>
      <c r="C2259" s="3">
        <v>23.77</v>
      </c>
      <c r="D2259" s="3">
        <v>2</v>
      </c>
    </row>
    <row r="2260" spans="1:4" ht="12.75" x14ac:dyDescent="0.35">
      <c r="A2260" s="4">
        <v>44916</v>
      </c>
      <c r="B2260" s="3" t="s">
        <v>519</v>
      </c>
      <c r="C2260" s="3">
        <v>23.77</v>
      </c>
      <c r="D2260" s="3">
        <v>4</v>
      </c>
    </row>
    <row r="2261" spans="1:4" ht="12.75" x14ac:dyDescent="0.35">
      <c r="A2261" s="5">
        <v>44733</v>
      </c>
      <c r="B2261" s="3" t="s">
        <v>506</v>
      </c>
      <c r="C2261" s="3">
        <v>23.76</v>
      </c>
      <c r="D2261" s="3">
        <v>9</v>
      </c>
    </row>
    <row r="2262" spans="1:4" ht="12.75" x14ac:dyDescent="0.35">
      <c r="A2262" s="4">
        <v>44794</v>
      </c>
      <c r="B2262" s="3" t="s">
        <v>11</v>
      </c>
      <c r="C2262" s="3">
        <v>23.7</v>
      </c>
      <c r="D2262" s="3">
        <v>2</v>
      </c>
    </row>
    <row r="2263" spans="1:4" ht="12.75" x14ac:dyDescent="0.35">
      <c r="A2263" s="4">
        <v>44916</v>
      </c>
      <c r="B2263" s="3" t="s">
        <v>1818</v>
      </c>
      <c r="C2263" s="3">
        <v>23.66</v>
      </c>
      <c r="D2263" s="3">
        <v>1</v>
      </c>
    </row>
    <row r="2264" spans="1:4" ht="12.75" x14ac:dyDescent="0.35">
      <c r="A2264" s="4">
        <v>44886</v>
      </c>
      <c r="B2264" s="3" t="s">
        <v>215</v>
      </c>
      <c r="C2264" s="3">
        <v>23.62</v>
      </c>
      <c r="D2264" s="3">
        <v>7</v>
      </c>
    </row>
    <row r="2265" spans="1:4" ht="12.75" x14ac:dyDescent="0.35">
      <c r="A2265" s="4">
        <v>44582</v>
      </c>
      <c r="B2265" s="3" t="s">
        <v>339</v>
      </c>
      <c r="C2265" s="3">
        <v>23.59</v>
      </c>
      <c r="D2265" s="3">
        <v>1</v>
      </c>
    </row>
    <row r="2266" spans="1:4" ht="12.75" x14ac:dyDescent="0.35">
      <c r="A2266" s="4">
        <v>44825</v>
      </c>
      <c r="B2266" s="3" t="s">
        <v>56</v>
      </c>
      <c r="C2266" s="3">
        <v>23.57</v>
      </c>
      <c r="D2266" s="3">
        <v>1</v>
      </c>
    </row>
    <row r="2267" spans="1:4" ht="12.75" x14ac:dyDescent="0.35">
      <c r="A2267" s="4">
        <v>44794</v>
      </c>
      <c r="B2267" s="3" t="s">
        <v>1348</v>
      </c>
      <c r="C2267" s="3">
        <v>23.56</v>
      </c>
      <c r="D2267" s="3">
        <v>1</v>
      </c>
    </row>
    <row r="2268" spans="1:4" ht="12.75" x14ac:dyDescent="0.35">
      <c r="A2268" s="5">
        <v>44733</v>
      </c>
      <c r="B2268" s="3" t="s">
        <v>533</v>
      </c>
      <c r="C2268" s="3">
        <v>23.55</v>
      </c>
      <c r="D2268" s="3">
        <v>1</v>
      </c>
    </row>
    <row r="2269" spans="1:4" ht="12.75" x14ac:dyDescent="0.35">
      <c r="A2269" s="5">
        <v>44733</v>
      </c>
      <c r="B2269" s="3" t="s">
        <v>155</v>
      </c>
      <c r="C2269" s="3">
        <v>23.52</v>
      </c>
      <c r="D2269" s="3">
        <v>1</v>
      </c>
    </row>
    <row r="2270" spans="1:4" ht="12.75" x14ac:dyDescent="0.35">
      <c r="A2270" s="4">
        <v>44582</v>
      </c>
      <c r="B2270" s="3" t="s">
        <v>310</v>
      </c>
      <c r="C2270" s="3">
        <v>23.49</v>
      </c>
      <c r="D2270" s="3">
        <v>1</v>
      </c>
    </row>
    <row r="2271" spans="1:4" ht="12.75" x14ac:dyDescent="0.35">
      <c r="A2271" s="4">
        <v>44855</v>
      </c>
      <c r="B2271" s="3" t="s">
        <v>1603</v>
      </c>
      <c r="C2271" s="3">
        <v>23.49</v>
      </c>
      <c r="D2271" s="3">
        <v>1</v>
      </c>
    </row>
    <row r="2272" spans="1:4" ht="12.75" x14ac:dyDescent="0.35">
      <c r="A2272" s="4">
        <v>44641</v>
      </c>
      <c r="B2272" s="3" t="s">
        <v>762</v>
      </c>
      <c r="C2272" s="3">
        <v>23.47</v>
      </c>
      <c r="D2272" s="3">
        <v>2</v>
      </c>
    </row>
    <row r="2273" spans="1:4" ht="12.75" x14ac:dyDescent="0.35">
      <c r="A2273" s="5">
        <v>44733</v>
      </c>
      <c r="B2273" s="3" t="s">
        <v>687</v>
      </c>
      <c r="C2273" s="3">
        <v>23.44</v>
      </c>
      <c r="D2273" s="3">
        <v>3</v>
      </c>
    </row>
    <row r="2274" spans="1:4" ht="12.75" x14ac:dyDescent="0.35">
      <c r="A2274" s="4">
        <v>44794</v>
      </c>
      <c r="B2274" s="3" t="s">
        <v>323</v>
      </c>
      <c r="C2274" s="3">
        <v>23.42</v>
      </c>
      <c r="D2274" s="3">
        <v>1</v>
      </c>
    </row>
    <row r="2275" spans="1:4" ht="12.75" x14ac:dyDescent="0.35">
      <c r="A2275" s="4">
        <v>44825</v>
      </c>
      <c r="B2275" s="3" t="s">
        <v>1603</v>
      </c>
      <c r="C2275" s="3">
        <v>23.41</v>
      </c>
      <c r="D2275" s="3">
        <v>1</v>
      </c>
    </row>
    <row r="2276" spans="1:4" ht="12.75" x14ac:dyDescent="0.35">
      <c r="A2276" s="5">
        <v>44733</v>
      </c>
      <c r="B2276" s="3" t="s">
        <v>426</v>
      </c>
      <c r="C2276" s="3">
        <v>23.28</v>
      </c>
      <c r="D2276" s="3">
        <v>1</v>
      </c>
    </row>
    <row r="2277" spans="1:4" ht="12.75" x14ac:dyDescent="0.35">
      <c r="A2277" s="5">
        <v>44733</v>
      </c>
      <c r="B2277" s="3" t="s">
        <v>1073</v>
      </c>
      <c r="C2277" s="3">
        <v>23.27</v>
      </c>
      <c r="D2277" s="3">
        <v>3</v>
      </c>
    </row>
    <row r="2278" spans="1:4" ht="12.75" x14ac:dyDescent="0.35">
      <c r="A2278" s="4">
        <v>44825</v>
      </c>
      <c r="B2278" s="3" t="s">
        <v>1675</v>
      </c>
      <c r="C2278" s="3">
        <v>23.26</v>
      </c>
      <c r="D2278" s="3">
        <v>2</v>
      </c>
    </row>
    <row r="2279" spans="1:4" ht="12.75" x14ac:dyDescent="0.35">
      <c r="A2279" s="4">
        <v>44702</v>
      </c>
      <c r="B2279" s="3" t="s">
        <v>726</v>
      </c>
      <c r="C2279" s="3">
        <v>23.25</v>
      </c>
      <c r="D2279" s="3">
        <v>4</v>
      </c>
    </row>
    <row r="2280" spans="1:4" ht="12.75" x14ac:dyDescent="0.35">
      <c r="A2280" s="4">
        <v>44582</v>
      </c>
      <c r="B2280" s="3" t="s">
        <v>291</v>
      </c>
      <c r="C2280" s="3">
        <v>23.21</v>
      </c>
      <c r="D2280" s="3">
        <v>2</v>
      </c>
    </row>
    <row r="2281" spans="1:4" ht="12.75" x14ac:dyDescent="0.35">
      <c r="A2281" s="4">
        <v>44886</v>
      </c>
      <c r="B2281" s="3" t="s">
        <v>802</v>
      </c>
      <c r="C2281" s="3">
        <v>23.2</v>
      </c>
      <c r="D2281" s="3">
        <v>3</v>
      </c>
    </row>
    <row r="2282" spans="1:4" ht="12.75" x14ac:dyDescent="0.35">
      <c r="A2282" s="4">
        <v>44613</v>
      </c>
      <c r="B2282" s="3" t="s">
        <v>405</v>
      </c>
      <c r="C2282" s="3">
        <v>23.15</v>
      </c>
      <c r="D2282" s="3">
        <v>1</v>
      </c>
    </row>
    <row r="2283" spans="1:4" ht="12.75" x14ac:dyDescent="0.35">
      <c r="A2283" s="5">
        <v>44763</v>
      </c>
      <c r="B2283" s="3" t="s">
        <v>116</v>
      </c>
      <c r="C2283" s="3">
        <v>23.1</v>
      </c>
      <c r="D2283" s="3">
        <v>2</v>
      </c>
    </row>
    <row r="2284" spans="1:4" ht="12.75" x14ac:dyDescent="0.35">
      <c r="A2284" s="4">
        <v>44916</v>
      </c>
      <c r="B2284" s="3" t="s">
        <v>1933</v>
      </c>
      <c r="C2284" s="3">
        <v>23.09</v>
      </c>
      <c r="D2284" s="3">
        <v>1</v>
      </c>
    </row>
    <row r="2285" spans="1:4" ht="12.75" x14ac:dyDescent="0.35">
      <c r="A2285" s="4">
        <v>44582</v>
      </c>
      <c r="B2285" s="3" t="s">
        <v>301</v>
      </c>
      <c r="C2285" s="3">
        <v>23.07</v>
      </c>
      <c r="D2285" s="3">
        <v>2</v>
      </c>
    </row>
    <row r="2286" spans="1:4" ht="12.75" x14ac:dyDescent="0.35">
      <c r="A2286" s="5">
        <v>44733</v>
      </c>
      <c r="B2286" s="3" t="s">
        <v>893</v>
      </c>
      <c r="C2286" s="3">
        <v>23.07</v>
      </c>
      <c r="D2286" s="3">
        <v>1</v>
      </c>
    </row>
    <row r="2287" spans="1:4" ht="12.75" x14ac:dyDescent="0.35">
      <c r="A2287" s="4">
        <v>44794</v>
      </c>
      <c r="B2287" s="3" t="s">
        <v>1525</v>
      </c>
      <c r="C2287" s="3">
        <v>23.07</v>
      </c>
      <c r="D2287" s="3">
        <v>1</v>
      </c>
    </row>
    <row r="2288" spans="1:4" ht="12.75" x14ac:dyDescent="0.35">
      <c r="A2288" s="4">
        <v>44702</v>
      </c>
      <c r="B2288" s="3" t="s">
        <v>127</v>
      </c>
      <c r="C2288" s="3">
        <v>23.06</v>
      </c>
      <c r="D2288" s="3">
        <v>4</v>
      </c>
    </row>
    <row r="2289" spans="1:4" ht="12.75" x14ac:dyDescent="0.35">
      <c r="A2289" s="4">
        <v>44582</v>
      </c>
      <c r="B2289" s="3" t="s">
        <v>361</v>
      </c>
      <c r="C2289" s="3">
        <v>22.99</v>
      </c>
      <c r="D2289" s="3">
        <v>1</v>
      </c>
    </row>
    <row r="2290" spans="1:4" ht="12.75" x14ac:dyDescent="0.35">
      <c r="A2290" s="4">
        <v>44613</v>
      </c>
      <c r="B2290" s="3" t="s">
        <v>589</v>
      </c>
      <c r="C2290" s="3">
        <v>22.93</v>
      </c>
      <c r="D2290" s="3">
        <v>1</v>
      </c>
    </row>
    <row r="2291" spans="1:4" ht="12.75" x14ac:dyDescent="0.35">
      <c r="A2291" s="4">
        <v>44794</v>
      </c>
      <c r="B2291" s="3" t="s">
        <v>583</v>
      </c>
      <c r="C2291" s="3">
        <v>22.92</v>
      </c>
      <c r="D2291" s="3">
        <v>1</v>
      </c>
    </row>
    <row r="2292" spans="1:4" ht="12.75" x14ac:dyDescent="0.35">
      <c r="A2292" s="4">
        <v>44702</v>
      </c>
      <c r="B2292" s="3" t="s">
        <v>75</v>
      </c>
      <c r="C2292" s="3">
        <v>22.9</v>
      </c>
      <c r="D2292" s="3">
        <v>6</v>
      </c>
    </row>
    <row r="2293" spans="1:4" ht="12.75" x14ac:dyDescent="0.35">
      <c r="A2293" s="4">
        <v>44672</v>
      </c>
      <c r="B2293" s="3" t="s">
        <v>328</v>
      </c>
      <c r="C2293" s="3">
        <v>22.89</v>
      </c>
      <c r="D2293" s="3">
        <v>4</v>
      </c>
    </row>
    <row r="2294" spans="1:4" ht="12.75" x14ac:dyDescent="0.35">
      <c r="A2294" s="5">
        <v>44733</v>
      </c>
      <c r="B2294" s="3" t="s">
        <v>669</v>
      </c>
      <c r="C2294" s="3">
        <v>22.88</v>
      </c>
      <c r="D2294" s="3">
        <v>1</v>
      </c>
    </row>
    <row r="2295" spans="1:4" ht="12.75" x14ac:dyDescent="0.35">
      <c r="A2295" s="5">
        <v>44763</v>
      </c>
      <c r="B2295" s="3" t="s">
        <v>1537</v>
      </c>
      <c r="C2295" s="3">
        <v>22.85</v>
      </c>
      <c r="D2295" s="3">
        <v>1</v>
      </c>
    </row>
    <row r="2296" spans="1:4" ht="12.75" x14ac:dyDescent="0.35">
      <c r="A2296" s="4">
        <v>44702</v>
      </c>
      <c r="B2296" s="3" t="s">
        <v>1128</v>
      </c>
      <c r="C2296" s="3">
        <v>22.78</v>
      </c>
      <c r="D2296" s="3">
        <v>1</v>
      </c>
    </row>
    <row r="2297" spans="1:4" ht="12.75" x14ac:dyDescent="0.35">
      <c r="A2297" s="4">
        <v>44794</v>
      </c>
      <c r="B2297" s="3" t="s">
        <v>123</v>
      </c>
      <c r="C2297" s="3">
        <v>22.78</v>
      </c>
      <c r="D2297" s="3">
        <v>1</v>
      </c>
    </row>
    <row r="2298" spans="1:4" ht="12.75" x14ac:dyDescent="0.35">
      <c r="A2298" s="4">
        <v>44794</v>
      </c>
      <c r="B2298" s="3" t="s">
        <v>226</v>
      </c>
      <c r="C2298" s="3">
        <v>22.77</v>
      </c>
      <c r="D2298" s="3">
        <v>1</v>
      </c>
    </row>
    <row r="2299" spans="1:4" ht="12.75" x14ac:dyDescent="0.35">
      <c r="A2299" s="4">
        <v>44825</v>
      </c>
      <c r="B2299" s="3" t="s">
        <v>1774</v>
      </c>
      <c r="C2299" s="3">
        <v>22.75</v>
      </c>
      <c r="D2299" s="3">
        <v>2</v>
      </c>
    </row>
    <row r="2300" spans="1:4" ht="12.75" x14ac:dyDescent="0.35">
      <c r="A2300" s="4">
        <v>44672</v>
      </c>
      <c r="B2300" s="3" t="s">
        <v>154</v>
      </c>
      <c r="C2300" s="3">
        <v>22.7</v>
      </c>
      <c r="D2300" s="3">
        <v>2</v>
      </c>
    </row>
    <row r="2301" spans="1:4" ht="12.75" x14ac:dyDescent="0.35">
      <c r="A2301" s="4">
        <v>44641</v>
      </c>
      <c r="B2301" s="3" t="s">
        <v>657</v>
      </c>
      <c r="C2301" s="3">
        <v>22.67</v>
      </c>
      <c r="D2301" s="3">
        <v>1</v>
      </c>
    </row>
    <row r="2302" spans="1:4" ht="12.75" x14ac:dyDescent="0.35">
      <c r="A2302" s="4">
        <v>44702</v>
      </c>
      <c r="B2302" s="3" t="s">
        <v>46</v>
      </c>
      <c r="C2302" s="3">
        <v>22.67</v>
      </c>
      <c r="D2302" s="3">
        <v>1</v>
      </c>
    </row>
    <row r="2303" spans="1:4" ht="12.75" x14ac:dyDescent="0.35">
      <c r="A2303" s="4">
        <v>44855</v>
      </c>
      <c r="B2303" s="3" t="s">
        <v>406</v>
      </c>
      <c r="C2303" s="3">
        <v>22.61</v>
      </c>
      <c r="D2303" s="3">
        <v>2</v>
      </c>
    </row>
    <row r="2304" spans="1:4" ht="12.75" x14ac:dyDescent="0.35">
      <c r="A2304" s="4">
        <v>44613</v>
      </c>
      <c r="B2304" s="3" t="s">
        <v>369</v>
      </c>
      <c r="C2304" s="3">
        <v>22.55</v>
      </c>
      <c r="D2304" s="3">
        <v>1</v>
      </c>
    </row>
    <row r="2305" spans="1:4" ht="12.75" x14ac:dyDescent="0.35">
      <c r="A2305" s="4">
        <v>44794</v>
      </c>
      <c r="B2305" s="3" t="s">
        <v>653</v>
      </c>
      <c r="C2305" s="3">
        <v>22.54</v>
      </c>
      <c r="D2305" s="3">
        <v>1</v>
      </c>
    </row>
    <row r="2306" spans="1:4" ht="12.75" x14ac:dyDescent="0.35">
      <c r="A2306" s="4">
        <v>44672</v>
      </c>
      <c r="B2306" s="3" t="s">
        <v>531</v>
      </c>
      <c r="C2306" s="3">
        <v>22.51</v>
      </c>
      <c r="D2306" s="3">
        <v>3</v>
      </c>
    </row>
    <row r="2307" spans="1:4" ht="12.75" x14ac:dyDescent="0.35">
      <c r="A2307" s="4">
        <v>44582</v>
      </c>
      <c r="B2307" s="3" t="s">
        <v>212</v>
      </c>
      <c r="C2307" s="3">
        <v>22.47</v>
      </c>
      <c r="D2307" s="3">
        <v>2</v>
      </c>
    </row>
    <row r="2308" spans="1:4" ht="12.75" x14ac:dyDescent="0.35">
      <c r="A2308" s="4">
        <v>44794</v>
      </c>
      <c r="B2308" s="3" t="s">
        <v>785</v>
      </c>
      <c r="C2308" s="3">
        <v>22.46</v>
      </c>
      <c r="D2308" s="3">
        <v>1</v>
      </c>
    </row>
    <row r="2309" spans="1:4" ht="12.75" x14ac:dyDescent="0.35">
      <c r="A2309" s="4">
        <v>44641</v>
      </c>
      <c r="B2309" s="3" t="s">
        <v>738</v>
      </c>
      <c r="C2309" s="3">
        <v>22.45</v>
      </c>
      <c r="D2309" s="3">
        <v>2</v>
      </c>
    </row>
    <row r="2310" spans="1:4" ht="12.75" x14ac:dyDescent="0.35">
      <c r="A2310" s="4">
        <v>44886</v>
      </c>
      <c r="B2310" s="3" t="s">
        <v>1716</v>
      </c>
      <c r="C2310" s="3">
        <v>22.43</v>
      </c>
      <c r="D2310" s="3">
        <v>1</v>
      </c>
    </row>
    <row r="2311" spans="1:4" ht="12.75" x14ac:dyDescent="0.35">
      <c r="A2311" s="4">
        <v>44613</v>
      </c>
      <c r="B2311" s="3" t="s">
        <v>564</v>
      </c>
      <c r="C2311" s="3">
        <v>22.38</v>
      </c>
      <c r="D2311" s="3">
        <v>1</v>
      </c>
    </row>
    <row r="2312" spans="1:4" ht="12.75" x14ac:dyDescent="0.35">
      <c r="A2312" s="4">
        <v>44672</v>
      </c>
      <c r="B2312" s="3" t="s">
        <v>215</v>
      </c>
      <c r="C2312" s="3">
        <v>22.36</v>
      </c>
      <c r="D2312" s="3">
        <v>7</v>
      </c>
    </row>
    <row r="2313" spans="1:4" ht="12.75" x14ac:dyDescent="0.35">
      <c r="A2313" s="4">
        <v>44855</v>
      </c>
      <c r="B2313" s="3" t="s">
        <v>627</v>
      </c>
      <c r="C2313" s="3">
        <v>22.31</v>
      </c>
      <c r="D2313" s="3">
        <v>2</v>
      </c>
    </row>
    <row r="2314" spans="1:4" ht="12.75" x14ac:dyDescent="0.35">
      <c r="A2314" s="4">
        <v>44702</v>
      </c>
      <c r="B2314" s="3" t="s">
        <v>227</v>
      </c>
      <c r="C2314" s="3">
        <v>22.28</v>
      </c>
      <c r="D2314" s="3">
        <v>3</v>
      </c>
    </row>
    <row r="2315" spans="1:4" ht="12.75" x14ac:dyDescent="0.35">
      <c r="A2315" s="5">
        <v>44733</v>
      </c>
      <c r="B2315" s="3" t="s">
        <v>967</v>
      </c>
      <c r="C2315" s="3">
        <v>22.26</v>
      </c>
      <c r="D2315" s="3">
        <v>1</v>
      </c>
    </row>
    <row r="2316" spans="1:4" ht="12.75" x14ac:dyDescent="0.35">
      <c r="A2316" s="5">
        <v>44763</v>
      </c>
      <c r="B2316" s="3" t="s">
        <v>48</v>
      </c>
      <c r="C2316" s="3">
        <v>22.25</v>
      </c>
      <c r="D2316" s="3">
        <v>4</v>
      </c>
    </row>
    <row r="2317" spans="1:4" ht="12.75" x14ac:dyDescent="0.35">
      <c r="A2317" s="4">
        <v>44794</v>
      </c>
      <c r="B2317" s="3" t="s">
        <v>391</v>
      </c>
      <c r="C2317" s="3">
        <v>22.22</v>
      </c>
      <c r="D2317" s="3">
        <v>1</v>
      </c>
    </row>
    <row r="2318" spans="1:4" ht="12.75" x14ac:dyDescent="0.35">
      <c r="A2318" s="4">
        <v>44825</v>
      </c>
      <c r="B2318" s="3" t="s">
        <v>708</v>
      </c>
      <c r="C2318" s="3">
        <v>22.14</v>
      </c>
      <c r="D2318" s="3">
        <v>2</v>
      </c>
    </row>
    <row r="2319" spans="1:4" ht="12.75" x14ac:dyDescent="0.35">
      <c r="A2319" s="4">
        <v>44613</v>
      </c>
      <c r="B2319" s="3" t="s">
        <v>545</v>
      </c>
      <c r="C2319" s="3">
        <v>22.13</v>
      </c>
      <c r="D2319" s="3">
        <v>3</v>
      </c>
    </row>
    <row r="2320" spans="1:4" ht="12.75" x14ac:dyDescent="0.35">
      <c r="A2320" s="4">
        <v>44916</v>
      </c>
      <c r="B2320" s="3" t="s">
        <v>1725</v>
      </c>
      <c r="C2320" s="3">
        <v>22.06</v>
      </c>
      <c r="D2320" s="3">
        <v>1</v>
      </c>
    </row>
    <row r="2321" spans="1:4" ht="12.75" x14ac:dyDescent="0.35">
      <c r="A2321" s="4">
        <v>44641</v>
      </c>
      <c r="B2321" s="3" t="s">
        <v>563</v>
      </c>
      <c r="C2321" s="3">
        <v>22</v>
      </c>
      <c r="D2321" s="3">
        <v>1</v>
      </c>
    </row>
    <row r="2322" spans="1:4" ht="12.75" x14ac:dyDescent="0.35">
      <c r="A2322" s="4">
        <v>44886</v>
      </c>
      <c r="B2322" s="3" t="s">
        <v>569</v>
      </c>
      <c r="C2322" s="3">
        <v>21.92</v>
      </c>
      <c r="D2322" s="3">
        <v>2</v>
      </c>
    </row>
    <row r="2323" spans="1:4" ht="12.75" x14ac:dyDescent="0.35">
      <c r="A2323" s="4">
        <v>44916</v>
      </c>
      <c r="B2323" s="3" t="s">
        <v>282</v>
      </c>
      <c r="C2323" s="3">
        <v>21.91</v>
      </c>
      <c r="D2323" s="3">
        <v>1</v>
      </c>
    </row>
    <row r="2324" spans="1:4" ht="12.75" x14ac:dyDescent="0.35">
      <c r="A2324" s="4">
        <v>44672</v>
      </c>
      <c r="B2324" s="3" t="s">
        <v>400</v>
      </c>
      <c r="C2324" s="3">
        <v>21.89</v>
      </c>
      <c r="D2324" s="3">
        <v>2</v>
      </c>
    </row>
    <row r="2325" spans="1:4" ht="12.75" x14ac:dyDescent="0.35">
      <c r="A2325" s="5">
        <v>44733</v>
      </c>
      <c r="B2325" s="3" t="s">
        <v>851</v>
      </c>
      <c r="C2325" s="3">
        <v>21.8</v>
      </c>
      <c r="D2325" s="3">
        <v>1</v>
      </c>
    </row>
    <row r="2326" spans="1:4" ht="12.75" x14ac:dyDescent="0.35">
      <c r="A2326" s="5">
        <v>44763</v>
      </c>
      <c r="B2326" s="3" t="s">
        <v>553</v>
      </c>
      <c r="C2326" s="3">
        <v>21.77</v>
      </c>
      <c r="D2326" s="3">
        <v>1</v>
      </c>
    </row>
    <row r="2327" spans="1:4" ht="12.75" x14ac:dyDescent="0.35">
      <c r="A2327" s="5">
        <v>44733</v>
      </c>
      <c r="B2327" s="3" t="s">
        <v>56</v>
      </c>
      <c r="C2327" s="3">
        <v>21.75</v>
      </c>
      <c r="D2327" s="3">
        <v>1</v>
      </c>
    </row>
    <row r="2328" spans="1:4" ht="12.75" x14ac:dyDescent="0.35">
      <c r="A2328" s="4">
        <v>44916</v>
      </c>
      <c r="B2328" s="3" t="s">
        <v>1899</v>
      </c>
      <c r="C2328" s="3">
        <v>21.75</v>
      </c>
      <c r="D2328" s="3">
        <v>2</v>
      </c>
    </row>
    <row r="2329" spans="1:4" ht="12.75" x14ac:dyDescent="0.35">
      <c r="A2329" s="4">
        <v>44825</v>
      </c>
      <c r="B2329" s="3" t="s">
        <v>1218</v>
      </c>
      <c r="C2329" s="3">
        <v>21.74</v>
      </c>
      <c r="D2329" s="3">
        <v>1</v>
      </c>
    </row>
    <row r="2330" spans="1:4" ht="12.75" x14ac:dyDescent="0.35">
      <c r="A2330" s="4">
        <v>44613</v>
      </c>
      <c r="B2330" s="3" t="s">
        <v>463</v>
      </c>
      <c r="C2330" s="3">
        <v>21.73</v>
      </c>
      <c r="D2330" s="3">
        <v>1</v>
      </c>
    </row>
    <row r="2331" spans="1:4" ht="12.75" x14ac:dyDescent="0.35">
      <c r="A2331" s="4">
        <v>44794</v>
      </c>
      <c r="B2331" s="3" t="s">
        <v>1565</v>
      </c>
      <c r="C2331" s="3">
        <v>21.69</v>
      </c>
      <c r="D2331" s="3">
        <v>1</v>
      </c>
    </row>
    <row r="2332" spans="1:4" ht="12.75" x14ac:dyDescent="0.35">
      <c r="A2332" s="4">
        <v>44582</v>
      </c>
      <c r="B2332" s="3" t="s">
        <v>155</v>
      </c>
      <c r="C2332" s="3">
        <v>21.68</v>
      </c>
      <c r="D2332" s="3">
        <v>1</v>
      </c>
    </row>
    <row r="2333" spans="1:4" ht="12.75" x14ac:dyDescent="0.35">
      <c r="A2333" s="4">
        <v>44702</v>
      </c>
      <c r="B2333" s="3" t="s">
        <v>1161</v>
      </c>
      <c r="C2333" s="3">
        <v>21.62</v>
      </c>
      <c r="D2333" s="3">
        <v>1</v>
      </c>
    </row>
    <row r="2334" spans="1:4" ht="12.75" x14ac:dyDescent="0.35">
      <c r="A2334" s="4">
        <v>44641</v>
      </c>
      <c r="B2334" s="3" t="s">
        <v>273</v>
      </c>
      <c r="C2334" s="3">
        <v>21.6</v>
      </c>
      <c r="D2334" s="3">
        <v>2</v>
      </c>
    </row>
    <row r="2335" spans="1:4" ht="12.75" x14ac:dyDescent="0.35">
      <c r="A2335" s="4">
        <v>44613</v>
      </c>
      <c r="B2335" s="3" t="s">
        <v>429</v>
      </c>
      <c r="C2335" s="3">
        <v>21.57</v>
      </c>
      <c r="D2335" s="3">
        <v>1</v>
      </c>
    </row>
    <row r="2336" spans="1:4" ht="12.75" x14ac:dyDescent="0.35">
      <c r="A2336" s="4">
        <v>44825</v>
      </c>
      <c r="B2336" s="3" t="s">
        <v>1565</v>
      </c>
      <c r="C2336" s="3">
        <v>21.55</v>
      </c>
      <c r="D2336" s="3">
        <v>1</v>
      </c>
    </row>
    <row r="2337" spans="1:4" ht="12.75" x14ac:dyDescent="0.35">
      <c r="A2337" s="4">
        <v>44855</v>
      </c>
      <c r="B2337" s="3" t="s">
        <v>782</v>
      </c>
      <c r="C2337" s="3">
        <v>21.54</v>
      </c>
      <c r="D2337" s="3">
        <v>4</v>
      </c>
    </row>
    <row r="2338" spans="1:4" ht="12.75" x14ac:dyDescent="0.35">
      <c r="A2338" s="5">
        <v>44733</v>
      </c>
      <c r="B2338" s="3" t="s">
        <v>197</v>
      </c>
      <c r="C2338" s="3">
        <v>21.52</v>
      </c>
      <c r="D2338" s="3">
        <v>1</v>
      </c>
    </row>
    <row r="2339" spans="1:4" ht="12.75" x14ac:dyDescent="0.35">
      <c r="A2339" s="4">
        <v>44794</v>
      </c>
      <c r="B2339" s="3" t="s">
        <v>415</v>
      </c>
      <c r="C2339" s="3">
        <v>21.48</v>
      </c>
      <c r="D2339" s="3">
        <v>1</v>
      </c>
    </row>
    <row r="2340" spans="1:4" ht="12.75" x14ac:dyDescent="0.35">
      <c r="A2340" s="4">
        <v>44613</v>
      </c>
      <c r="B2340" s="3" t="s">
        <v>17</v>
      </c>
      <c r="C2340" s="3">
        <v>21.36</v>
      </c>
      <c r="D2340" s="3">
        <v>1</v>
      </c>
    </row>
    <row r="2341" spans="1:4" ht="12.75" x14ac:dyDescent="0.35">
      <c r="A2341" s="4">
        <v>44886</v>
      </c>
      <c r="B2341" s="3" t="s">
        <v>653</v>
      </c>
      <c r="C2341" s="3">
        <v>21.34</v>
      </c>
      <c r="D2341" s="3">
        <v>1</v>
      </c>
    </row>
    <row r="2342" spans="1:4" ht="12.75" x14ac:dyDescent="0.35">
      <c r="A2342" s="4">
        <v>44613</v>
      </c>
      <c r="B2342" s="3" t="s">
        <v>152</v>
      </c>
      <c r="C2342" s="3">
        <v>21.32</v>
      </c>
      <c r="D2342" s="3">
        <v>3</v>
      </c>
    </row>
    <row r="2343" spans="1:4" ht="12.75" x14ac:dyDescent="0.35">
      <c r="A2343" s="4">
        <v>44916</v>
      </c>
      <c r="B2343" s="3" t="s">
        <v>1936</v>
      </c>
      <c r="C2343" s="3">
        <v>21.31</v>
      </c>
      <c r="D2343" s="3">
        <v>3</v>
      </c>
    </row>
    <row r="2344" spans="1:4" ht="12.75" x14ac:dyDescent="0.35">
      <c r="A2344" s="4">
        <v>44855</v>
      </c>
      <c r="B2344" s="3" t="s">
        <v>152</v>
      </c>
      <c r="C2344" s="3">
        <v>21.28</v>
      </c>
      <c r="D2344" s="3">
        <v>3</v>
      </c>
    </row>
    <row r="2345" spans="1:4" ht="12.75" x14ac:dyDescent="0.35">
      <c r="A2345" s="4">
        <v>44794</v>
      </c>
      <c r="B2345" s="3" t="s">
        <v>407</v>
      </c>
      <c r="C2345" s="3">
        <v>21.11</v>
      </c>
      <c r="D2345" s="3">
        <v>4</v>
      </c>
    </row>
    <row r="2346" spans="1:4" ht="12.75" x14ac:dyDescent="0.35">
      <c r="A2346" s="4">
        <v>44702</v>
      </c>
      <c r="B2346" s="3" t="s">
        <v>982</v>
      </c>
      <c r="C2346" s="3">
        <v>21.07</v>
      </c>
      <c r="D2346" s="3">
        <v>1</v>
      </c>
    </row>
    <row r="2347" spans="1:4" ht="12.75" x14ac:dyDescent="0.35">
      <c r="A2347" s="4">
        <v>44886</v>
      </c>
      <c r="B2347" s="3" t="s">
        <v>446</v>
      </c>
      <c r="C2347" s="3">
        <v>21.05</v>
      </c>
      <c r="D2347" s="3">
        <v>1</v>
      </c>
    </row>
    <row r="2348" spans="1:4" ht="12.75" x14ac:dyDescent="0.35">
      <c r="A2348" s="4">
        <v>44672</v>
      </c>
      <c r="B2348" s="3" t="s">
        <v>799</v>
      </c>
      <c r="C2348" s="3">
        <v>21.04</v>
      </c>
      <c r="D2348" s="3">
        <v>2</v>
      </c>
    </row>
    <row r="2349" spans="1:4" ht="12.75" x14ac:dyDescent="0.35">
      <c r="A2349" s="4">
        <v>44613</v>
      </c>
      <c r="B2349" s="3" t="s">
        <v>415</v>
      </c>
      <c r="C2349" s="3">
        <v>21.03</v>
      </c>
      <c r="D2349" s="3">
        <v>1</v>
      </c>
    </row>
    <row r="2350" spans="1:4" ht="12.75" x14ac:dyDescent="0.35">
      <c r="A2350" s="4">
        <v>44582</v>
      </c>
      <c r="B2350" s="3" t="s">
        <v>31</v>
      </c>
      <c r="C2350" s="3">
        <v>21.02</v>
      </c>
      <c r="D2350" s="3">
        <v>1</v>
      </c>
    </row>
    <row r="2351" spans="1:4" ht="12.75" x14ac:dyDescent="0.35">
      <c r="A2351" s="4">
        <v>44855</v>
      </c>
      <c r="B2351" s="3" t="s">
        <v>1525</v>
      </c>
      <c r="C2351" s="3">
        <v>20.94</v>
      </c>
      <c r="D2351" s="3">
        <v>1</v>
      </c>
    </row>
    <row r="2352" spans="1:4" ht="12.75" x14ac:dyDescent="0.35">
      <c r="A2352" s="4">
        <v>44582</v>
      </c>
      <c r="B2352" s="3" t="s">
        <v>231</v>
      </c>
      <c r="C2352" s="3">
        <v>20.93</v>
      </c>
      <c r="D2352" s="3">
        <v>2</v>
      </c>
    </row>
    <row r="2353" spans="1:4" ht="12.75" x14ac:dyDescent="0.35">
      <c r="A2353" s="4">
        <v>44702</v>
      </c>
      <c r="B2353" s="3" t="s">
        <v>884</v>
      </c>
      <c r="C2353" s="3">
        <v>20.9</v>
      </c>
      <c r="D2353" s="3">
        <v>1</v>
      </c>
    </row>
    <row r="2354" spans="1:4" ht="12.75" x14ac:dyDescent="0.35">
      <c r="A2354" s="5">
        <v>44733</v>
      </c>
      <c r="B2354" s="3" t="s">
        <v>1322</v>
      </c>
      <c r="C2354" s="3">
        <v>20.86</v>
      </c>
      <c r="D2354" s="3">
        <v>1</v>
      </c>
    </row>
    <row r="2355" spans="1:4" ht="12.75" x14ac:dyDescent="0.35">
      <c r="A2355" s="4">
        <v>44794</v>
      </c>
      <c r="B2355" s="3" t="s">
        <v>1601</v>
      </c>
      <c r="C2355" s="3">
        <v>20.86</v>
      </c>
      <c r="D2355" s="3">
        <v>1</v>
      </c>
    </row>
    <row r="2356" spans="1:4" ht="12.75" x14ac:dyDescent="0.35">
      <c r="A2356" s="5">
        <v>44733</v>
      </c>
      <c r="B2356" s="3" t="s">
        <v>88</v>
      </c>
      <c r="C2356" s="3">
        <v>20.76</v>
      </c>
      <c r="D2356" s="3">
        <v>1</v>
      </c>
    </row>
    <row r="2357" spans="1:4" ht="12.75" x14ac:dyDescent="0.35">
      <c r="A2357" s="5">
        <v>44763</v>
      </c>
      <c r="B2357" s="3" t="s">
        <v>282</v>
      </c>
      <c r="C2357" s="3">
        <v>20.74</v>
      </c>
      <c r="D2357" s="3">
        <v>1</v>
      </c>
    </row>
    <row r="2358" spans="1:4" ht="12.75" x14ac:dyDescent="0.35">
      <c r="A2358" s="4">
        <v>44794</v>
      </c>
      <c r="B2358" s="3" t="s">
        <v>446</v>
      </c>
      <c r="C2358" s="3">
        <v>20.72</v>
      </c>
      <c r="D2358" s="3">
        <v>1</v>
      </c>
    </row>
    <row r="2359" spans="1:4" ht="12.75" x14ac:dyDescent="0.35">
      <c r="A2359" s="4">
        <v>44702</v>
      </c>
      <c r="B2359" s="3" t="s">
        <v>285</v>
      </c>
      <c r="C2359" s="3">
        <v>20.71</v>
      </c>
      <c r="D2359" s="3">
        <v>1</v>
      </c>
    </row>
    <row r="2360" spans="1:4" ht="12.75" x14ac:dyDescent="0.35">
      <c r="A2360" s="4">
        <v>44855</v>
      </c>
      <c r="B2360" s="3" t="s">
        <v>483</v>
      </c>
      <c r="C2360" s="3">
        <v>20.69</v>
      </c>
      <c r="D2360" s="3">
        <v>1</v>
      </c>
    </row>
    <row r="2361" spans="1:4" ht="12.75" x14ac:dyDescent="0.35">
      <c r="A2361" s="4">
        <v>44582</v>
      </c>
      <c r="B2361" s="3" t="s">
        <v>141</v>
      </c>
      <c r="C2361" s="3">
        <v>20.68</v>
      </c>
      <c r="D2361" s="3">
        <v>3</v>
      </c>
    </row>
    <row r="2362" spans="1:4" ht="12.75" x14ac:dyDescent="0.35">
      <c r="A2362" s="5">
        <v>44733</v>
      </c>
      <c r="B2362" s="3" t="s">
        <v>1161</v>
      </c>
      <c r="C2362" s="3">
        <v>20.64</v>
      </c>
      <c r="D2362" s="3">
        <v>1</v>
      </c>
    </row>
    <row r="2363" spans="1:4" ht="12.75" x14ac:dyDescent="0.35">
      <c r="A2363" s="4">
        <v>44794</v>
      </c>
      <c r="B2363" s="3" t="s">
        <v>1730</v>
      </c>
      <c r="C2363" s="3">
        <v>20.63</v>
      </c>
      <c r="D2363" s="3">
        <v>1</v>
      </c>
    </row>
    <row r="2364" spans="1:4" ht="12.75" x14ac:dyDescent="0.35">
      <c r="A2364" s="4">
        <v>44916</v>
      </c>
      <c r="B2364" s="3" t="s">
        <v>645</v>
      </c>
      <c r="C2364" s="3">
        <v>20.61</v>
      </c>
      <c r="D2364" s="3">
        <v>1</v>
      </c>
    </row>
    <row r="2365" spans="1:4" ht="12.75" x14ac:dyDescent="0.35">
      <c r="A2365" s="4">
        <v>44613</v>
      </c>
      <c r="B2365" s="3" t="s">
        <v>596</v>
      </c>
      <c r="C2365" s="3">
        <v>20.59</v>
      </c>
      <c r="D2365" s="3">
        <v>1</v>
      </c>
    </row>
    <row r="2366" spans="1:4" ht="12.75" x14ac:dyDescent="0.35">
      <c r="A2366" s="5">
        <v>44733</v>
      </c>
      <c r="B2366" s="3" t="s">
        <v>657</v>
      </c>
      <c r="C2366" s="3">
        <v>20.59</v>
      </c>
      <c r="D2366" s="3">
        <v>1</v>
      </c>
    </row>
    <row r="2367" spans="1:4" ht="12.75" x14ac:dyDescent="0.35">
      <c r="A2367" s="4">
        <v>44855</v>
      </c>
      <c r="B2367" s="3" t="s">
        <v>783</v>
      </c>
      <c r="C2367" s="3">
        <v>20.54</v>
      </c>
      <c r="D2367" s="3">
        <v>1</v>
      </c>
    </row>
    <row r="2368" spans="1:4" ht="12.75" x14ac:dyDescent="0.35">
      <c r="A2368" s="4">
        <v>44641</v>
      </c>
      <c r="B2368" s="3" t="s">
        <v>49</v>
      </c>
      <c r="C2368" s="3">
        <v>20.49</v>
      </c>
      <c r="D2368" s="3">
        <v>3</v>
      </c>
    </row>
    <row r="2369" spans="1:4" ht="12.75" x14ac:dyDescent="0.35">
      <c r="A2369" s="4">
        <v>44825</v>
      </c>
      <c r="B2369" s="3" t="s">
        <v>152</v>
      </c>
      <c r="C2369" s="3">
        <v>20.36</v>
      </c>
      <c r="D2369" s="3">
        <v>3</v>
      </c>
    </row>
    <row r="2370" spans="1:4" ht="12.75" x14ac:dyDescent="0.35">
      <c r="A2370" s="4">
        <v>44613</v>
      </c>
      <c r="B2370" s="3" t="s">
        <v>581</v>
      </c>
      <c r="C2370" s="3">
        <v>20.260000000000002</v>
      </c>
      <c r="D2370" s="3">
        <v>1</v>
      </c>
    </row>
    <row r="2371" spans="1:4" ht="12.75" x14ac:dyDescent="0.35">
      <c r="A2371" s="4">
        <v>44916</v>
      </c>
      <c r="B2371" s="3" t="s">
        <v>939</v>
      </c>
      <c r="C2371" s="3">
        <v>20.25</v>
      </c>
      <c r="D2371" s="3">
        <v>2</v>
      </c>
    </row>
    <row r="2372" spans="1:4" ht="12.75" x14ac:dyDescent="0.35">
      <c r="A2372" s="4">
        <v>44855</v>
      </c>
      <c r="B2372" s="3" t="s">
        <v>85</v>
      </c>
      <c r="C2372" s="3">
        <v>20.22</v>
      </c>
      <c r="D2372" s="3">
        <v>1</v>
      </c>
    </row>
    <row r="2373" spans="1:4" ht="12.75" x14ac:dyDescent="0.35">
      <c r="A2373" s="4">
        <v>44582</v>
      </c>
      <c r="B2373" s="3" t="s">
        <v>172</v>
      </c>
      <c r="C2373" s="3">
        <v>20.18</v>
      </c>
      <c r="D2373" s="3">
        <v>2</v>
      </c>
    </row>
    <row r="2374" spans="1:4" ht="12.75" x14ac:dyDescent="0.35">
      <c r="A2374" s="4">
        <v>44825</v>
      </c>
      <c r="B2374" s="3" t="s">
        <v>328</v>
      </c>
      <c r="C2374" s="3">
        <v>20.18</v>
      </c>
      <c r="D2374" s="3">
        <v>4</v>
      </c>
    </row>
    <row r="2375" spans="1:4" ht="12.75" x14ac:dyDescent="0.35">
      <c r="A2375" s="5">
        <v>44763</v>
      </c>
      <c r="B2375" s="3" t="s">
        <v>703</v>
      </c>
      <c r="C2375" s="3">
        <v>20.149999999999999</v>
      </c>
      <c r="D2375" s="3">
        <v>2</v>
      </c>
    </row>
    <row r="2376" spans="1:4" ht="12.75" x14ac:dyDescent="0.35">
      <c r="A2376" s="4">
        <v>44794</v>
      </c>
      <c r="B2376" s="3" t="s">
        <v>1202</v>
      </c>
      <c r="C2376" s="3">
        <v>20.100000000000001</v>
      </c>
      <c r="D2376" s="3">
        <v>2</v>
      </c>
    </row>
    <row r="2377" spans="1:4" ht="12.75" x14ac:dyDescent="0.35">
      <c r="A2377" s="4">
        <v>44672</v>
      </c>
      <c r="B2377" s="3" t="s">
        <v>982</v>
      </c>
      <c r="C2377" s="3">
        <v>20.079999999999998</v>
      </c>
      <c r="D2377" s="3">
        <v>1</v>
      </c>
    </row>
    <row r="2378" spans="1:4" ht="12.75" x14ac:dyDescent="0.35">
      <c r="A2378" s="4">
        <v>44855</v>
      </c>
      <c r="B2378" s="3" t="s">
        <v>1806</v>
      </c>
      <c r="C2378" s="3">
        <v>20.03</v>
      </c>
      <c r="D2378" s="3">
        <v>1</v>
      </c>
    </row>
    <row r="2379" spans="1:4" ht="12.75" x14ac:dyDescent="0.35">
      <c r="A2379" s="4">
        <v>44855</v>
      </c>
      <c r="B2379" s="3" t="s">
        <v>281</v>
      </c>
      <c r="C2379" s="3">
        <v>20</v>
      </c>
      <c r="D2379" s="3">
        <v>1</v>
      </c>
    </row>
    <row r="2380" spans="1:4" ht="12.75" x14ac:dyDescent="0.35">
      <c r="A2380" s="4">
        <v>44613</v>
      </c>
      <c r="B2380" s="3" t="s">
        <v>454</v>
      </c>
      <c r="C2380" s="3">
        <v>19.989999999999998</v>
      </c>
      <c r="D2380" s="3">
        <v>1</v>
      </c>
    </row>
    <row r="2381" spans="1:4" ht="12.75" x14ac:dyDescent="0.35">
      <c r="A2381" s="4">
        <v>44702</v>
      </c>
      <c r="B2381" s="3" t="s">
        <v>571</v>
      </c>
      <c r="C2381" s="3">
        <v>19.989999999999998</v>
      </c>
      <c r="D2381" s="3">
        <v>2</v>
      </c>
    </row>
    <row r="2382" spans="1:4" ht="12.75" x14ac:dyDescent="0.35">
      <c r="A2382" s="5">
        <v>44733</v>
      </c>
      <c r="B2382" s="3" t="s">
        <v>692</v>
      </c>
      <c r="C2382" s="3">
        <v>19.989999999999998</v>
      </c>
      <c r="D2382" s="3">
        <v>3</v>
      </c>
    </row>
    <row r="2383" spans="1:4" ht="12.75" x14ac:dyDescent="0.35">
      <c r="A2383" s="4">
        <v>44672</v>
      </c>
      <c r="B2383" s="3" t="s">
        <v>559</v>
      </c>
      <c r="C2383" s="3">
        <v>19.97</v>
      </c>
      <c r="D2383" s="3">
        <v>2</v>
      </c>
    </row>
    <row r="2384" spans="1:4" ht="12.75" x14ac:dyDescent="0.35">
      <c r="A2384" s="4">
        <v>44886</v>
      </c>
      <c r="B2384" s="3" t="s">
        <v>1537</v>
      </c>
      <c r="C2384" s="3">
        <v>19.940000000000001</v>
      </c>
      <c r="D2384" s="3">
        <v>1</v>
      </c>
    </row>
    <row r="2385" spans="1:4" ht="12.75" x14ac:dyDescent="0.35">
      <c r="A2385" s="5">
        <v>44763</v>
      </c>
      <c r="B2385" s="3" t="s">
        <v>557</v>
      </c>
      <c r="C2385" s="3">
        <v>19.850000000000001</v>
      </c>
      <c r="D2385" s="3">
        <v>3</v>
      </c>
    </row>
    <row r="2386" spans="1:4" ht="12.75" x14ac:dyDescent="0.35">
      <c r="A2386" s="4">
        <v>44794</v>
      </c>
      <c r="B2386" s="3" t="s">
        <v>1613</v>
      </c>
      <c r="C2386" s="3">
        <v>19.829999999999998</v>
      </c>
      <c r="D2386" s="3">
        <v>1</v>
      </c>
    </row>
    <row r="2387" spans="1:4" ht="12.75" x14ac:dyDescent="0.35">
      <c r="A2387" s="4">
        <v>44641</v>
      </c>
      <c r="B2387" s="3" t="s">
        <v>309</v>
      </c>
      <c r="C2387" s="3">
        <v>19.809999999999999</v>
      </c>
      <c r="D2387" s="3">
        <v>2</v>
      </c>
    </row>
    <row r="2388" spans="1:4" ht="12.75" x14ac:dyDescent="0.35">
      <c r="A2388" s="4">
        <v>44582</v>
      </c>
      <c r="B2388" s="3" t="s">
        <v>132</v>
      </c>
      <c r="C2388" s="3">
        <v>19.77</v>
      </c>
      <c r="D2388" s="3">
        <v>1</v>
      </c>
    </row>
    <row r="2389" spans="1:4" ht="12.75" x14ac:dyDescent="0.35">
      <c r="A2389" s="4">
        <v>44672</v>
      </c>
      <c r="B2389" s="3" t="s">
        <v>724</v>
      </c>
      <c r="C2389" s="3">
        <v>19.71</v>
      </c>
      <c r="D2389" s="3">
        <v>2</v>
      </c>
    </row>
    <row r="2390" spans="1:4" ht="12.75" x14ac:dyDescent="0.35">
      <c r="A2390" s="4">
        <v>44672</v>
      </c>
      <c r="B2390" s="3" t="s">
        <v>581</v>
      </c>
      <c r="C2390" s="3">
        <v>19.670000000000002</v>
      </c>
      <c r="D2390" s="3">
        <v>1</v>
      </c>
    </row>
    <row r="2391" spans="1:4" ht="12.75" x14ac:dyDescent="0.35">
      <c r="A2391" s="5">
        <v>44733</v>
      </c>
      <c r="B2391" s="3" t="s">
        <v>903</v>
      </c>
      <c r="C2391" s="3">
        <v>19.649999999999999</v>
      </c>
      <c r="D2391" s="3">
        <v>1</v>
      </c>
    </row>
    <row r="2392" spans="1:4" ht="12.75" x14ac:dyDescent="0.35">
      <c r="A2392" s="4">
        <v>44613</v>
      </c>
      <c r="B2392" s="3" t="s">
        <v>433</v>
      </c>
      <c r="C2392" s="3">
        <v>19.62</v>
      </c>
      <c r="D2392" s="3">
        <v>1</v>
      </c>
    </row>
    <row r="2393" spans="1:4" ht="12.75" x14ac:dyDescent="0.35">
      <c r="A2393" s="4">
        <v>44672</v>
      </c>
      <c r="B2393" s="3" t="s">
        <v>267</v>
      </c>
      <c r="C2393" s="3">
        <v>19.62</v>
      </c>
      <c r="D2393" s="3">
        <v>2</v>
      </c>
    </row>
    <row r="2394" spans="1:4" ht="12.75" x14ac:dyDescent="0.35">
      <c r="A2394" s="4">
        <v>44641</v>
      </c>
      <c r="B2394" s="3" t="s">
        <v>232</v>
      </c>
      <c r="C2394" s="3">
        <v>19.53</v>
      </c>
      <c r="D2394" s="3">
        <v>5</v>
      </c>
    </row>
    <row r="2395" spans="1:4" ht="12.75" x14ac:dyDescent="0.35">
      <c r="A2395" s="4">
        <v>44672</v>
      </c>
      <c r="B2395" s="3" t="s">
        <v>865</v>
      </c>
      <c r="C2395" s="3">
        <v>19.47</v>
      </c>
      <c r="D2395" s="3">
        <v>2</v>
      </c>
    </row>
    <row r="2396" spans="1:4" ht="12.75" x14ac:dyDescent="0.35">
      <c r="A2396" s="4">
        <v>44702</v>
      </c>
      <c r="B2396" s="3" t="s">
        <v>903</v>
      </c>
      <c r="C2396" s="3">
        <v>19.45</v>
      </c>
      <c r="D2396" s="3">
        <v>1</v>
      </c>
    </row>
    <row r="2397" spans="1:4" ht="12.75" x14ac:dyDescent="0.35">
      <c r="A2397" s="5">
        <v>44733</v>
      </c>
      <c r="B2397" s="3" t="s">
        <v>666</v>
      </c>
      <c r="C2397" s="3">
        <v>19.43</v>
      </c>
      <c r="D2397" s="3">
        <v>1</v>
      </c>
    </row>
    <row r="2398" spans="1:4" ht="12.75" x14ac:dyDescent="0.35">
      <c r="A2398" s="4">
        <v>44582</v>
      </c>
      <c r="B2398" s="3" t="s">
        <v>165</v>
      </c>
      <c r="C2398" s="3">
        <v>19.41</v>
      </c>
      <c r="D2398" s="3">
        <v>2</v>
      </c>
    </row>
    <row r="2399" spans="1:4" ht="12.75" x14ac:dyDescent="0.35">
      <c r="A2399" s="4">
        <v>44702</v>
      </c>
      <c r="B2399" s="3" t="s">
        <v>1017</v>
      </c>
      <c r="C2399" s="3">
        <v>19.350000000000001</v>
      </c>
      <c r="D2399" s="3">
        <v>1</v>
      </c>
    </row>
    <row r="2400" spans="1:4" ht="12.75" x14ac:dyDescent="0.35">
      <c r="A2400" s="4">
        <v>44825</v>
      </c>
      <c r="B2400" s="3" t="s">
        <v>666</v>
      </c>
      <c r="C2400" s="3">
        <v>19.190000000000001</v>
      </c>
      <c r="D2400" s="3">
        <v>1</v>
      </c>
    </row>
    <row r="2401" spans="1:4" ht="12.75" x14ac:dyDescent="0.35">
      <c r="A2401" s="4">
        <v>44582</v>
      </c>
      <c r="B2401" s="3" t="s">
        <v>115</v>
      </c>
      <c r="C2401" s="3">
        <v>19.100000000000001</v>
      </c>
      <c r="D2401" s="3">
        <v>1</v>
      </c>
    </row>
    <row r="2402" spans="1:4" ht="12.75" x14ac:dyDescent="0.35">
      <c r="A2402" s="4">
        <v>44886</v>
      </c>
      <c r="B2402" s="3" t="s">
        <v>708</v>
      </c>
      <c r="C2402" s="3">
        <v>19.100000000000001</v>
      </c>
      <c r="D2402" s="3">
        <v>2</v>
      </c>
    </row>
    <row r="2403" spans="1:4" ht="12.75" x14ac:dyDescent="0.35">
      <c r="A2403" s="4">
        <v>44641</v>
      </c>
      <c r="B2403" s="3" t="s">
        <v>650</v>
      </c>
      <c r="C2403" s="3">
        <v>19.059999999999999</v>
      </c>
      <c r="D2403" s="3">
        <v>3</v>
      </c>
    </row>
    <row r="2404" spans="1:4" ht="12.75" x14ac:dyDescent="0.35">
      <c r="A2404" s="4">
        <v>44582</v>
      </c>
      <c r="B2404" s="3" t="s">
        <v>255</v>
      </c>
      <c r="C2404" s="3">
        <v>19.04</v>
      </c>
      <c r="D2404" s="3">
        <v>1</v>
      </c>
    </row>
    <row r="2405" spans="1:4" ht="12.75" x14ac:dyDescent="0.35">
      <c r="A2405" s="4">
        <v>44855</v>
      </c>
      <c r="B2405" s="3" t="s">
        <v>446</v>
      </c>
      <c r="C2405" s="3">
        <v>19.04</v>
      </c>
      <c r="D2405" s="3">
        <v>1</v>
      </c>
    </row>
    <row r="2406" spans="1:4" ht="12.75" x14ac:dyDescent="0.35">
      <c r="A2406" s="5">
        <v>44763</v>
      </c>
      <c r="B2406" s="3" t="s">
        <v>620</v>
      </c>
      <c r="C2406" s="3">
        <v>19.02</v>
      </c>
      <c r="D2406" s="3">
        <v>4</v>
      </c>
    </row>
    <row r="2407" spans="1:4" ht="12.75" x14ac:dyDescent="0.35">
      <c r="A2407" s="4">
        <v>44672</v>
      </c>
      <c r="B2407" s="3" t="s">
        <v>813</v>
      </c>
      <c r="C2407" s="3">
        <v>18.96</v>
      </c>
      <c r="D2407" s="3">
        <v>1</v>
      </c>
    </row>
    <row r="2408" spans="1:4" ht="12.75" x14ac:dyDescent="0.35">
      <c r="A2408" s="4">
        <v>44672</v>
      </c>
      <c r="B2408" s="3" t="s">
        <v>375</v>
      </c>
      <c r="C2408" s="3">
        <v>18.91</v>
      </c>
      <c r="D2408" s="3">
        <v>1</v>
      </c>
    </row>
    <row r="2409" spans="1:4" ht="12.75" x14ac:dyDescent="0.35">
      <c r="A2409" s="5">
        <v>44733</v>
      </c>
      <c r="B2409" s="3" t="s">
        <v>1329</v>
      </c>
      <c r="C2409" s="3">
        <v>18.82</v>
      </c>
      <c r="D2409" s="3">
        <v>2</v>
      </c>
    </row>
    <row r="2410" spans="1:4" ht="12.75" x14ac:dyDescent="0.35">
      <c r="A2410" s="4">
        <v>44825</v>
      </c>
      <c r="B2410" s="3" t="s">
        <v>372</v>
      </c>
      <c r="C2410" s="3">
        <v>18.82</v>
      </c>
      <c r="D2410" s="3">
        <v>1</v>
      </c>
    </row>
    <row r="2411" spans="1:4" ht="12.75" x14ac:dyDescent="0.35">
      <c r="A2411" s="4">
        <v>44702</v>
      </c>
      <c r="B2411" s="3" t="s">
        <v>413</v>
      </c>
      <c r="C2411" s="3">
        <v>18.71</v>
      </c>
      <c r="D2411" s="3">
        <v>2</v>
      </c>
    </row>
    <row r="2412" spans="1:4" ht="12.75" x14ac:dyDescent="0.35">
      <c r="A2412" s="4">
        <v>44641</v>
      </c>
      <c r="B2412" s="3" t="s">
        <v>17</v>
      </c>
      <c r="C2412" s="3">
        <v>18.690000000000001</v>
      </c>
      <c r="D2412" s="3">
        <v>1</v>
      </c>
    </row>
    <row r="2413" spans="1:4" ht="12.75" x14ac:dyDescent="0.35">
      <c r="A2413" s="4">
        <v>44886</v>
      </c>
      <c r="B2413" s="3" t="s">
        <v>302</v>
      </c>
      <c r="C2413" s="3">
        <v>18.68</v>
      </c>
      <c r="D2413" s="3">
        <v>1</v>
      </c>
    </row>
    <row r="2414" spans="1:4" ht="12.75" x14ac:dyDescent="0.35">
      <c r="A2414" s="4">
        <v>44613</v>
      </c>
      <c r="B2414" s="3" t="s">
        <v>299</v>
      </c>
      <c r="C2414" s="3">
        <v>18.600000000000001</v>
      </c>
      <c r="D2414" s="3">
        <v>2</v>
      </c>
    </row>
    <row r="2415" spans="1:4" ht="12.75" x14ac:dyDescent="0.35">
      <c r="A2415" s="4">
        <v>44672</v>
      </c>
      <c r="B2415" s="3" t="s">
        <v>182</v>
      </c>
      <c r="C2415" s="3">
        <v>18.600000000000001</v>
      </c>
      <c r="D2415" s="3">
        <v>2</v>
      </c>
    </row>
    <row r="2416" spans="1:4" ht="12.75" x14ac:dyDescent="0.35">
      <c r="A2416" s="4">
        <v>44916</v>
      </c>
      <c r="B2416" s="3" t="s">
        <v>1934</v>
      </c>
      <c r="C2416" s="3">
        <v>18.559999999999999</v>
      </c>
      <c r="D2416" s="3">
        <v>1</v>
      </c>
    </row>
    <row r="2417" spans="1:4" ht="12.75" x14ac:dyDescent="0.35">
      <c r="A2417" s="5">
        <v>44763</v>
      </c>
      <c r="B2417" s="3" t="s">
        <v>319</v>
      </c>
      <c r="C2417" s="3">
        <v>18.5</v>
      </c>
      <c r="D2417" s="3">
        <v>1</v>
      </c>
    </row>
    <row r="2418" spans="1:4" ht="12.75" x14ac:dyDescent="0.35">
      <c r="A2418" s="4">
        <v>44794</v>
      </c>
      <c r="B2418" s="3" t="s">
        <v>298</v>
      </c>
      <c r="C2418" s="3">
        <v>18.43</v>
      </c>
      <c r="D2418" s="3">
        <v>1</v>
      </c>
    </row>
    <row r="2419" spans="1:4" ht="12.75" x14ac:dyDescent="0.35">
      <c r="A2419" s="4">
        <v>44825</v>
      </c>
      <c r="B2419" s="3" t="s">
        <v>1768</v>
      </c>
      <c r="C2419" s="3">
        <v>18.399999999999999</v>
      </c>
      <c r="D2419" s="3">
        <v>2</v>
      </c>
    </row>
    <row r="2420" spans="1:4" ht="12.75" x14ac:dyDescent="0.35">
      <c r="A2420" s="4">
        <v>44582</v>
      </c>
      <c r="B2420" s="3" t="s">
        <v>222</v>
      </c>
      <c r="C2420" s="3">
        <v>18.38</v>
      </c>
      <c r="D2420" s="3">
        <v>1</v>
      </c>
    </row>
    <row r="2421" spans="1:4" ht="12.75" x14ac:dyDescent="0.35">
      <c r="A2421" s="5">
        <v>44733</v>
      </c>
      <c r="B2421" s="3" t="s">
        <v>328</v>
      </c>
      <c r="C2421" s="3">
        <v>18.36</v>
      </c>
      <c r="D2421" s="3">
        <v>4</v>
      </c>
    </row>
    <row r="2422" spans="1:4" ht="12.75" x14ac:dyDescent="0.35">
      <c r="A2422" s="4">
        <v>44702</v>
      </c>
      <c r="B2422" s="3" t="s">
        <v>724</v>
      </c>
      <c r="C2422" s="3">
        <v>18.28</v>
      </c>
      <c r="D2422" s="3">
        <v>2</v>
      </c>
    </row>
    <row r="2423" spans="1:4" ht="12.75" x14ac:dyDescent="0.35">
      <c r="A2423" s="4">
        <v>44916</v>
      </c>
      <c r="B2423" s="3" t="s">
        <v>1655</v>
      </c>
      <c r="C2423" s="3">
        <v>18.28</v>
      </c>
      <c r="D2423" s="3">
        <v>1</v>
      </c>
    </row>
    <row r="2424" spans="1:4" ht="12.75" x14ac:dyDescent="0.35">
      <c r="A2424" s="4">
        <v>44641</v>
      </c>
      <c r="B2424" s="3" t="s">
        <v>726</v>
      </c>
      <c r="C2424" s="3">
        <v>18.27</v>
      </c>
      <c r="D2424" s="3">
        <v>4</v>
      </c>
    </row>
    <row r="2425" spans="1:4" ht="12.75" x14ac:dyDescent="0.35">
      <c r="A2425" s="4">
        <v>44794</v>
      </c>
      <c r="B2425" s="3" t="s">
        <v>1722</v>
      </c>
      <c r="C2425" s="3">
        <v>18.239999999999998</v>
      </c>
      <c r="D2425" s="3">
        <v>1</v>
      </c>
    </row>
    <row r="2426" spans="1:4" ht="12.75" x14ac:dyDescent="0.35">
      <c r="A2426" s="4">
        <v>44916</v>
      </c>
      <c r="B2426" s="3" t="s">
        <v>1475</v>
      </c>
      <c r="C2426" s="3">
        <v>18.170000000000002</v>
      </c>
      <c r="D2426" s="3">
        <v>1</v>
      </c>
    </row>
    <row r="2427" spans="1:4" ht="12.75" x14ac:dyDescent="0.35">
      <c r="A2427" s="5">
        <v>44763</v>
      </c>
      <c r="B2427" s="3" t="s">
        <v>378</v>
      </c>
      <c r="C2427" s="3">
        <v>18.149999999999999</v>
      </c>
      <c r="D2427" s="3">
        <v>2</v>
      </c>
    </row>
    <row r="2428" spans="1:4" ht="12.75" x14ac:dyDescent="0.35">
      <c r="A2428" s="5">
        <v>44733</v>
      </c>
      <c r="B2428" s="3" t="s">
        <v>1269</v>
      </c>
      <c r="C2428" s="3">
        <v>18.100000000000001</v>
      </c>
      <c r="D2428" s="3">
        <v>1</v>
      </c>
    </row>
    <row r="2429" spans="1:4" ht="12.75" x14ac:dyDescent="0.35">
      <c r="A2429" s="4">
        <v>44916</v>
      </c>
      <c r="B2429" s="3" t="s">
        <v>1512</v>
      </c>
      <c r="C2429" s="3">
        <v>18.07</v>
      </c>
      <c r="D2429" s="3">
        <v>3</v>
      </c>
    </row>
    <row r="2430" spans="1:4" ht="12.75" x14ac:dyDescent="0.35">
      <c r="A2430" s="4">
        <v>44702</v>
      </c>
      <c r="B2430" s="3" t="s">
        <v>1055</v>
      </c>
      <c r="C2430" s="3">
        <v>18.059999999999999</v>
      </c>
      <c r="D2430" s="3">
        <v>1</v>
      </c>
    </row>
    <row r="2431" spans="1:4" ht="12.75" x14ac:dyDescent="0.35">
      <c r="A2431" s="4">
        <v>44641</v>
      </c>
      <c r="B2431" s="3" t="s">
        <v>250</v>
      </c>
      <c r="C2431" s="3">
        <v>18.04</v>
      </c>
      <c r="D2431" s="3">
        <v>3</v>
      </c>
    </row>
    <row r="2432" spans="1:4" ht="12.75" x14ac:dyDescent="0.35">
      <c r="A2432" s="4">
        <v>44855</v>
      </c>
      <c r="B2432" s="3" t="s">
        <v>309</v>
      </c>
      <c r="C2432" s="3">
        <v>18.04</v>
      </c>
      <c r="D2432" s="3">
        <v>2</v>
      </c>
    </row>
    <row r="2433" spans="1:4" ht="12.75" x14ac:dyDescent="0.35">
      <c r="A2433" s="4">
        <v>44794</v>
      </c>
      <c r="B2433" s="3" t="s">
        <v>1397</v>
      </c>
      <c r="C2433" s="3">
        <v>17.97</v>
      </c>
      <c r="D2433" s="3">
        <v>2</v>
      </c>
    </row>
    <row r="2434" spans="1:4" ht="12.75" x14ac:dyDescent="0.35">
      <c r="A2434" s="4">
        <v>44886</v>
      </c>
      <c r="B2434" s="3" t="s">
        <v>226</v>
      </c>
      <c r="C2434" s="3">
        <v>17.920000000000002</v>
      </c>
      <c r="D2434" s="3">
        <v>1</v>
      </c>
    </row>
    <row r="2435" spans="1:4" ht="12.75" x14ac:dyDescent="0.35">
      <c r="A2435" s="4">
        <v>44702</v>
      </c>
      <c r="B2435" s="3" t="s">
        <v>913</v>
      </c>
      <c r="C2435" s="3">
        <v>17.84</v>
      </c>
      <c r="D2435" s="3">
        <v>1</v>
      </c>
    </row>
    <row r="2436" spans="1:4" ht="12.75" x14ac:dyDescent="0.35">
      <c r="A2436" s="4">
        <v>44916</v>
      </c>
      <c r="B2436" s="3" t="s">
        <v>155</v>
      </c>
      <c r="C2436" s="3">
        <v>17.79</v>
      </c>
      <c r="D2436" s="3">
        <v>1</v>
      </c>
    </row>
    <row r="2437" spans="1:4" ht="12.75" x14ac:dyDescent="0.35">
      <c r="A2437" s="4">
        <v>44825</v>
      </c>
      <c r="B2437" s="3" t="s">
        <v>1761</v>
      </c>
      <c r="C2437" s="3">
        <v>17.760000000000002</v>
      </c>
      <c r="D2437" s="3">
        <v>2</v>
      </c>
    </row>
    <row r="2438" spans="1:4" ht="12.75" x14ac:dyDescent="0.35">
      <c r="A2438" s="4">
        <v>44582</v>
      </c>
      <c r="B2438" s="3" t="s">
        <v>369</v>
      </c>
      <c r="C2438" s="3">
        <v>17.72</v>
      </c>
      <c r="D2438" s="3">
        <v>1</v>
      </c>
    </row>
    <row r="2439" spans="1:4" ht="12.75" x14ac:dyDescent="0.35">
      <c r="A2439" s="5">
        <v>44763</v>
      </c>
      <c r="B2439" s="3" t="s">
        <v>1519</v>
      </c>
      <c r="C2439" s="3">
        <v>17.72</v>
      </c>
      <c r="D2439" s="3">
        <v>1</v>
      </c>
    </row>
    <row r="2440" spans="1:4" ht="12.75" x14ac:dyDescent="0.35">
      <c r="A2440" s="4">
        <v>44825</v>
      </c>
      <c r="B2440" s="3" t="s">
        <v>1640</v>
      </c>
      <c r="C2440" s="3">
        <v>17.690000000000001</v>
      </c>
      <c r="D2440" s="3">
        <v>3</v>
      </c>
    </row>
    <row r="2441" spans="1:4" ht="12.75" x14ac:dyDescent="0.35">
      <c r="A2441" s="4">
        <v>44582</v>
      </c>
      <c r="B2441" s="3" t="s">
        <v>373</v>
      </c>
      <c r="C2441" s="3">
        <v>17.600000000000001</v>
      </c>
      <c r="D2441" s="3">
        <v>3</v>
      </c>
    </row>
    <row r="2442" spans="1:4" ht="12.75" x14ac:dyDescent="0.35">
      <c r="A2442" s="4">
        <v>44794</v>
      </c>
      <c r="B2442" s="3" t="s">
        <v>178</v>
      </c>
      <c r="C2442" s="3">
        <v>17.600000000000001</v>
      </c>
      <c r="D2442" s="3">
        <v>1</v>
      </c>
    </row>
    <row r="2443" spans="1:4" ht="12.75" x14ac:dyDescent="0.35">
      <c r="A2443" s="4">
        <v>44613</v>
      </c>
      <c r="B2443" s="3" t="s">
        <v>585</v>
      </c>
      <c r="C2443" s="3">
        <v>17.55</v>
      </c>
      <c r="D2443" s="3">
        <v>2</v>
      </c>
    </row>
    <row r="2444" spans="1:4" ht="12.75" x14ac:dyDescent="0.35">
      <c r="A2444" s="4">
        <v>44613</v>
      </c>
      <c r="B2444" s="3" t="s">
        <v>328</v>
      </c>
      <c r="C2444" s="3">
        <v>17.45</v>
      </c>
      <c r="D2444" s="3">
        <v>4</v>
      </c>
    </row>
    <row r="2445" spans="1:4" ht="12.75" x14ac:dyDescent="0.35">
      <c r="A2445" s="5">
        <v>44763</v>
      </c>
      <c r="B2445" s="3" t="s">
        <v>446</v>
      </c>
      <c r="C2445" s="3">
        <v>17.38</v>
      </c>
      <c r="D2445" s="3">
        <v>1</v>
      </c>
    </row>
    <row r="2446" spans="1:4" ht="12.75" x14ac:dyDescent="0.35">
      <c r="A2446" s="4">
        <v>44794</v>
      </c>
      <c r="B2446" s="3" t="s">
        <v>410</v>
      </c>
      <c r="C2446" s="3">
        <v>17.32</v>
      </c>
      <c r="D2446" s="3">
        <v>2</v>
      </c>
    </row>
    <row r="2447" spans="1:4" ht="12.75" x14ac:dyDescent="0.35">
      <c r="A2447" s="4">
        <v>44641</v>
      </c>
      <c r="B2447" s="3" t="s">
        <v>419</v>
      </c>
      <c r="C2447" s="3">
        <v>17.27</v>
      </c>
      <c r="D2447" s="3">
        <v>3</v>
      </c>
    </row>
    <row r="2448" spans="1:4" ht="12.75" x14ac:dyDescent="0.35">
      <c r="A2448" s="4">
        <v>44916</v>
      </c>
      <c r="B2448" s="3" t="s">
        <v>1943</v>
      </c>
      <c r="C2448" s="3">
        <v>17.14</v>
      </c>
      <c r="D2448" s="3">
        <v>3</v>
      </c>
    </row>
    <row r="2449" spans="1:4" ht="12.75" x14ac:dyDescent="0.35">
      <c r="A2449" s="4">
        <v>44825</v>
      </c>
      <c r="B2449" s="3" t="s">
        <v>1776</v>
      </c>
      <c r="C2449" s="3">
        <v>17.04</v>
      </c>
      <c r="D2449" s="3">
        <v>2</v>
      </c>
    </row>
    <row r="2450" spans="1:4" ht="12.75" x14ac:dyDescent="0.35">
      <c r="A2450" s="4">
        <v>44702</v>
      </c>
      <c r="B2450" s="3" t="s">
        <v>91</v>
      </c>
      <c r="C2450" s="3">
        <v>17.03</v>
      </c>
      <c r="D2450" s="3">
        <v>2</v>
      </c>
    </row>
    <row r="2451" spans="1:4" ht="12.75" x14ac:dyDescent="0.35">
      <c r="A2451" s="4">
        <v>44702</v>
      </c>
      <c r="B2451" s="3" t="s">
        <v>933</v>
      </c>
      <c r="C2451" s="3">
        <v>17</v>
      </c>
      <c r="D2451" s="3">
        <v>1</v>
      </c>
    </row>
    <row r="2452" spans="1:4" ht="12.75" x14ac:dyDescent="0.35">
      <c r="A2452" s="4">
        <v>44672</v>
      </c>
      <c r="B2452" s="3" t="s">
        <v>961</v>
      </c>
      <c r="C2452" s="3">
        <v>16.89</v>
      </c>
      <c r="D2452" s="3">
        <v>2</v>
      </c>
    </row>
    <row r="2453" spans="1:4" ht="12.75" x14ac:dyDescent="0.35">
      <c r="A2453" s="4">
        <v>44825</v>
      </c>
      <c r="B2453" s="3" t="s">
        <v>1115</v>
      </c>
      <c r="C2453" s="3">
        <v>16.84</v>
      </c>
      <c r="D2453" s="3">
        <v>1</v>
      </c>
    </row>
    <row r="2454" spans="1:4" ht="12.75" x14ac:dyDescent="0.35">
      <c r="A2454" s="4">
        <v>44672</v>
      </c>
      <c r="B2454" s="3" t="s">
        <v>758</v>
      </c>
      <c r="C2454" s="3">
        <v>16.739999999999998</v>
      </c>
      <c r="D2454" s="3">
        <v>1</v>
      </c>
    </row>
    <row r="2455" spans="1:4" ht="12.75" x14ac:dyDescent="0.35">
      <c r="A2455" s="4">
        <v>44794</v>
      </c>
      <c r="B2455" s="3" t="s">
        <v>1557</v>
      </c>
      <c r="C2455" s="3">
        <v>16.73</v>
      </c>
      <c r="D2455" s="3">
        <v>2</v>
      </c>
    </row>
    <row r="2456" spans="1:4" ht="12.75" x14ac:dyDescent="0.35">
      <c r="A2456" s="4">
        <v>44672</v>
      </c>
      <c r="B2456" s="3" t="s">
        <v>801</v>
      </c>
      <c r="C2456" s="3">
        <v>16.72</v>
      </c>
      <c r="D2456" s="3">
        <v>3</v>
      </c>
    </row>
    <row r="2457" spans="1:4" ht="12.75" x14ac:dyDescent="0.35">
      <c r="A2457" s="4">
        <v>44855</v>
      </c>
      <c r="B2457" s="3" t="s">
        <v>653</v>
      </c>
      <c r="C2457" s="3">
        <v>16.670000000000002</v>
      </c>
      <c r="D2457" s="3">
        <v>1</v>
      </c>
    </row>
    <row r="2458" spans="1:4" ht="12.75" x14ac:dyDescent="0.35">
      <c r="A2458" s="4">
        <v>44582</v>
      </c>
      <c r="B2458" s="3" t="s">
        <v>187</v>
      </c>
      <c r="C2458" s="3">
        <v>16.649999999999999</v>
      </c>
      <c r="D2458" s="3">
        <v>1</v>
      </c>
    </row>
    <row r="2459" spans="1:4" ht="12.75" x14ac:dyDescent="0.35">
      <c r="A2459" s="4">
        <v>44641</v>
      </c>
      <c r="B2459" s="3" t="s">
        <v>183</v>
      </c>
      <c r="C2459" s="3">
        <v>16.61</v>
      </c>
      <c r="D2459" s="3">
        <v>1</v>
      </c>
    </row>
    <row r="2460" spans="1:4" ht="12.75" x14ac:dyDescent="0.35">
      <c r="A2460" s="4">
        <v>44886</v>
      </c>
      <c r="B2460" s="3" t="s">
        <v>1395</v>
      </c>
      <c r="C2460" s="3">
        <v>16.600000000000001</v>
      </c>
      <c r="D2460" s="3">
        <v>1</v>
      </c>
    </row>
    <row r="2461" spans="1:4" ht="12.75" x14ac:dyDescent="0.35">
      <c r="A2461" s="4">
        <v>44702</v>
      </c>
      <c r="B2461" s="3" t="s">
        <v>851</v>
      </c>
      <c r="C2461" s="3">
        <v>16.54</v>
      </c>
      <c r="D2461" s="3">
        <v>1</v>
      </c>
    </row>
    <row r="2462" spans="1:4" ht="12.75" x14ac:dyDescent="0.35">
      <c r="A2462" s="4">
        <v>44916</v>
      </c>
      <c r="B2462" s="3" t="s">
        <v>1882</v>
      </c>
      <c r="C2462" s="3">
        <v>16.52</v>
      </c>
      <c r="D2462" s="3">
        <v>1</v>
      </c>
    </row>
    <row r="2463" spans="1:4" ht="12.75" x14ac:dyDescent="0.35">
      <c r="A2463" s="4">
        <v>44641</v>
      </c>
      <c r="B2463" s="3" t="s">
        <v>100</v>
      </c>
      <c r="C2463" s="3">
        <v>16.440000000000001</v>
      </c>
      <c r="D2463" s="3">
        <v>1</v>
      </c>
    </row>
    <row r="2464" spans="1:4" ht="12.75" x14ac:dyDescent="0.35">
      <c r="A2464" s="4">
        <v>44672</v>
      </c>
      <c r="B2464" s="3" t="s">
        <v>889</v>
      </c>
      <c r="C2464" s="3">
        <v>16.38</v>
      </c>
      <c r="D2464" s="3">
        <v>1</v>
      </c>
    </row>
    <row r="2465" spans="1:4" ht="12.75" x14ac:dyDescent="0.35">
      <c r="A2465" s="4">
        <v>44794</v>
      </c>
      <c r="B2465" s="3" t="s">
        <v>35</v>
      </c>
      <c r="C2465" s="3">
        <v>16.38</v>
      </c>
      <c r="D2465" s="3">
        <v>1</v>
      </c>
    </row>
    <row r="2466" spans="1:4" ht="12.75" x14ac:dyDescent="0.35">
      <c r="A2466" s="4">
        <v>44794</v>
      </c>
      <c r="B2466" s="3" t="s">
        <v>1136</v>
      </c>
      <c r="C2466" s="3">
        <v>16.36</v>
      </c>
      <c r="D2466" s="3">
        <v>1</v>
      </c>
    </row>
    <row r="2467" spans="1:4" ht="12.75" x14ac:dyDescent="0.35">
      <c r="A2467" s="4">
        <v>44672</v>
      </c>
      <c r="B2467" s="3" t="s">
        <v>983</v>
      </c>
      <c r="C2467" s="3">
        <v>16.34</v>
      </c>
      <c r="D2467" s="3">
        <v>1</v>
      </c>
    </row>
    <row r="2468" spans="1:4" ht="12.75" x14ac:dyDescent="0.35">
      <c r="A2468" s="4">
        <v>44613</v>
      </c>
      <c r="B2468" s="3" t="s">
        <v>222</v>
      </c>
      <c r="C2468" s="3">
        <v>16.32</v>
      </c>
      <c r="D2468" s="3">
        <v>1</v>
      </c>
    </row>
    <row r="2469" spans="1:4" ht="12.75" x14ac:dyDescent="0.35">
      <c r="A2469" s="4">
        <v>44886</v>
      </c>
      <c r="B2469" s="3" t="s">
        <v>1578</v>
      </c>
      <c r="C2469" s="3">
        <v>16.32</v>
      </c>
      <c r="D2469" s="3">
        <v>1</v>
      </c>
    </row>
    <row r="2470" spans="1:4" ht="12.75" x14ac:dyDescent="0.35">
      <c r="A2470" s="4">
        <v>44916</v>
      </c>
      <c r="B2470" s="3" t="s">
        <v>586</v>
      </c>
      <c r="C2470" s="3">
        <v>16.29</v>
      </c>
      <c r="D2470" s="3">
        <v>1</v>
      </c>
    </row>
    <row r="2471" spans="1:4" ht="12.75" x14ac:dyDescent="0.35">
      <c r="A2471" s="4">
        <v>44825</v>
      </c>
      <c r="B2471" s="3" t="s">
        <v>1754</v>
      </c>
      <c r="C2471" s="3">
        <v>16.21</v>
      </c>
      <c r="D2471" s="3">
        <v>2</v>
      </c>
    </row>
    <row r="2472" spans="1:4" ht="12.75" x14ac:dyDescent="0.35">
      <c r="A2472" s="4">
        <v>44794</v>
      </c>
      <c r="B2472" s="3" t="s">
        <v>1716</v>
      </c>
      <c r="C2472" s="3">
        <v>16.170000000000002</v>
      </c>
      <c r="D2472" s="3">
        <v>1</v>
      </c>
    </row>
    <row r="2473" spans="1:4" ht="12.75" x14ac:dyDescent="0.35">
      <c r="A2473" s="4">
        <v>44582</v>
      </c>
      <c r="B2473" s="3" t="s">
        <v>319</v>
      </c>
      <c r="C2473" s="3">
        <v>16.14</v>
      </c>
      <c r="D2473" s="3">
        <v>1</v>
      </c>
    </row>
    <row r="2474" spans="1:4" ht="12.75" x14ac:dyDescent="0.35">
      <c r="A2474" s="4">
        <v>44672</v>
      </c>
      <c r="B2474" s="3" t="s">
        <v>148</v>
      </c>
      <c r="C2474" s="3">
        <v>16.079999999999998</v>
      </c>
      <c r="D2474" s="3">
        <v>1</v>
      </c>
    </row>
    <row r="2475" spans="1:4" ht="12.75" x14ac:dyDescent="0.35">
      <c r="A2475" s="4">
        <v>44886</v>
      </c>
      <c r="B2475" s="3" t="s">
        <v>777</v>
      </c>
      <c r="C2475" s="3">
        <v>16.07</v>
      </c>
      <c r="D2475" s="3">
        <v>3</v>
      </c>
    </row>
    <row r="2476" spans="1:4" ht="12.75" x14ac:dyDescent="0.35">
      <c r="A2476" s="4">
        <v>44886</v>
      </c>
      <c r="B2476" s="3" t="s">
        <v>1781</v>
      </c>
      <c r="C2476" s="3">
        <v>16.05</v>
      </c>
      <c r="D2476" s="3">
        <v>1</v>
      </c>
    </row>
    <row r="2477" spans="1:4" ht="12.75" x14ac:dyDescent="0.35">
      <c r="A2477" s="4">
        <v>44702</v>
      </c>
      <c r="B2477" s="3" t="s">
        <v>1156</v>
      </c>
      <c r="C2477" s="3">
        <v>16.010000000000002</v>
      </c>
      <c r="D2477" s="3">
        <v>2</v>
      </c>
    </row>
    <row r="2478" spans="1:4" ht="12.75" x14ac:dyDescent="0.35">
      <c r="A2478" s="4">
        <v>44672</v>
      </c>
      <c r="B2478" s="3" t="s">
        <v>31</v>
      </c>
      <c r="C2478" s="3">
        <v>16</v>
      </c>
      <c r="D2478" s="3">
        <v>1</v>
      </c>
    </row>
    <row r="2479" spans="1:4" ht="12.75" x14ac:dyDescent="0.35">
      <c r="A2479" s="4">
        <v>44886</v>
      </c>
      <c r="B2479" s="3" t="s">
        <v>56</v>
      </c>
      <c r="C2479" s="3">
        <v>15.94</v>
      </c>
      <c r="D2479" s="3">
        <v>1</v>
      </c>
    </row>
    <row r="2480" spans="1:4" ht="12.75" x14ac:dyDescent="0.35">
      <c r="A2480" s="5">
        <v>44733</v>
      </c>
      <c r="B2480" s="3" t="s">
        <v>1416</v>
      </c>
      <c r="C2480" s="3">
        <v>15.91</v>
      </c>
      <c r="D2480" s="3">
        <v>1</v>
      </c>
    </row>
    <row r="2481" spans="1:4" ht="12.75" x14ac:dyDescent="0.35">
      <c r="A2481" s="4">
        <v>44672</v>
      </c>
      <c r="B2481" s="3" t="s">
        <v>781</v>
      </c>
      <c r="C2481" s="3">
        <v>15.83</v>
      </c>
      <c r="D2481" s="3">
        <v>1</v>
      </c>
    </row>
    <row r="2482" spans="1:4" ht="12.75" x14ac:dyDescent="0.35">
      <c r="A2482" s="4">
        <v>44916</v>
      </c>
      <c r="B2482" s="3" t="s">
        <v>362</v>
      </c>
      <c r="C2482" s="3">
        <v>15.79</v>
      </c>
      <c r="D2482" s="3">
        <v>7</v>
      </c>
    </row>
    <row r="2483" spans="1:4" ht="12.75" x14ac:dyDescent="0.35">
      <c r="A2483" s="4">
        <v>44886</v>
      </c>
      <c r="B2483" s="3" t="s">
        <v>579</v>
      </c>
      <c r="C2483" s="3">
        <v>15.77</v>
      </c>
      <c r="D2483" s="3">
        <v>2</v>
      </c>
    </row>
    <row r="2484" spans="1:4" ht="12.75" x14ac:dyDescent="0.35">
      <c r="A2484" s="4">
        <v>44702</v>
      </c>
      <c r="B2484" s="3" t="s">
        <v>649</v>
      </c>
      <c r="C2484" s="3">
        <v>15.76</v>
      </c>
      <c r="D2484" s="3">
        <v>2</v>
      </c>
    </row>
    <row r="2485" spans="1:4" ht="12.75" x14ac:dyDescent="0.35">
      <c r="A2485" s="4">
        <v>44855</v>
      </c>
      <c r="B2485" s="3" t="s">
        <v>1476</v>
      </c>
      <c r="C2485" s="3">
        <v>15.68</v>
      </c>
      <c r="D2485" s="3">
        <v>1</v>
      </c>
    </row>
    <row r="2486" spans="1:4" ht="12.75" x14ac:dyDescent="0.35">
      <c r="A2486" s="4">
        <v>44613</v>
      </c>
      <c r="B2486" s="3" t="s">
        <v>278</v>
      </c>
      <c r="C2486" s="3">
        <v>15.66</v>
      </c>
      <c r="D2486" s="3">
        <v>1</v>
      </c>
    </row>
    <row r="2487" spans="1:4" ht="12.75" x14ac:dyDescent="0.35">
      <c r="A2487" s="4">
        <v>44855</v>
      </c>
      <c r="B2487" s="3" t="s">
        <v>1475</v>
      </c>
      <c r="C2487" s="3">
        <v>15.61</v>
      </c>
      <c r="D2487" s="3">
        <v>1</v>
      </c>
    </row>
    <row r="2488" spans="1:4" ht="12.75" x14ac:dyDescent="0.35">
      <c r="A2488" s="4">
        <v>44641</v>
      </c>
      <c r="B2488" s="3" t="s">
        <v>255</v>
      </c>
      <c r="C2488" s="3">
        <v>15.52</v>
      </c>
      <c r="D2488" s="3">
        <v>1</v>
      </c>
    </row>
    <row r="2489" spans="1:4" ht="12.75" x14ac:dyDescent="0.35">
      <c r="A2489" s="5">
        <v>44733</v>
      </c>
      <c r="B2489" s="3" t="s">
        <v>889</v>
      </c>
      <c r="C2489" s="3">
        <v>15.51</v>
      </c>
      <c r="D2489" s="3">
        <v>1</v>
      </c>
    </row>
    <row r="2490" spans="1:4" ht="12.75" x14ac:dyDescent="0.35">
      <c r="A2490" s="4">
        <v>44702</v>
      </c>
      <c r="B2490" s="3" t="s">
        <v>1108</v>
      </c>
      <c r="C2490" s="3">
        <v>15.5</v>
      </c>
      <c r="D2490" s="3">
        <v>1</v>
      </c>
    </row>
    <row r="2491" spans="1:4" ht="12.75" x14ac:dyDescent="0.35">
      <c r="A2491" s="4">
        <v>44582</v>
      </c>
      <c r="B2491" s="3" t="s">
        <v>378</v>
      </c>
      <c r="C2491" s="3">
        <v>15.49</v>
      </c>
      <c r="D2491" s="3">
        <v>2</v>
      </c>
    </row>
    <row r="2492" spans="1:4" ht="12.75" x14ac:dyDescent="0.35">
      <c r="A2492" s="4">
        <v>44613</v>
      </c>
      <c r="B2492" s="3" t="s">
        <v>484</v>
      </c>
      <c r="C2492" s="3">
        <v>15.48</v>
      </c>
      <c r="D2492" s="3">
        <v>1</v>
      </c>
    </row>
    <row r="2493" spans="1:4" ht="12.75" x14ac:dyDescent="0.35">
      <c r="A2493" s="4">
        <v>44825</v>
      </c>
      <c r="B2493" s="3" t="s">
        <v>1533</v>
      </c>
      <c r="C2493" s="3">
        <v>15.41</v>
      </c>
      <c r="D2493" s="3">
        <v>1</v>
      </c>
    </row>
    <row r="2494" spans="1:4" ht="12.75" x14ac:dyDescent="0.35">
      <c r="A2494" s="4">
        <v>44886</v>
      </c>
      <c r="B2494" s="3" t="s">
        <v>391</v>
      </c>
      <c r="C2494" s="3">
        <v>15.39</v>
      </c>
      <c r="D2494" s="3">
        <v>1</v>
      </c>
    </row>
    <row r="2495" spans="1:4" ht="12.75" x14ac:dyDescent="0.35">
      <c r="A2495" s="4">
        <v>44702</v>
      </c>
      <c r="B2495" s="3" t="s">
        <v>402</v>
      </c>
      <c r="C2495" s="3">
        <v>15.37</v>
      </c>
      <c r="D2495" s="3">
        <v>1</v>
      </c>
    </row>
    <row r="2496" spans="1:4" ht="12.75" x14ac:dyDescent="0.35">
      <c r="A2496" s="4">
        <v>44916</v>
      </c>
      <c r="B2496" s="3" t="s">
        <v>226</v>
      </c>
      <c r="C2496" s="3">
        <v>15.36</v>
      </c>
      <c r="D2496" s="3">
        <v>1</v>
      </c>
    </row>
    <row r="2497" spans="1:4" ht="12.75" x14ac:dyDescent="0.35">
      <c r="A2497" s="4">
        <v>44582</v>
      </c>
      <c r="B2497" s="3" t="s">
        <v>152</v>
      </c>
      <c r="C2497" s="3">
        <v>15.35</v>
      </c>
      <c r="D2497" s="3">
        <v>3</v>
      </c>
    </row>
    <row r="2498" spans="1:4" ht="12.75" x14ac:dyDescent="0.35">
      <c r="A2498" s="4">
        <v>44825</v>
      </c>
      <c r="B2498" s="3" t="s">
        <v>535</v>
      </c>
      <c r="C2498" s="3">
        <v>15.33</v>
      </c>
      <c r="D2498" s="3">
        <v>3</v>
      </c>
    </row>
    <row r="2499" spans="1:4" ht="12.75" x14ac:dyDescent="0.35">
      <c r="A2499" s="4">
        <v>44855</v>
      </c>
      <c r="B2499" s="3" t="s">
        <v>506</v>
      </c>
      <c r="C2499" s="3">
        <v>15.33</v>
      </c>
      <c r="D2499" s="3">
        <v>9</v>
      </c>
    </row>
    <row r="2500" spans="1:4" ht="12.75" x14ac:dyDescent="0.35">
      <c r="A2500" s="4">
        <v>44702</v>
      </c>
      <c r="B2500" s="3" t="s">
        <v>194</v>
      </c>
      <c r="C2500" s="3">
        <v>15.3</v>
      </c>
      <c r="D2500" s="3">
        <v>6</v>
      </c>
    </row>
    <row r="2501" spans="1:4" ht="12.75" x14ac:dyDescent="0.35">
      <c r="A2501" s="4">
        <v>44702</v>
      </c>
      <c r="B2501" s="3" t="s">
        <v>232</v>
      </c>
      <c r="C2501" s="3">
        <v>15.26</v>
      </c>
      <c r="D2501" s="3">
        <v>5</v>
      </c>
    </row>
    <row r="2502" spans="1:4" ht="12.75" x14ac:dyDescent="0.35">
      <c r="A2502" s="4">
        <v>44613</v>
      </c>
      <c r="B2502" s="3" t="s">
        <v>317</v>
      </c>
      <c r="C2502" s="3">
        <v>15.23</v>
      </c>
      <c r="D2502" s="3">
        <v>2</v>
      </c>
    </row>
    <row r="2503" spans="1:4" ht="12.75" x14ac:dyDescent="0.35">
      <c r="A2503" s="4">
        <v>44794</v>
      </c>
      <c r="B2503" s="3" t="s">
        <v>1023</v>
      </c>
      <c r="C2503" s="3">
        <v>15.2</v>
      </c>
      <c r="D2503" s="3">
        <v>1</v>
      </c>
    </row>
    <row r="2504" spans="1:4" ht="12.75" x14ac:dyDescent="0.35">
      <c r="A2504" s="4">
        <v>44672</v>
      </c>
      <c r="B2504" s="3" t="s">
        <v>886</v>
      </c>
      <c r="C2504" s="3">
        <v>15.18</v>
      </c>
      <c r="D2504" s="3">
        <v>2</v>
      </c>
    </row>
    <row r="2505" spans="1:4" ht="12.75" x14ac:dyDescent="0.35">
      <c r="A2505" s="4">
        <v>44916</v>
      </c>
      <c r="B2505" s="3" t="s">
        <v>1623</v>
      </c>
      <c r="C2505" s="3">
        <v>15.16</v>
      </c>
      <c r="D2505" s="3">
        <v>2</v>
      </c>
    </row>
    <row r="2506" spans="1:4" ht="12.75" x14ac:dyDescent="0.35">
      <c r="A2506" s="4">
        <v>44613</v>
      </c>
      <c r="B2506" s="3" t="s">
        <v>100</v>
      </c>
      <c r="C2506" s="3">
        <v>15.14</v>
      </c>
      <c r="D2506" s="3">
        <v>1</v>
      </c>
    </row>
    <row r="2507" spans="1:4" ht="12.75" x14ac:dyDescent="0.35">
      <c r="A2507" s="4">
        <v>44702</v>
      </c>
      <c r="B2507" s="3" t="s">
        <v>1014</v>
      </c>
      <c r="C2507" s="3">
        <v>15.14</v>
      </c>
      <c r="D2507" s="3">
        <v>1</v>
      </c>
    </row>
    <row r="2508" spans="1:4" ht="12.75" x14ac:dyDescent="0.35">
      <c r="A2508" s="5">
        <v>44763</v>
      </c>
      <c r="B2508" s="3" t="s">
        <v>586</v>
      </c>
      <c r="C2508" s="3">
        <v>15.12</v>
      </c>
      <c r="D2508" s="3">
        <v>1</v>
      </c>
    </row>
    <row r="2509" spans="1:4" ht="12.75" x14ac:dyDescent="0.35">
      <c r="A2509" s="4">
        <v>44825</v>
      </c>
      <c r="B2509" s="3" t="s">
        <v>1537</v>
      </c>
      <c r="C2509" s="3">
        <v>15.08</v>
      </c>
      <c r="D2509" s="3">
        <v>1</v>
      </c>
    </row>
    <row r="2510" spans="1:4" ht="12.75" x14ac:dyDescent="0.35">
      <c r="A2510" s="4">
        <v>44641</v>
      </c>
      <c r="B2510" s="3" t="s">
        <v>282</v>
      </c>
      <c r="C2510" s="3">
        <v>15.02</v>
      </c>
      <c r="D2510" s="3">
        <v>1</v>
      </c>
    </row>
    <row r="2511" spans="1:4" ht="12.75" x14ac:dyDescent="0.35">
      <c r="A2511" s="4">
        <v>44825</v>
      </c>
      <c r="B2511" s="3" t="s">
        <v>1801</v>
      </c>
      <c r="C2511" s="3">
        <v>14.97</v>
      </c>
      <c r="D2511" s="3">
        <v>2</v>
      </c>
    </row>
    <row r="2512" spans="1:4" ht="12.75" x14ac:dyDescent="0.35">
      <c r="A2512" s="4">
        <v>44672</v>
      </c>
      <c r="B2512" s="3" t="s">
        <v>361</v>
      </c>
      <c r="C2512" s="3">
        <v>14.95</v>
      </c>
      <c r="D2512" s="3">
        <v>1</v>
      </c>
    </row>
    <row r="2513" spans="1:4" ht="12.75" x14ac:dyDescent="0.35">
      <c r="A2513" s="4">
        <v>44582</v>
      </c>
      <c r="B2513" s="3" t="s">
        <v>57</v>
      </c>
      <c r="C2513" s="3">
        <v>14.94</v>
      </c>
      <c r="D2513" s="3">
        <v>2</v>
      </c>
    </row>
    <row r="2514" spans="1:4" ht="12.75" x14ac:dyDescent="0.35">
      <c r="A2514" s="5">
        <v>44733</v>
      </c>
      <c r="B2514" s="3" t="s">
        <v>1172</v>
      </c>
      <c r="C2514" s="3">
        <v>14.94</v>
      </c>
      <c r="D2514" s="3">
        <v>1</v>
      </c>
    </row>
    <row r="2515" spans="1:4" ht="12.75" x14ac:dyDescent="0.35">
      <c r="A2515" s="4">
        <v>44886</v>
      </c>
      <c r="B2515" s="3" t="s">
        <v>1596</v>
      </c>
      <c r="C2515" s="3">
        <v>14.92</v>
      </c>
      <c r="D2515" s="3">
        <v>1</v>
      </c>
    </row>
    <row r="2516" spans="1:4" ht="12.75" x14ac:dyDescent="0.35">
      <c r="A2516" s="4">
        <v>44702</v>
      </c>
      <c r="B2516" s="3" t="s">
        <v>1138</v>
      </c>
      <c r="C2516" s="3">
        <v>14.89</v>
      </c>
      <c r="D2516" s="3">
        <v>1</v>
      </c>
    </row>
    <row r="2517" spans="1:4" ht="12.75" x14ac:dyDescent="0.35">
      <c r="A2517" s="4">
        <v>44582</v>
      </c>
      <c r="B2517" s="3" t="s">
        <v>85</v>
      </c>
      <c r="C2517" s="3">
        <v>14.88</v>
      </c>
      <c r="D2517" s="3">
        <v>1</v>
      </c>
    </row>
    <row r="2518" spans="1:4" ht="12.75" x14ac:dyDescent="0.35">
      <c r="A2518" s="4">
        <v>44672</v>
      </c>
      <c r="B2518" s="3" t="s">
        <v>286</v>
      </c>
      <c r="C2518" s="3">
        <v>14.76</v>
      </c>
      <c r="D2518" s="3">
        <v>1</v>
      </c>
    </row>
    <row r="2519" spans="1:4" ht="12.75" x14ac:dyDescent="0.35">
      <c r="A2519" s="4">
        <v>44794</v>
      </c>
      <c r="B2519" s="3" t="s">
        <v>294</v>
      </c>
      <c r="C2519" s="3">
        <v>14.76</v>
      </c>
      <c r="D2519" s="3">
        <v>1</v>
      </c>
    </row>
    <row r="2520" spans="1:4" ht="12.75" x14ac:dyDescent="0.35">
      <c r="A2520" s="5">
        <v>44733</v>
      </c>
      <c r="B2520" s="3" t="s">
        <v>1342</v>
      </c>
      <c r="C2520" s="3">
        <v>14.73</v>
      </c>
      <c r="D2520" s="3">
        <v>1</v>
      </c>
    </row>
    <row r="2521" spans="1:4" ht="12.75" x14ac:dyDescent="0.35">
      <c r="A2521" s="4">
        <v>44702</v>
      </c>
      <c r="B2521" s="3" t="s">
        <v>1058</v>
      </c>
      <c r="C2521" s="3">
        <v>14.69</v>
      </c>
      <c r="D2521" s="3">
        <v>1</v>
      </c>
    </row>
    <row r="2522" spans="1:4" ht="12.75" x14ac:dyDescent="0.35">
      <c r="A2522" s="4">
        <v>44916</v>
      </c>
      <c r="B2522" s="3" t="s">
        <v>1840</v>
      </c>
      <c r="C2522" s="3">
        <v>14.65</v>
      </c>
      <c r="D2522" s="3">
        <v>1</v>
      </c>
    </row>
    <row r="2523" spans="1:4" ht="12.75" x14ac:dyDescent="0.35">
      <c r="A2523" s="4">
        <v>44582</v>
      </c>
      <c r="B2523" s="3" t="s">
        <v>9</v>
      </c>
      <c r="C2523" s="3">
        <v>14.56</v>
      </c>
      <c r="D2523" s="3">
        <v>1</v>
      </c>
    </row>
    <row r="2524" spans="1:4" ht="12.75" x14ac:dyDescent="0.35">
      <c r="A2524" s="4">
        <v>44825</v>
      </c>
      <c r="B2524" s="3" t="s">
        <v>923</v>
      </c>
      <c r="C2524" s="3">
        <v>14.54</v>
      </c>
      <c r="D2524" s="3">
        <v>1</v>
      </c>
    </row>
    <row r="2525" spans="1:4" ht="12.75" x14ac:dyDescent="0.35">
      <c r="A2525" s="4">
        <v>44641</v>
      </c>
      <c r="B2525" s="3" t="s">
        <v>429</v>
      </c>
      <c r="C2525" s="3">
        <v>14.52</v>
      </c>
      <c r="D2525" s="3">
        <v>1</v>
      </c>
    </row>
    <row r="2526" spans="1:4" ht="12.75" x14ac:dyDescent="0.35">
      <c r="A2526" s="4">
        <v>44672</v>
      </c>
      <c r="B2526" s="3" t="s">
        <v>189</v>
      </c>
      <c r="C2526" s="3">
        <v>14.51</v>
      </c>
      <c r="D2526" s="3">
        <v>2</v>
      </c>
    </row>
    <row r="2527" spans="1:4" ht="12.75" x14ac:dyDescent="0.35">
      <c r="A2527" s="4">
        <v>44916</v>
      </c>
      <c r="B2527" s="3" t="s">
        <v>1949</v>
      </c>
      <c r="C2527" s="3">
        <v>14.49</v>
      </c>
      <c r="D2527" s="3">
        <v>1</v>
      </c>
    </row>
    <row r="2528" spans="1:4" ht="12.75" x14ac:dyDescent="0.35">
      <c r="A2528" s="5">
        <v>44763</v>
      </c>
      <c r="B2528" s="3" t="s">
        <v>474</v>
      </c>
      <c r="C2528" s="3">
        <v>14.48</v>
      </c>
      <c r="D2528" s="3">
        <v>2</v>
      </c>
    </row>
    <row r="2529" spans="1:4" ht="12.75" x14ac:dyDescent="0.35">
      <c r="A2529" s="4">
        <v>44825</v>
      </c>
      <c r="B2529" s="3" t="s">
        <v>457</v>
      </c>
      <c r="C2529" s="3">
        <v>14.45</v>
      </c>
      <c r="D2529" s="3">
        <v>1</v>
      </c>
    </row>
    <row r="2530" spans="1:4" ht="12.75" x14ac:dyDescent="0.35">
      <c r="A2530" s="4">
        <v>44916</v>
      </c>
      <c r="B2530" s="3" t="s">
        <v>1910</v>
      </c>
      <c r="C2530" s="3">
        <v>14.42</v>
      </c>
      <c r="D2530" s="3">
        <v>1</v>
      </c>
    </row>
    <row r="2531" spans="1:4" ht="12.75" x14ac:dyDescent="0.35">
      <c r="A2531" s="4">
        <v>44794</v>
      </c>
      <c r="B2531" s="3" t="s">
        <v>1596</v>
      </c>
      <c r="C2531" s="3">
        <v>14.34</v>
      </c>
      <c r="D2531" s="3">
        <v>1</v>
      </c>
    </row>
    <row r="2532" spans="1:4" ht="12.75" x14ac:dyDescent="0.35">
      <c r="A2532" s="4">
        <v>44702</v>
      </c>
      <c r="B2532" s="3" t="s">
        <v>585</v>
      </c>
      <c r="C2532" s="3">
        <v>14.33</v>
      </c>
      <c r="D2532" s="3">
        <v>2</v>
      </c>
    </row>
    <row r="2533" spans="1:4" ht="12.75" x14ac:dyDescent="0.35">
      <c r="A2533" s="5">
        <v>44733</v>
      </c>
      <c r="B2533" s="3" t="s">
        <v>1418</v>
      </c>
      <c r="C2533" s="3">
        <v>14.26</v>
      </c>
      <c r="D2533" s="3">
        <v>1</v>
      </c>
    </row>
    <row r="2534" spans="1:4" ht="12.75" x14ac:dyDescent="0.35">
      <c r="A2534" s="4">
        <v>44672</v>
      </c>
      <c r="B2534" s="3" t="s">
        <v>91</v>
      </c>
      <c r="C2534" s="3">
        <v>14.23</v>
      </c>
      <c r="D2534" s="3">
        <v>2</v>
      </c>
    </row>
    <row r="2535" spans="1:4" ht="12.75" x14ac:dyDescent="0.35">
      <c r="A2535" s="4">
        <v>44855</v>
      </c>
      <c r="B2535" s="3" t="s">
        <v>553</v>
      </c>
      <c r="C2535" s="3">
        <v>14.22</v>
      </c>
      <c r="D2535" s="3">
        <v>1</v>
      </c>
    </row>
    <row r="2536" spans="1:4" ht="12.75" x14ac:dyDescent="0.35">
      <c r="A2536" s="5">
        <v>44733</v>
      </c>
      <c r="B2536" s="3" t="s">
        <v>1116</v>
      </c>
      <c r="C2536" s="3">
        <v>14.21</v>
      </c>
      <c r="D2536" s="3">
        <v>1</v>
      </c>
    </row>
    <row r="2537" spans="1:4" ht="12.75" x14ac:dyDescent="0.35">
      <c r="A2537" s="4">
        <v>44794</v>
      </c>
      <c r="B2537" s="3" t="s">
        <v>131</v>
      </c>
      <c r="C2537" s="3">
        <v>14.11</v>
      </c>
      <c r="D2537" s="3">
        <v>6</v>
      </c>
    </row>
    <row r="2538" spans="1:4" ht="12.75" x14ac:dyDescent="0.35">
      <c r="A2538" s="4">
        <v>44825</v>
      </c>
      <c r="B2538" s="3" t="s">
        <v>226</v>
      </c>
      <c r="C2538" s="3">
        <v>14.08</v>
      </c>
      <c r="D2538" s="3">
        <v>1</v>
      </c>
    </row>
    <row r="2539" spans="1:4" ht="12.75" x14ac:dyDescent="0.35">
      <c r="A2539" s="4">
        <v>44794</v>
      </c>
      <c r="B2539" s="3" t="s">
        <v>517</v>
      </c>
      <c r="C2539" s="3">
        <v>14.03</v>
      </c>
      <c r="D2539" s="3">
        <v>3</v>
      </c>
    </row>
    <row r="2540" spans="1:4" ht="12.75" x14ac:dyDescent="0.35">
      <c r="A2540" s="4">
        <v>44855</v>
      </c>
      <c r="B2540" s="3" t="s">
        <v>1031</v>
      </c>
      <c r="C2540" s="3">
        <v>13.99</v>
      </c>
      <c r="D2540" s="3">
        <v>1</v>
      </c>
    </row>
    <row r="2541" spans="1:4" ht="12.75" x14ac:dyDescent="0.35">
      <c r="A2541" s="4">
        <v>44613</v>
      </c>
      <c r="B2541" s="3" t="s">
        <v>31</v>
      </c>
      <c r="C2541" s="3">
        <v>13.95</v>
      </c>
      <c r="D2541" s="3">
        <v>1</v>
      </c>
    </row>
    <row r="2542" spans="1:4" ht="12.75" x14ac:dyDescent="0.35">
      <c r="A2542" s="4">
        <v>44702</v>
      </c>
      <c r="B2542" s="3" t="s">
        <v>103</v>
      </c>
      <c r="C2542" s="3">
        <v>13.94</v>
      </c>
      <c r="D2542" s="3">
        <v>6</v>
      </c>
    </row>
    <row r="2543" spans="1:4" ht="12.75" x14ac:dyDescent="0.35">
      <c r="A2543" s="4">
        <v>44916</v>
      </c>
      <c r="B2543" s="3" t="s">
        <v>1635</v>
      </c>
      <c r="C2543" s="3">
        <v>13.87</v>
      </c>
      <c r="D2543" s="3">
        <v>1</v>
      </c>
    </row>
    <row r="2544" spans="1:4" ht="12.75" x14ac:dyDescent="0.35">
      <c r="A2544" s="4">
        <v>44825</v>
      </c>
      <c r="B2544" s="3" t="s">
        <v>401</v>
      </c>
      <c r="C2544" s="3">
        <v>13.85</v>
      </c>
      <c r="D2544" s="3">
        <v>5</v>
      </c>
    </row>
    <row r="2545" spans="1:4" ht="12.75" x14ac:dyDescent="0.35">
      <c r="A2545" s="4">
        <v>44582</v>
      </c>
      <c r="B2545" s="3" t="s">
        <v>317</v>
      </c>
      <c r="C2545" s="3">
        <v>13.84</v>
      </c>
      <c r="D2545" s="3">
        <v>2</v>
      </c>
    </row>
    <row r="2546" spans="1:4" ht="12.75" x14ac:dyDescent="0.35">
      <c r="A2546" s="4">
        <v>44825</v>
      </c>
      <c r="B2546" s="3" t="s">
        <v>227</v>
      </c>
      <c r="C2546" s="3">
        <v>13.74</v>
      </c>
      <c r="D2546" s="3">
        <v>3</v>
      </c>
    </row>
    <row r="2547" spans="1:4" ht="12.75" x14ac:dyDescent="0.35">
      <c r="A2547" s="5">
        <v>44733</v>
      </c>
      <c r="B2547" s="3" t="s">
        <v>972</v>
      </c>
      <c r="C2547" s="3">
        <v>13.68</v>
      </c>
      <c r="D2547" s="3">
        <v>1</v>
      </c>
    </row>
    <row r="2548" spans="1:4" ht="12.75" x14ac:dyDescent="0.35">
      <c r="A2548" s="4">
        <v>44613</v>
      </c>
      <c r="B2548" s="3" t="s">
        <v>533</v>
      </c>
      <c r="C2548" s="3">
        <v>13.65</v>
      </c>
      <c r="D2548" s="3">
        <v>1</v>
      </c>
    </row>
    <row r="2549" spans="1:4" ht="12.75" x14ac:dyDescent="0.35">
      <c r="A2549" s="5">
        <v>44733</v>
      </c>
      <c r="B2549" s="3" t="s">
        <v>884</v>
      </c>
      <c r="C2549" s="3">
        <v>13.57</v>
      </c>
      <c r="D2549" s="3">
        <v>1</v>
      </c>
    </row>
    <row r="2550" spans="1:4" ht="12.75" x14ac:dyDescent="0.35">
      <c r="A2550" s="4">
        <v>44702</v>
      </c>
      <c r="B2550" s="3" t="s">
        <v>809</v>
      </c>
      <c r="C2550" s="3">
        <v>13.54</v>
      </c>
      <c r="D2550" s="3">
        <v>1</v>
      </c>
    </row>
    <row r="2551" spans="1:4" ht="12.75" x14ac:dyDescent="0.35">
      <c r="A2551" s="4">
        <v>44794</v>
      </c>
      <c r="B2551" s="3" t="s">
        <v>545</v>
      </c>
      <c r="C2551" s="3">
        <v>13.46</v>
      </c>
      <c r="D2551" s="3">
        <v>3</v>
      </c>
    </row>
    <row r="2552" spans="1:4" ht="12.75" x14ac:dyDescent="0.35">
      <c r="A2552" s="4">
        <v>44855</v>
      </c>
      <c r="B2552" s="3" t="s">
        <v>1085</v>
      </c>
      <c r="C2552" s="3">
        <v>13.32</v>
      </c>
      <c r="D2552" s="3">
        <v>1</v>
      </c>
    </row>
    <row r="2553" spans="1:4" ht="12.75" x14ac:dyDescent="0.35">
      <c r="A2553" s="4">
        <v>44702</v>
      </c>
      <c r="B2553" s="3" t="s">
        <v>1144</v>
      </c>
      <c r="C2553" s="3">
        <v>13.29</v>
      </c>
      <c r="D2553" s="3">
        <v>1</v>
      </c>
    </row>
    <row r="2554" spans="1:4" ht="12.75" x14ac:dyDescent="0.35">
      <c r="A2554" s="4">
        <v>44641</v>
      </c>
      <c r="B2554" s="3" t="s">
        <v>413</v>
      </c>
      <c r="C2554" s="3">
        <v>13.27</v>
      </c>
      <c r="D2554" s="3">
        <v>2</v>
      </c>
    </row>
    <row r="2555" spans="1:4" ht="12.75" x14ac:dyDescent="0.35">
      <c r="A2555" s="4">
        <v>44702</v>
      </c>
      <c r="B2555" s="3" t="s">
        <v>893</v>
      </c>
      <c r="C2555" s="3">
        <v>13.23</v>
      </c>
      <c r="D2555" s="3">
        <v>1</v>
      </c>
    </row>
    <row r="2556" spans="1:4" ht="12.75" x14ac:dyDescent="0.35">
      <c r="A2556" s="4">
        <v>44886</v>
      </c>
      <c r="B2556" s="3" t="s">
        <v>1640</v>
      </c>
      <c r="C2556" s="3">
        <v>13.19</v>
      </c>
      <c r="D2556" s="3">
        <v>3</v>
      </c>
    </row>
    <row r="2557" spans="1:4" ht="12.75" x14ac:dyDescent="0.35">
      <c r="A2557" s="4">
        <v>44825</v>
      </c>
      <c r="B2557" s="3" t="s">
        <v>1772</v>
      </c>
      <c r="C2557" s="3">
        <v>13.16</v>
      </c>
      <c r="D2557" s="3">
        <v>1</v>
      </c>
    </row>
    <row r="2558" spans="1:4" ht="12.75" x14ac:dyDescent="0.35">
      <c r="A2558" s="4">
        <v>44702</v>
      </c>
      <c r="B2558" s="3" t="s">
        <v>708</v>
      </c>
      <c r="C2558" s="3">
        <v>13.15</v>
      </c>
      <c r="D2558" s="3">
        <v>2</v>
      </c>
    </row>
    <row r="2559" spans="1:4" ht="12.75" x14ac:dyDescent="0.35">
      <c r="A2559" s="4">
        <v>44794</v>
      </c>
      <c r="B2559" s="3" t="s">
        <v>1619</v>
      </c>
      <c r="C2559" s="3">
        <v>13.14</v>
      </c>
      <c r="D2559" s="3">
        <v>1</v>
      </c>
    </row>
    <row r="2560" spans="1:4" ht="12.75" x14ac:dyDescent="0.35">
      <c r="A2560" s="4">
        <v>44613</v>
      </c>
      <c r="B2560" s="3" t="s">
        <v>394</v>
      </c>
      <c r="C2560" s="3">
        <v>13.08</v>
      </c>
      <c r="D2560" s="3">
        <v>4</v>
      </c>
    </row>
    <row r="2561" spans="1:4" ht="12.75" x14ac:dyDescent="0.35">
      <c r="A2561" s="4">
        <v>44641</v>
      </c>
      <c r="B2561" s="3" t="s">
        <v>461</v>
      </c>
      <c r="C2561" s="3">
        <v>13.06</v>
      </c>
      <c r="D2561" s="3">
        <v>1</v>
      </c>
    </row>
    <row r="2562" spans="1:4" ht="12.75" x14ac:dyDescent="0.35">
      <c r="A2562" s="5">
        <v>44733</v>
      </c>
      <c r="B2562" s="3" t="s">
        <v>1042</v>
      </c>
      <c r="C2562" s="3">
        <v>13.06</v>
      </c>
      <c r="D2562" s="3">
        <v>1</v>
      </c>
    </row>
    <row r="2563" spans="1:4" ht="12.75" x14ac:dyDescent="0.35">
      <c r="A2563" s="4">
        <v>44886</v>
      </c>
      <c r="B2563" s="3" t="s">
        <v>1685</v>
      </c>
      <c r="C2563" s="3">
        <v>13.05</v>
      </c>
      <c r="D2563" s="3">
        <v>1</v>
      </c>
    </row>
    <row r="2564" spans="1:4" ht="12.75" x14ac:dyDescent="0.35">
      <c r="A2564" s="4">
        <v>44582</v>
      </c>
      <c r="B2564" s="3" t="s">
        <v>330</v>
      </c>
      <c r="C2564" s="3">
        <v>13.04</v>
      </c>
      <c r="D2564" s="3">
        <v>1</v>
      </c>
    </row>
    <row r="2565" spans="1:4" ht="12.75" x14ac:dyDescent="0.35">
      <c r="A2565" s="4">
        <v>44886</v>
      </c>
      <c r="B2565" s="3" t="s">
        <v>330</v>
      </c>
      <c r="C2565" s="3">
        <v>13.04</v>
      </c>
      <c r="D2565" s="3">
        <v>1</v>
      </c>
    </row>
    <row r="2566" spans="1:4" ht="12.75" x14ac:dyDescent="0.35">
      <c r="A2566" s="4">
        <v>44825</v>
      </c>
      <c r="B2566" s="3" t="s">
        <v>701</v>
      </c>
      <c r="C2566" s="3">
        <v>13</v>
      </c>
      <c r="D2566" s="3">
        <v>1</v>
      </c>
    </row>
    <row r="2567" spans="1:4" ht="12.75" x14ac:dyDescent="0.35">
      <c r="A2567" s="4">
        <v>44702</v>
      </c>
      <c r="B2567" s="3" t="s">
        <v>489</v>
      </c>
      <c r="C2567" s="3">
        <v>12.94</v>
      </c>
      <c r="D2567" s="3">
        <v>2</v>
      </c>
    </row>
    <row r="2568" spans="1:4" ht="12.75" x14ac:dyDescent="0.35">
      <c r="A2568" s="4">
        <v>44794</v>
      </c>
      <c r="B2568" s="3" t="s">
        <v>995</v>
      </c>
      <c r="C2568" s="3">
        <v>12.92</v>
      </c>
      <c r="D2568" s="3">
        <v>2</v>
      </c>
    </row>
    <row r="2569" spans="1:4" ht="12.75" x14ac:dyDescent="0.35">
      <c r="A2569" s="4">
        <v>44825</v>
      </c>
      <c r="B2569" s="3" t="s">
        <v>281</v>
      </c>
      <c r="C2569" s="3">
        <v>12.92</v>
      </c>
      <c r="D2569" s="3">
        <v>1</v>
      </c>
    </row>
    <row r="2570" spans="1:4" ht="12.75" x14ac:dyDescent="0.35">
      <c r="A2570" s="4">
        <v>44916</v>
      </c>
      <c r="B2570" s="3" t="s">
        <v>1917</v>
      </c>
      <c r="C2570" s="3">
        <v>12.92</v>
      </c>
      <c r="D2570" s="3">
        <v>1</v>
      </c>
    </row>
    <row r="2571" spans="1:4" ht="12.75" x14ac:dyDescent="0.35">
      <c r="A2571" s="5">
        <v>44763</v>
      </c>
      <c r="B2571" s="3" t="s">
        <v>653</v>
      </c>
      <c r="C2571" s="3">
        <v>12.88</v>
      </c>
      <c r="D2571" s="3">
        <v>1</v>
      </c>
    </row>
    <row r="2572" spans="1:4" ht="12.75" x14ac:dyDescent="0.35">
      <c r="A2572" s="4">
        <v>44613</v>
      </c>
      <c r="B2572" s="3" t="s">
        <v>53</v>
      </c>
      <c r="C2572" s="3">
        <v>12.83</v>
      </c>
      <c r="D2572" s="3">
        <v>1</v>
      </c>
    </row>
    <row r="2573" spans="1:4" ht="12.75" x14ac:dyDescent="0.35">
      <c r="A2573" s="4">
        <v>44855</v>
      </c>
      <c r="B2573" s="3" t="s">
        <v>162</v>
      </c>
      <c r="C2573" s="3">
        <v>12.82</v>
      </c>
      <c r="D2573" s="3">
        <v>1</v>
      </c>
    </row>
    <row r="2574" spans="1:4" ht="12.75" x14ac:dyDescent="0.35">
      <c r="A2574" s="4">
        <v>44582</v>
      </c>
      <c r="B2574" s="3" t="s">
        <v>356</v>
      </c>
      <c r="C2574" s="3">
        <v>12.81</v>
      </c>
      <c r="D2574" s="3">
        <v>2</v>
      </c>
    </row>
    <row r="2575" spans="1:4" ht="12.75" x14ac:dyDescent="0.35">
      <c r="A2575" s="4">
        <v>44613</v>
      </c>
      <c r="B2575" s="3" t="s">
        <v>578</v>
      </c>
      <c r="C2575" s="3">
        <v>12.77</v>
      </c>
      <c r="D2575" s="3">
        <v>2</v>
      </c>
    </row>
    <row r="2576" spans="1:4" ht="12.75" x14ac:dyDescent="0.35">
      <c r="A2576" s="5">
        <v>44733</v>
      </c>
      <c r="B2576" s="3" t="s">
        <v>1369</v>
      </c>
      <c r="C2576" s="3">
        <v>12.76</v>
      </c>
      <c r="D2576" s="3">
        <v>1</v>
      </c>
    </row>
    <row r="2577" spans="1:4" ht="12.75" x14ac:dyDescent="0.35">
      <c r="A2577" s="4">
        <v>44702</v>
      </c>
      <c r="B2577" s="3" t="s">
        <v>197</v>
      </c>
      <c r="C2577" s="3">
        <v>12.75</v>
      </c>
      <c r="D2577" s="3">
        <v>1</v>
      </c>
    </row>
    <row r="2578" spans="1:4" ht="12.75" x14ac:dyDescent="0.35">
      <c r="A2578" s="4">
        <v>44916</v>
      </c>
      <c r="B2578" s="3" t="s">
        <v>1856</v>
      </c>
      <c r="C2578" s="3">
        <v>12.73</v>
      </c>
      <c r="D2578" s="3">
        <v>1</v>
      </c>
    </row>
    <row r="2579" spans="1:4" ht="12.75" x14ac:dyDescent="0.35">
      <c r="A2579" s="4">
        <v>44794</v>
      </c>
      <c r="B2579" s="3" t="s">
        <v>492</v>
      </c>
      <c r="C2579" s="3">
        <v>12.72</v>
      </c>
      <c r="D2579" s="3">
        <v>1</v>
      </c>
    </row>
    <row r="2580" spans="1:4" ht="12.75" x14ac:dyDescent="0.35">
      <c r="A2580" s="4">
        <v>44702</v>
      </c>
      <c r="B2580" s="3" t="s">
        <v>1099</v>
      </c>
      <c r="C2580" s="3">
        <v>12.65</v>
      </c>
      <c r="D2580" s="3">
        <v>1</v>
      </c>
    </row>
    <row r="2581" spans="1:4" ht="12.75" x14ac:dyDescent="0.35">
      <c r="A2581" s="4">
        <v>44641</v>
      </c>
      <c r="B2581" s="3" t="s">
        <v>626</v>
      </c>
      <c r="C2581" s="3">
        <v>12.61</v>
      </c>
      <c r="D2581" s="3">
        <v>1</v>
      </c>
    </row>
    <row r="2582" spans="1:4" ht="12.75" x14ac:dyDescent="0.35">
      <c r="A2582" s="5">
        <v>44763</v>
      </c>
      <c r="B2582" s="3" t="s">
        <v>29</v>
      </c>
      <c r="C2582" s="3">
        <v>12.61</v>
      </c>
      <c r="D2582" s="3">
        <v>1</v>
      </c>
    </row>
    <row r="2583" spans="1:4" ht="12.75" x14ac:dyDescent="0.35">
      <c r="A2583" s="4">
        <v>44613</v>
      </c>
      <c r="B2583" s="3" t="s">
        <v>418</v>
      </c>
      <c r="C2583" s="3">
        <v>12.57</v>
      </c>
      <c r="D2583" s="3">
        <v>1</v>
      </c>
    </row>
    <row r="2584" spans="1:4" ht="12.75" x14ac:dyDescent="0.35">
      <c r="A2584" s="4">
        <v>44702</v>
      </c>
      <c r="B2584" s="3" t="s">
        <v>1048</v>
      </c>
      <c r="C2584" s="3">
        <v>12.56</v>
      </c>
      <c r="D2584" s="3">
        <v>1</v>
      </c>
    </row>
    <row r="2585" spans="1:4" ht="12.75" x14ac:dyDescent="0.35">
      <c r="A2585" s="5">
        <v>44733</v>
      </c>
      <c r="B2585" s="3" t="s">
        <v>1156</v>
      </c>
      <c r="C2585" s="3">
        <v>12.49</v>
      </c>
      <c r="D2585" s="3">
        <v>2</v>
      </c>
    </row>
    <row r="2586" spans="1:4" ht="12.75" x14ac:dyDescent="0.35">
      <c r="A2586" s="5">
        <v>44733</v>
      </c>
      <c r="B2586" s="3" t="s">
        <v>557</v>
      </c>
      <c r="C2586" s="3">
        <v>12.47</v>
      </c>
      <c r="D2586" s="3">
        <v>3</v>
      </c>
    </row>
    <row r="2587" spans="1:4" ht="12.75" x14ac:dyDescent="0.35">
      <c r="A2587" s="4">
        <v>44641</v>
      </c>
      <c r="B2587" s="3" t="s">
        <v>109</v>
      </c>
      <c r="C2587" s="3">
        <v>12.45</v>
      </c>
      <c r="D2587" s="3">
        <v>1</v>
      </c>
    </row>
    <row r="2588" spans="1:4" ht="12.75" x14ac:dyDescent="0.35">
      <c r="A2588" s="5">
        <v>44733</v>
      </c>
      <c r="B2588" s="3" t="s">
        <v>1044</v>
      </c>
      <c r="C2588" s="3">
        <v>12.45</v>
      </c>
      <c r="D2588" s="3">
        <v>1</v>
      </c>
    </row>
    <row r="2589" spans="1:4" ht="12.75" x14ac:dyDescent="0.35">
      <c r="A2589" s="4">
        <v>44825</v>
      </c>
      <c r="B2589" s="3" t="s">
        <v>1788</v>
      </c>
      <c r="C2589" s="3">
        <v>12.44</v>
      </c>
      <c r="D2589" s="3">
        <v>2</v>
      </c>
    </row>
    <row r="2590" spans="1:4" ht="12.75" x14ac:dyDescent="0.35">
      <c r="A2590" s="4">
        <v>44794</v>
      </c>
      <c r="B2590" s="3" t="s">
        <v>330</v>
      </c>
      <c r="C2590" s="3">
        <v>12.38</v>
      </c>
      <c r="D2590" s="3">
        <v>1</v>
      </c>
    </row>
    <row r="2591" spans="1:4" ht="12.75" x14ac:dyDescent="0.35">
      <c r="A2591" s="4">
        <v>44702</v>
      </c>
      <c r="B2591" s="3" t="s">
        <v>768</v>
      </c>
      <c r="C2591" s="3">
        <v>12.36</v>
      </c>
      <c r="D2591" s="3">
        <v>1</v>
      </c>
    </row>
    <row r="2592" spans="1:4" ht="12.75" x14ac:dyDescent="0.35">
      <c r="A2592" s="4">
        <v>44672</v>
      </c>
      <c r="B2592" s="3" t="s">
        <v>417</v>
      </c>
      <c r="C2592" s="3">
        <v>12.35</v>
      </c>
      <c r="D2592" s="3">
        <v>1</v>
      </c>
    </row>
    <row r="2593" spans="1:4" ht="12.75" x14ac:dyDescent="0.35">
      <c r="A2593" s="4">
        <v>44825</v>
      </c>
      <c r="B2593" s="3" t="s">
        <v>785</v>
      </c>
      <c r="C2593" s="3">
        <v>12.34</v>
      </c>
      <c r="D2593" s="3">
        <v>1</v>
      </c>
    </row>
    <row r="2594" spans="1:4" ht="12.75" x14ac:dyDescent="0.35">
      <c r="A2594" s="4">
        <v>44582</v>
      </c>
      <c r="B2594" s="3" t="s">
        <v>51</v>
      </c>
      <c r="C2594" s="3">
        <v>12.3</v>
      </c>
      <c r="D2594" s="3">
        <v>1</v>
      </c>
    </row>
    <row r="2595" spans="1:4" ht="12.75" x14ac:dyDescent="0.35">
      <c r="A2595" s="4">
        <v>44916</v>
      </c>
      <c r="B2595" s="3" t="s">
        <v>1963</v>
      </c>
      <c r="C2595" s="3">
        <v>12.3</v>
      </c>
      <c r="D2595" s="3">
        <v>2</v>
      </c>
    </row>
    <row r="2596" spans="1:4" ht="12.75" x14ac:dyDescent="0.35">
      <c r="A2596" s="4">
        <v>44613</v>
      </c>
      <c r="B2596" s="3" t="s">
        <v>539</v>
      </c>
      <c r="C2596" s="3">
        <v>12.29</v>
      </c>
      <c r="D2596" s="3">
        <v>1</v>
      </c>
    </row>
    <row r="2597" spans="1:4" ht="12.75" x14ac:dyDescent="0.35">
      <c r="A2597" s="4">
        <v>44886</v>
      </c>
      <c r="B2597" s="3" t="s">
        <v>515</v>
      </c>
      <c r="C2597" s="3">
        <v>12.29</v>
      </c>
      <c r="D2597" s="3">
        <v>1</v>
      </c>
    </row>
    <row r="2598" spans="1:4" ht="12.75" x14ac:dyDescent="0.35">
      <c r="A2598" s="4">
        <v>44672</v>
      </c>
      <c r="B2598" s="3" t="s">
        <v>304</v>
      </c>
      <c r="C2598" s="3">
        <v>12.28</v>
      </c>
      <c r="D2598" s="3">
        <v>1</v>
      </c>
    </row>
    <row r="2599" spans="1:4" ht="12.75" x14ac:dyDescent="0.35">
      <c r="A2599" s="4">
        <v>44702</v>
      </c>
      <c r="B2599" s="3" t="s">
        <v>966</v>
      </c>
      <c r="C2599" s="3">
        <v>12.28</v>
      </c>
      <c r="D2599" s="3">
        <v>1</v>
      </c>
    </row>
    <row r="2600" spans="1:4" ht="12.75" x14ac:dyDescent="0.35">
      <c r="A2600" s="4">
        <v>44794</v>
      </c>
      <c r="B2600" s="3" t="s">
        <v>1625</v>
      </c>
      <c r="C2600" s="3">
        <v>12.28</v>
      </c>
      <c r="D2600" s="3">
        <v>1</v>
      </c>
    </row>
    <row r="2601" spans="1:4" ht="12.75" x14ac:dyDescent="0.35">
      <c r="A2601" s="4">
        <v>44641</v>
      </c>
      <c r="B2601" s="3" t="s">
        <v>570</v>
      </c>
      <c r="C2601" s="3">
        <v>12.26</v>
      </c>
      <c r="D2601" s="3">
        <v>1</v>
      </c>
    </row>
    <row r="2602" spans="1:4" ht="12.75" x14ac:dyDescent="0.35">
      <c r="A2602" s="4">
        <v>44855</v>
      </c>
      <c r="B2602" s="3" t="s">
        <v>923</v>
      </c>
      <c r="C2602" s="3">
        <v>12.25</v>
      </c>
      <c r="D2602" s="3">
        <v>1</v>
      </c>
    </row>
    <row r="2603" spans="1:4" ht="12.75" x14ac:dyDescent="0.35">
      <c r="A2603" s="4">
        <v>44613</v>
      </c>
      <c r="B2603" s="3" t="s">
        <v>504</v>
      </c>
      <c r="C2603" s="3">
        <v>12.2</v>
      </c>
      <c r="D2603" s="3">
        <v>1</v>
      </c>
    </row>
    <row r="2604" spans="1:4" ht="12.75" x14ac:dyDescent="0.35">
      <c r="A2604" s="4">
        <v>44582</v>
      </c>
      <c r="B2604" s="3" t="s">
        <v>91</v>
      </c>
      <c r="C2604" s="3">
        <v>12.19</v>
      </c>
      <c r="D2604" s="3">
        <v>2</v>
      </c>
    </row>
    <row r="2605" spans="1:4" ht="12.75" x14ac:dyDescent="0.35">
      <c r="A2605" s="4">
        <v>44916</v>
      </c>
      <c r="B2605" s="3" t="s">
        <v>366</v>
      </c>
      <c r="C2605" s="3">
        <v>12.15</v>
      </c>
      <c r="D2605" s="3">
        <v>8</v>
      </c>
    </row>
    <row r="2606" spans="1:4" ht="12.75" x14ac:dyDescent="0.35">
      <c r="A2606" s="5">
        <v>44733</v>
      </c>
      <c r="B2606" s="3" t="s">
        <v>1229</v>
      </c>
      <c r="C2606" s="3">
        <v>12.1</v>
      </c>
      <c r="D2606" s="3">
        <v>1</v>
      </c>
    </row>
    <row r="2607" spans="1:4" ht="12.75" x14ac:dyDescent="0.35">
      <c r="A2607" s="4">
        <v>44794</v>
      </c>
      <c r="B2607" s="3" t="s">
        <v>1602</v>
      </c>
      <c r="C2607" s="3">
        <v>12.05</v>
      </c>
      <c r="D2607" s="3">
        <v>1</v>
      </c>
    </row>
    <row r="2608" spans="1:4" ht="12.75" x14ac:dyDescent="0.35">
      <c r="A2608" s="4">
        <v>44641</v>
      </c>
      <c r="B2608" s="3" t="s">
        <v>351</v>
      </c>
      <c r="C2608" s="3">
        <v>12.03</v>
      </c>
      <c r="D2608" s="3">
        <v>3</v>
      </c>
    </row>
    <row r="2609" spans="1:4" ht="12.75" x14ac:dyDescent="0.35">
      <c r="A2609" s="5">
        <v>44733</v>
      </c>
      <c r="B2609" s="3" t="s">
        <v>46</v>
      </c>
      <c r="C2609" s="3">
        <v>12.02</v>
      </c>
      <c r="D2609" s="3">
        <v>1</v>
      </c>
    </row>
    <row r="2610" spans="1:4" ht="12.75" x14ac:dyDescent="0.35">
      <c r="A2610" s="4">
        <v>44825</v>
      </c>
      <c r="B2610" s="3" t="s">
        <v>1336</v>
      </c>
      <c r="C2610" s="3">
        <v>11.96</v>
      </c>
      <c r="D2610" s="3">
        <v>1</v>
      </c>
    </row>
    <row r="2611" spans="1:4" ht="12.75" x14ac:dyDescent="0.35">
      <c r="A2611" s="4">
        <v>44702</v>
      </c>
      <c r="B2611" s="3" t="s">
        <v>801</v>
      </c>
      <c r="C2611" s="3">
        <v>11.95</v>
      </c>
      <c r="D2611" s="3">
        <v>3</v>
      </c>
    </row>
    <row r="2612" spans="1:4" ht="12.75" x14ac:dyDescent="0.35">
      <c r="A2612" s="5">
        <v>44733</v>
      </c>
      <c r="B2612" s="3" t="s">
        <v>1107</v>
      </c>
      <c r="C2612" s="3">
        <v>11.95</v>
      </c>
      <c r="D2612" s="3">
        <v>2</v>
      </c>
    </row>
    <row r="2613" spans="1:4" ht="12.75" x14ac:dyDescent="0.35">
      <c r="A2613" s="4">
        <v>44672</v>
      </c>
      <c r="B2613" s="3" t="s">
        <v>52</v>
      </c>
      <c r="C2613" s="3">
        <v>11.94</v>
      </c>
      <c r="D2613" s="3">
        <v>2</v>
      </c>
    </row>
    <row r="2614" spans="1:4" ht="12.75" x14ac:dyDescent="0.35">
      <c r="A2614" s="4">
        <v>44886</v>
      </c>
      <c r="B2614" s="3" t="s">
        <v>78</v>
      </c>
      <c r="C2614" s="3">
        <v>11.93</v>
      </c>
      <c r="D2614" s="3">
        <v>1</v>
      </c>
    </row>
    <row r="2615" spans="1:4" ht="12.75" x14ac:dyDescent="0.35">
      <c r="A2615" s="5">
        <v>44763</v>
      </c>
      <c r="B2615" s="3" t="s">
        <v>1218</v>
      </c>
      <c r="C2615" s="3">
        <v>11.92</v>
      </c>
      <c r="D2615" s="3">
        <v>1</v>
      </c>
    </row>
    <row r="2616" spans="1:4" ht="12.75" x14ac:dyDescent="0.35">
      <c r="A2616" s="4">
        <v>44613</v>
      </c>
      <c r="B2616" s="3" t="s">
        <v>490</v>
      </c>
      <c r="C2616" s="3">
        <v>11.91</v>
      </c>
      <c r="D2616" s="3">
        <v>1</v>
      </c>
    </row>
    <row r="2617" spans="1:4" ht="12.75" x14ac:dyDescent="0.35">
      <c r="A2617" s="4">
        <v>44672</v>
      </c>
      <c r="B2617" s="3" t="s">
        <v>898</v>
      </c>
      <c r="C2617" s="3">
        <v>11.88</v>
      </c>
      <c r="D2617" s="3">
        <v>2</v>
      </c>
    </row>
    <row r="2618" spans="1:4" ht="12.75" x14ac:dyDescent="0.35">
      <c r="A2618" s="5">
        <v>44733</v>
      </c>
      <c r="B2618" s="3" t="s">
        <v>1219</v>
      </c>
      <c r="C2618" s="3">
        <v>11.83</v>
      </c>
      <c r="D2618" s="3">
        <v>1</v>
      </c>
    </row>
    <row r="2619" spans="1:4" ht="12.75" x14ac:dyDescent="0.35">
      <c r="A2619" s="4">
        <v>44641</v>
      </c>
      <c r="B2619" s="3" t="s">
        <v>611</v>
      </c>
      <c r="C2619" s="3">
        <v>11.81</v>
      </c>
      <c r="D2619" s="3">
        <v>2</v>
      </c>
    </row>
    <row r="2620" spans="1:4" ht="12.75" x14ac:dyDescent="0.35">
      <c r="A2620" s="4">
        <v>44916</v>
      </c>
      <c r="B2620" s="3" t="s">
        <v>1950</v>
      </c>
      <c r="C2620" s="3">
        <v>11.81</v>
      </c>
      <c r="D2620" s="3">
        <v>1</v>
      </c>
    </row>
    <row r="2621" spans="1:4" ht="12.75" x14ac:dyDescent="0.35">
      <c r="A2621" s="4">
        <v>44825</v>
      </c>
      <c r="B2621" s="3" t="s">
        <v>1747</v>
      </c>
      <c r="C2621" s="3">
        <v>11.79</v>
      </c>
      <c r="D2621" s="3">
        <v>2</v>
      </c>
    </row>
    <row r="2622" spans="1:4" ht="12.75" x14ac:dyDescent="0.35">
      <c r="A2622" s="4">
        <v>44794</v>
      </c>
      <c r="B2622" s="3" t="s">
        <v>836</v>
      </c>
      <c r="C2622" s="3">
        <v>11.74</v>
      </c>
      <c r="D2622" s="3">
        <v>1</v>
      </c>
    </row>
    <row r="2623" spans="1:4" ht="12.75" x14ac:dyDescent="0.35">
      <c r="A2623" s="4">
        <v>44886</v>
      </c>
      <c r="B2623" s="3" t="s">
        <v>997</v>
      </c>
      <c r="C2623" s="3">
        <v>11.73</v>
      </c>
      <c r="D2623" s="3">
        <v>1</v>
      </c>
    </row>
    <row r="2624" spans="1:4" ht="12.75" x14ac:dyDescent="0.35">
      <c r="A2624" s="5">
        <v>44733</v>
      </c>
      <c r="B2624" s="3" t="s">
        <v>656</v>
      </c>
      <c r="C2624" s="3">
        <v>11.72</v>
      </c>
      <c r="D2624" s="3">
        <v>2</v>
      </c>
    </row>
    <row r="2625" spans="1:4" ht="12.75" x14ac:dyDescent="0.35">
      <c r="A2625" s="4">
        <v>44855</v>
      </c>
      <c r="B2625" s="3" t="s">
        <v>104</v>
      </c>
      <c r="C2625" s="3">
        <v>11.69</v>
      </c>
      <c r="D2625" s="3">
        <v>1</v>
      </c>
    </row>
    <row r="2626" spans="1:4" ht="12.75" x14ac:dyDescent="0.35">
      <c r="A2626" s="4">
        <v>44582</v>
      </c>
      <c r="B2626" s="3" t="s">
        <v>323</v>
      </c>
      <c r="C2626" s="3">
        <v>11.63</v>
      </c>
      <c r="D2626" s="3">
        <v>1</v>
      </c>
    </row>
    <row r="2627" spans="1:4" ht="12.75" x14ac:dyDescent="0.35">
      <c r="A2627" s="5">
        <v>44733</v>
      </c>
      <c r="B2627" s="3" t="s">
        <v>1294</v>
      </c>
      <c r="C2627" s="3">
        <v>11.61</v>
      </c>
      <c r="D2627" s="3">
        <v>1</v>
      </c>
    </row>
    <row r="2628" spans="1:4" ht="12.75" x14ac:dyDescent="0.35">
      <c r="A2628" s="4">
        <v>44582</v>
      </c>
      <c r="B2628" s="3" t="s">
        <v>284</v>
      </c>
      <c r="C2628" s="3">
        <v>11.57</v>
      </c>
      <c r="D2628" s="3">
        <v>1</v>
      </c>
    </row>
    <row r="2629" spans="1:4" ht="12.75" x14ac:dyDescent="0.35">
      <c r="A2629" s="4">
        <v>44702</v>
      </c>
      <c r="B2629" s="3" t="s">
        <v>1076</v>
      </c>
      <c r="C2629" s="3">
        <v>11.57</v>
      </c>
      <c r="D2629" s="3">
        <v>1</v>
      </c>
    </row>
    <row r="2630" spans="1:4" ht="12.75" x14ac:dyDescent="0.35">
      <c r="A2630" s="4">
        <v>44794</v>
      </c>
      <c r="B2630" s="3" t="s">
        <v>1352</v>
      </c>
      <c r="C2630" s="3">
        <v>11.56</v>
      </c>
      <c r="D2630" s="3">
        <v>1</v>
      </c>
    </row>
    <row r="2631" spans="1:4" ht="12.75" x14ac:dyDescent="0.35">
      <c r="A2631" s="4">
        <v>44702</v>
      </c>
      <c r="B2631" s="3" t="s">
        <v>976</v>
      </c>
      <c r="C2631" s="3">
        <v>11.53</v>
      </c>
      <c r="D2631" s="3">
        <v>1</v>
      </c>
    </row>
    <row r="2632" spans="1:4" ht="12.75" x14ac:dyDescent="0.35">
      <c r="A2632" s="5">
        <v>44733</v>
      </c>
      <c r="B2632" s="3" t="s">
        <v>1159</v>
      </c>
      <c r="C2632" s="3">
        <v>11.52</v>
      </c>
      <c r="D2632" s="3">
        <v>1</v>
      </c>
    </row>
    <row r="2633" spans="1:4" ht="12.75" x14ac:dyDescent="0.35">
      <c r="A2633" s="5">
        <v>44763</v>
      </c>
      <c r="B2633" s="3" t="s">
        <v>197</v>
      </c>
      <c r="C2633" s="3">
        <v>11.51</v>
      </c>
      <c r="D2633" s="3">
        <v>1</v>
      </c>
    </row>
    <row r="2634" spans="1:4" ht="12.75" x14ac:dyDescent="0.35">
      <c r="A2634" s="4">
        <v>44916</v>
      </c>
      <c r="B2634" s="3" t="s">
        <v>1907</v>
      </c>
      <c r="C2634" s="3">
        <v>11.48</v>
      </c>
      <c r="D2634" s="3">
        <v>1</v>
      </c>
    </row>
    <row r="2635" spans="1:4" ht="12.75" x14ac:dyDescent="0.35">
      <c r="A2635" s="4">
        <v>44672</v>
      </c>
      <c r="B2635" s="3" t="s">
        <v>104</v>
      </c>
      <c r="C2635" s="3">
        <v>11.41</v>
      </c>
      <c r="D2635" s="3">
        <v>1</v>
      </c>
    </row>
    <row r="2636" spans="1:4" ht="12.75" x14ac:dyDescent="0.35">
      <c r="A2636" s="4">
        <v>44916</v>
      </c>
      <c r="B2636" s="3" t="s">
        <v>1906</v>
      </c>
      <c r="C2636" s="3">
        <v>249.64</v>
      </c>
      <c r="D2636" s="3">
        <v>1</v>
      </c>
    </row>
    <row r="2637" spans="1:4" ht="12.75" x14ac:dyDescent="0.35">
      <c r="A2637" s="4">
        <v>44886</v>
      </c>
      <c r="B2637" s="3" t="s">
        <v>1815</v>
      </c>
      <c r="C2637" s="3">
        <v>11.38</v>
      </c>
      <c r="D2637" s="3">
        <v>1</v>
      </c>
    </row>
    <row r="2638" spans="1:4" ht="12.75" x14ac:dyDescent="0.35">
      <c r="A2638" s="4">
        <v>44613</v>
      </c>
      <c r="B2638" s="3" t="s">
        <v>284</v>
      </c>
      <c r="C2638" s="3">
        <v>11.33</v>
      </c>
      <c r="D2638" s="3">
        <v>1</v>
      </c>
    </row>
    <row r="2639" spans="1:4" ht="12.75" x14ac:dyDescent="0.35">
      <c r="A2639" s="4">
        <v>44582</v>
      </c>
      <c r="B2639" s="3" t="s">
        <v>304</v>
      </c>
      <c r="C2639" s="3">
        <v>11.3</v>
      </c>
      <c r="D2639" s="3">
        <v>1</v>
      </c>
    </row>
    <row r="2640" spans="1:4" ht="12.75" x14ac:dyDescent="0.35">
      <c r="A2640" s="4">
        <v>44702</v>
      </c>
      <c r="B2640" s="3" t="s">
        <v>1114</v>
      </c>
      <c r="C2640" s="3">
        <v>11.26</v>
      </c>
      <c r="D2640" s="3">
        <v>1</v>
      </c>
    </row>
    <row r="2641" spans="1:4" ht="12.75" x14ac:dyDescent="0.35">
      <c r="A2641" s="4">
        <v>44794</v>
      </c>
      <c r="B2641" s="3" t="s">
        <v>1704</v>
      </c>
      <c r="C2641" s="3">
        <v>11.23</v>
      </c>
      <c r="D2641" s="3">
        <v>2</v>
      </c>
    </row>
    <row r="2642" spans="1:4" ht="12.75" x14ac:dyDescent="0.35">
      <c r="A2642" s="4">
        <v>44641</v>
      </c>
      <c r="B2642" s="3" t="s">
        <v>676</v>
      </c>
      <c r="C2642" s="3">
        <v>11.21</v>
      </c>
      <c r="D2642" s="3">
        <v>2</v>
      </c>
    </row>
    <row r="2643" spans="1:4" ht="12.75" x14ac:dyDescent="0.35">
      <c r="A2643" s="4">
        <v>44582</v>
      </c>
      <c r="B2643" s="3" t="s">
        <v>137</v>
      </c>
      <c r="C2643" s="3">
        <v>11.19</v>
      </c>
      <c r="D2643" s="3">
        <v>2</v>
      </c>
    </row>
    <row r="2644" spans="1:4" ht="12.75" x14ac:dyDescent="0.35">
      <c r="A2644" s="4">
        <v>44855</v>
      </c>
      <c r="B2644" s="3" t="s">
        <v>818</v>
      </c>
      <c r="C2644" s="3">
        <v>11.19</v>
      </c>
      <c r="D2644" s="3">
        <v>2</v>
      </c>
    </row>
    <row r="2645" spans="1:4" ht="12.75" x14ac:dyDescent="0.35">
      <c r="A2645" s="5">
        <v>44763</v>
      </c>
      <c r="B2645" s="3" t="s">
        <v>328</v>
      </c>
      <c r="C2645" s="3">
        <v>11.17</v>
      </c>
      <c r="D2645" s="3">
        <v>4</v>
      </c>
    </row>
    <row r="2646" spans="1:4" ht="12.75" x14ac:dyDescent="0.35">
      <c r="A2646" s="4">
        <v>44702</v>
      </c>
      <c r="B2646" s="3" t="s">
        <v>795</v>
      </c>
      <c r="C2646" s="3">
        <v>11.15</v>
      </c>
      <c r="D2646" s="3">
        <v>1</v>
      </c>
    </row>
    <row r="2647" spans="1:4" ht="12.75" x14ac:dyDescent="0.35">
      <c r="A2647" s="4">
        <v>44672</v>
      </c>
      <c r="B2647" s="3" t="s">
        <v>954</v>
      </c>
      <c r="C2647" s="3">
        <v>11.14</v>
      </c>
      <c r="D2647" s="3">
        <v>4</v>
      </c>
    </row>
    <row r="2648" spans="1:4" ht="12.75" x14ac:dyDescent="0.35">
      <c r="A2648" s="4">
        <v>44613</v>
      </c>
      <c r="B2648" s="3" t="s">
        <v>571</v>
      </c>
      <c r="C2648" s="3">
        <v>11.09</v>
      </c>
      <c r="D2648" s="3">
        <v>2</v>
      </c>
    </row>
    <row r="2649" spans="1:4" ht="12.75" x14ac:dyDescent="0.35">
      <c r="A2649" s="4">
        <v>44582</v>
      </c>
      <c r="B2649" s="3" t="s">
        <v>107</v>
      </c>
      <c r="C2649" s="3">
        <v>11.08</v>
      </c>
      <c r="D2649" s="3">
        <v>1</v>
      </c>
    </row>
    <row r="2650" spans="1:4" ht="12.75" x14ac:dyDescent="0.35">
      <c r="A2650" s="4">
        <v>44702</v>
      </c>
      <c r="B2650" s="3" t="s">
        <v>533</v>
      </c>
      <c r="C2650" s="3">
        <v>11.05</v>
      </c>
      <c r="D2650" s="3">
        <v>1</v>
      </c>
    </row>
    <row r="2651" spans="1:4" ht="12.75" x14ac:dyDescent="0.35">
      <c r="A2651" s="4">
        <v>44641</v>
      </c>
      <c r="B2651" s="3" t="s">
        <v>607</v>
      </c>
      <c r="C2651" s="3">
        <v>11.02</v>
      </c>
      <c r="D2651" s="3">
        <v>1</v>
      </c>
    </row>
    <row r="2652" spans="1:4" ht="12.75" x14ac:dyDescent="0.35">
      <c r="A2652" s="4">
        <v>44672</v>
      </c>
      <c r="B2652" s="3" t="s">
        <v>622</v>
      </c>
      <c r="C2652" s="3">
        <v>10.95</v>
      </c>
      <c r="D2652" s="3">
        <v>4</v>
      </c>
    </row>
    <row r="2653" spans="1:4" ht="12.75" x14ac:dyDescent="0.35">
      <c r="A2653" s="4">
        <v>44702</v>
      </c>
      <c r="B2653" s="3" t="s">
        <v>780</v>
      </c>
      <c r="C2653" s="3">
        <v>10.84</v>
      </c>
      <c r="D2653" s="3">
        <v>2</v>
      </c>
    </row>
    <row r="2654" spans="1:4" ht="12.75" x14ac:dyDescent="0.35">
      <c r="A2654" s="4">
        <v>44613</v>
      </c>
      <c r="B2654" s="3" t="s">
        <v>515</v>
      </c>
      <c r="C2654" s="3">
        <v>10.79</v>
      </c>
      <c r="D2654" s="3">
        <v>1</v>
      </c>
    </row>
    <row r="2655" spans="1:4" ht="12.75" x14ac:dyDescent="0.35">
      <c r="A2655" s="4">
        <v>44886</v>
      </c>
      <c r="B2655" s="3" t="s">
        <v>1434</v>
      </c>
      <c r="C2655" s="3">
        <v>10.68</v>
      </c>
      <c r="D2655" s="3">
        <v>1</v>
      </c>
    </row>
    <row r="2656" spans="1:4" ht="12.75" x14ac:dyDescent="0.35">
      <c r="A2656" s="4">
        <v>44855</v>
      </c>
      <c r="B2656" s="3" t="s">
        <v>1004</v>
      </c>
      <c r="C2656" s="3">
        <v>10.67</v>
      </c>
      <c r="D2656" s="3">
        <v>2</v>
      </c>
    </row>
    <row r="2657" spans="1:4" ht="12.75" x14ac:dyDescent="0.35">
      <c r="A2657" s="4">
        <v>44582</v>
      </c>
      <c r="B2657" s="3" t="s">
        <v>46</v>
      </c>
      <c r="C2657" s="3">
        <v>10.65</v>
      </c>
      <c r="D2657" s="3">
        <v>1</v>
      </c>
    </row>
    <row r="2658" spans="1:4" ht="12.75" x14ac:dyDescent="0.35">
      <c r="A2658" s="4">
        <v>44825</v>
      </c>
      <c r="B2658" s="3" t="s">
        <v>1156</v>
      </c>
      <c r="C2658" s="3">
        <v>10.63</v>
      </c>
      <c r="D2658" s="3">
        <v>2</v>
      </c>
    </row>
    <row r="2659" spans="1:4" ht="12.75" x14ac:dyDescent="0.35">
      <c r="A2659" s="4">
        <v>44672</v>
      </c>
      <c r="B2659" s="3" t="s">
        <v>718</v>
      </c>
      <c r="C2659" s="3">
        <v>10.56</v>
      </c>
      <c r="D2659" s="3">
        <v>1</v>
      </c>
    </row>
    <row r="2660" spans="1:4" ht="12.75" x14ac:dyDescent="0.35">
      <c r="A2660" s="4">
        <v>44702</v>
      </c>
      <c r="B2660" s="3" t="s">
        <v>917</v>
      </c>
      <c r="C2660" s="3">
        <v>10.56</v>
      </c>
      <c r="D2660" s="3">
        <v>1</v>
      </c>
    </row>
    <row r="2661" spans="1:4" ht="12.75" x14ac:dyDescent="0.35">
      <c r="A2661" s="5">
        <v>44763</v>
      </c>
      <c r="B2661" s="3" t="s">
        <v>232</v>
      </c>
      <c r="C2661" s="3">
        <v>10.54</v>
      </c>
      <c r="D2661" s="3">
        <v>5</v>
      </c>
    </row>
    <row r="2662" spans="1:4" ht="12.75" x14ac:dyDescent="0.35">
      <c r="A2662" s="4">
        <v>44702</v>
      </c>
      <c r="B2662" s="3" t="s">
        <v>330</v>
      </c>
      <c r="C2662" s="3">
        <v>10.53</v>
      </c>
      <c r="D2662" s="3">
        <v>1</v>
      </c>
    </row>
    <row r="2663" spans="1:4" ht="12.75" x14ac:dyDescent="0.35">
      <c r="A2663" s="4">
        <v>44825</v>
      </c>
      <c r="B2663" s="3" t="s">
        <v>627</v>
      </c>
      <c r="C2663" s="3">
        <v>10.53</v>
      </c>
      <c r="D2663" s="3">
        <v>2</v>
      </c>
    </row>
    <row r="2664" spans="1:4" ht="12.75" x14ac:dyDescent="0.35">
      <c r="A2664" s="4">
        <v>44582</v>
      </c>
      <c r="B2664" s="3" t="s">
        <v>136</v>
      </c>
      <c r="C2664" s="3">
        <v>10.51</v>
      </c>
      <c r="D2664" s="3">
        <v>1</v>
      </c>
    </row>
    <row r="2665" spans="1:4" ht="12.75" x14ac:dyDescent="0.35">
      <c r="A2665" s="4">
        <v>44641</v>
      </c>
      <c r="B2665" s="3" t="s">
        <v>653</v>
      </c>
      <c r="C2665" s="3">
        <v>10.51</v>
      </c>
      <c r="D2665" s="3">
        <v>1</v>
      </c>
    </row>
    <row r="2666" spans="1:4" ht="12.75" x14ac:dyDescent="0.35">
      <c r="A2666" s="5">
        <v>44733</v>
      </c>
      <c r="B2666" s="3" t="s">
        <v>1382</v>
      </c>
      <c r="C2666" s="3">
        <v>10.51</v>
      </c>
      <c r="D2666" s="3">
        <v>1</v>
      </c>
    </row>
    <row r="2667" spans="1:4" ht="12.75" x14ac:dyDescent="0.35">
      <c r="A2667" s="4">
        <v>44672</v>
      </c>
      <c r="B2667" s="3" t="s">
        <v>496</v>
      </c>
      <c r="C2667" s="3">
        <v>10.5</v>
      </c>
      <c r="D2667" s="3">
        <v>4</v>
      </c>
    </row>
    <row r="2668" spans="1:4" ht="12.75" x14ac:dyDescent="0.35">
      <c r="A2668" s="4">
        <v>44794</v>
      </c>
      <c r="B2668" s="3" t="s">
        <v>692</v>
      </c>
      <c r="C2668" s="3">
        <v>10.5</v>
      </c>
      <c r="D2668" s="3">
        <v>3</v>
      </c>
    </row>
    <row r="2669" spans="1:4" ht="12.75" x14ac:dyDescent="0.35">
      <c r="A2669" s="4">
        <v>44582</v>
      </c>
      <c r="B2669" s="3" t="s">
        <v>302</v>
      </c>
      <c r="C2669" s="3">
        <v>10.48</v>
      </c>
      <c r="D2669" s="3">
        <v>1</v>
      </c>
    </row>
    <row r="2670" spans="1:4" ht="12.75" x14ac:dyDescent="0.35">
      <c r="A2670" s="5">
        <v>44763</v>
      </c>
      <c r="B2670" s="3" t="s">
        <v>1048</v>
      </c>
      <c r="C2670" s="3">
        <v>10.44</v>
      </c>
      <c r="D2670" s="3">
        <v>1</v>
      </c>
    </row>
    <row r="2671" spans="1:4" ht="12.75" x14ac:dyDescent="0.35">
      <c r="A2671" s="4">
        <v>44702</v>
      </c>
      <c r="B2671" s="3" t="s">
        <v>47</v>
      </c>
      <c r="C2671" s="3">
        <v>10.43</v>
      </c>
      <c r="D2671" s="3">
        <v>1</v>
      </c>
    </row>
    <row r="2672" spans="1:4" ht="12.75" x14ac:dyDescent="0.35">
      <c r="A2672" s="4">
        <v>44916</v>
      </c>
      <c r="B2672" s="3" t="s">
        <v>1908</v>
      </c>
      <c r="C2672" s="3">
        <v>10.43</v>
      </c>
      <c r="D2672" s="3">
        <v>1</v>
      </c>
    </row>
    <row r="2673" spans="1:4" ht="12.75" x14ac:dyDescent="0.35">
      <c r="A2673" s="5">
        <v>44733</v>
      </c>
      <c r="B2673" s="3" t="s">
        <v>704</v>
      </c>
      <c r="C2673" s="3">
        <v>10.41</v>
      </c>
      <c r="D2673" s="3">
        <v>4</v>
      </c>
    </row>
    <row r="2674" spans="1:4" ht="12.75" x14ac:dyDescent="0.35">
      <c r="A2674" s="4">
        <v>44916</v>
      </c>
      <c r="B2674" s="3" t="s">
        <v>1596</v>
      </c>
      <c r="C2674" s="3">
        <v>10.41</v>
      </c>
      <c r="D2674" s="3">
        <v>1</v>
      </c>
    </row>
    <row r="2675" spans="1:4" ht="12.75" x14ac:dyDescent="0.35">
      <c r="A2675" s="4">
        <v>44855</v>
      </c>
      <c r="B2675" s="3" t="s">
        <v>172</v>
      </c>
      <c r="C2675" s="3">
        <v>10.37</v>
      </c>
      <c r="D2675" s="3">
        <v>2</v>
      </c>
    </row>
    <row r="2676" spans="1:4" ht="12.75" x14ac:dyDescent="0.35">
      <c r="A2676" s="4">
        <v>44613</v>
      </c>
      <c r="B2676" s="3" t="s">
        <v>408</v>
      </c>
      <c r="C2676" s="3">
        <v>10.35</v>
      </c>
      <c r="D2676" s="3">
        <v>1</v>
      </c>
    </row>
    <row r="2677" spans="1:4" ht="12.75" x14ac:dyDescent="0.35">
      <c r="A2677" s="4">
        <v>44702</v>
      </c>
      <c r="B2677" s="3" t="s">
        <v>115</v>
      </c>
      <c r="C2677" s="3">
        <v>10.34</v>
      </c>
      <c r="D2677" s="3">
        <v>1</v>
      </c>
    </row>
    <row r="2678" spans="1:4" ht="12.75" x14ac:dyDescent="0.35">
      <c r="A2678" s="4">
        <v>44641</v>
      </c>
      <c r="B2678" s="3" t="s">
        <v>656</v>
      </c>
      <c r="C2678" s="3">
        <v>10.32</v>
      </c>
      <c r="D2678" s="3">
        <v>2</v>
      </c>
    </row>
    <row r="2679" spans="1:4" ht="12.75" x14ac:dyDescent="0.35">
      <c r="A2679" s="4">
        <v>44916</v>
      </c>
      <c r="B2679" s="3" t="s">
        <v>1184</v>
      </c>
      <c r="C2679" s="3">
        <v>10.32</v>
      </c>
      <c r="D2679" s="3">
        <v>1</v>
      </c>
    </row>
    <row r="2680" spans="1:4" ht="12.75" x14ac:dyDescent="0.35">
      <c r="A2680" s="5">
        <v>44733</v>
      </c>
      <c r="B2680" s="3" t="s">
        <v>1062</v>
      </c>
      <c r="C2680" s="3">
        <v>10.3</v>
      </c>
      <c r="D2680" s="3">
        <v>1</v>
      </c>
    </row>
    <row r="2681" spans="1:4" ht="12.75" x14ac:dyDescent="0.35">
      <c r="A2681" s="4">
        <v>44886</v>
      </c>
      <c r="B2681" s="3" t="s">
        <v>406</v>
      </c>
      <c r="C2681" s="3">
        <v>10.28</v>
      </c>
      <c r="D2681" s="3">
        <v>2</v>
      </c>
    </row>
    <row r="2682" spans="1:4" ht="12.75" x14ac:dyDescent="0.35">
      <c r="A2682" s="4">
        <v>44672</v>
      </c>
      <c r="B2682" s="3" t="s">
        <v>894</v>
      </c>
      <c r="C2682" s="3">
        <v>10.26</v>
      </c>
      <c r="D2682" s="3">
        <v>3</v>
      </c>
    </row>
    <row r="2683" spans="1:4" ht="12.75" x14ac:dyDescent="0.35">
      <c r="A2683" s="4">
        <v>44613</v>
      </c>
      <c r="B2683" s="3" t="s">
        <v>461</v>
      </c>
      <c r="C2683" s="3">
        <v>10.23</v>
      </c>
      <c r="D2683" s="3">
        <v>1</v>
      </c>
    </row>
    <row r="2684" spans="1:4" ht="12.75" x14ac:dyDescent="0.35">
      <c r="A2684" s="4">
        <v>44825</v>
      </c>
      <c r="B2684" s="3" t="s">
        <v>162</v>
      </c>
      <c r="C2684" s="3">
        <v>10.23</v>
      </c>
      <c r="D2684" s="3">
        <v>1</v>
      </c>
    </row>
    <row r="2685" spans="1:4" ht="12.75" x14ac:dyDescent="0.35">
      <c r="A2685" s="4">
        <v>44702</v>
      </c>
      <c r="B2685" s="3" t="s">
        <v>371</v>
      </c>
      <c r="C2685" s="3">
        <v>10.220000000000001</v>
      </c>
      <c r="D2685" s="3">
        <v>1</v>
      </c>
    </row>
    <row r="2686" spans="1:4" ht="12.75" x14ac:dyDescent="0.35">
      <c r="A2686" s="5">
        <v>44763</v>
      </c>
      <c r="B2686" s="3" t="s">
        <v>1110</v>
      </c>
      <c r="C2686" s="3">
        <v>10.19</v>
      </c>
      <c r="D2686" s="3">
        <v>1</v>
      </c>
    </row>
    <row r="2687" spans="1:4" ht="12.75" x14ac:dyDescent="0.35">
      <c r="A2687" s="4">
        <v>44641</v>
      </c>
      <c r="B2687" s="3" t="s">
        <v>503</v>
      </c>
      <c r="C2687" s="3">
        <v>10.16</v>
      </c>
      <c r="D2687" s="3">
        <v>1</v>
      </c>
    </row>
    <row r="2688" spans="1:4" ht="12.75" x14ac:dyDescent="0.35">
      <c r="A2688" s="4">
        <v>44613</v>
      </c>
      <c r="B2688" s="3" t="s">
        <v>425</v>
      </c>
      <c r="C2688" s="3">
        <v>10.1</v>
      </c>
      <c r="D2688" s="3">
        <v>2</v>
      </c>
    </row>
    <row r="2689" spans="1:4" ht="12.75" x14ac:dyDescent="0.35">
      <c r="A2689" s="4">
        <v>44672</v>
      </c>
      <c r="B2689" s="3" t="s">
        <v>994</v>
      </c>
      <c r="C2689" s="3">
        <v>10.1</v>
      </c>
      <c r="D2689" s="3">
        <v>2</v>
      </c>
    </row>
    <row r="2690" spans="1:4" ht="12.75" x14ac:dyDescent="0.35">
      <c r="A2690" s="4">
        <v>44702</v>
      </c>
      <c r="B2690" s="3" t="s">
        <v>1039</v>
      </c>
      <c r="C2690" s="3">
        <v>10.1</v>
      </c>
      <c r="D2690" s="3">
        <v>1</v>
      </c>
    </row>
    <row r="2691" spans="1:4" ht="12.75" x14ac:dyDescent="0.35">
      <c r="A2691" s="5">
        <v>44763</v>
      </c>
      <c r="B2691" s="3" t="s">
        <v>559</v>
      </c>
      <c r="C2691" s="3">
        <v>10.09</v>
      </c>
      <c r="D2691" s="3">
        <v>2</v>
      </c>
    </row>
    <row r="2692" spans="1:4" ht="12.75" x14ac:dyDescent="0.35">
      <c r="A2692" s="5">
        <v>44733</v>
      </c>
      <c r="B2692" s="3" t="s">
        <v>874</v>
      </c>
      <c r="C2692" s="3">
        <v>10.029999999999999</v>
      </c>
      <c r="D2692" s="3">
        <v>1</v>
      </c>
    </row>
    <row r="2693" spans="1:4" ht="12.75" x14ac:dyDescent="0.35">
      <c r="A2693" s="4">
        <v>44582</v>
      </c>
      <c r="B2693" s="3" t="s">
        <v>318</v>
      </c>
      <c r="C2693" s="3">
        <v>10</v>
      </c>
      <c r="D2693" s="3">
        <v>1</v>
      </c>
    </row>
    <row r="2694" spans="1:4" ht="12.75" x14ac:dyDescent="0.35">
      <c r="A2694" s="4">
        <v>44613</v>
      </c>
      <c r="B2694" s="3" t="s">
        <v>525</v>
      </c>
      <c r="C2694" s="3">
        <v>10</v>
      </c>
      <c r="D2694" s="3">
        <v>1</v>
      </c>
    </row>
    <row r="2695" spans="1:4" ht="12.75" x14ac:dyDescent="0.35">
      <c r="A2695" s="4">
        <v>44613</v>
      </c>
      <c r="B2695" s="3" t="s">
        <v>588</v>
      </c>
      <c r="C2695" s="3">
        <v>10</v>
      </c>
      <c r="D2695" s="3">
        <v>1</v>
      </c>
    </row>
    <row r="2696" spans="1:4" ht="12.75" x14ac:dyDescent="0.35">
      <c r="A2696" s="4">
        <v>44641</v>
      </c>
      <c r="B2696" s="3" t="s">
        <v>795</v>
      </c>
      <c r="C2696" s="3">
        <v>10</v>
      </c>
      <c r="D2696" s="3">
        <v>1</v>
      </c>
    </row>
    <row r="2697" spans="1:4" ht="12.75" x14ac:dyDescent="0.35">
      <c r="A2697" s="4">
        <v>44825</v>
      </c>
      <c r="B2697" s="3" t="s">
        <v>1781</v>
      </c>
      <c r="C2697" s="3">
        <v>10</v>
      </c>
      <c r="D2697" s="3">
        <v>1</v>
      </c>
    </row>
    <row r="2698" spans="1:4" ht="12.75" x14ac:dyDescent="0.35">
      <c r="A2698" s="4">
        <v>44641</v>
      </c>
      <c r="B2698" s="3" t="s">
        <v>700</v>
      </c>
      <c r="C2698" s="3">
        <v>9.9499999999999993</v>
      </c>
      <c r="D2698" s="3">
        <v>1</v>
      </c>
    </row>
    <row r="2699" spans="1:4" ht="12.75" x14ac:dyDescent="0.35">
      <c r="A2699" s="4">
        <v>44886</v>
      </c>
      <c r="B2699" s="3" t="s">
        <v>1690</v>
      </c>
      <c r="C2699" s="3">
        <v>9.9499999999999993</v>
      </c>
      <c r="D2699" s="3">
        <v>2</v>
      </c>
    </row>
    <row r="2700" spans="1:4" ht="12.75" x14ac:dyDescent="0.35">
      <c r="A2700" s="4">
        <v>44855</v>
      </c>
      <c r="B2700" s="3" t="s">
        <v>131</v>
      </c>
      <c r="C2700" s="3">
        <v>9.94</v>
      </c>
      <c r="D2700" s="3">
        <v>6</v>
      </c>
    </row>
    <row r="2701" spans="1:4" ht="12.75" x14ac:dyDescent="0.35">
      <c r="A2701" s="5">
        <v>44733</v>
      </c>
      <c r="B2701" s="3" t="s">
        <v>823</v>
      </c>
      <c r="C2701" s="3">
        <v>9.84</v>
      </c>
      <c r="D2701" s="3">
        <v>2</v>
      </c>
    </row>
    <row r="2702" spans="1:4" ht="12.75" x14ac:dyDescent="0.35">
      <c r="A2702" s="4">
        <v>44672</v>
      </c>
      <c r="B2702" s="3" t="s">
        <v>504</v>
      </c>
      <c r="C2702" s="3">
        <v>9.82</v>
      </c>
      <c r="D2702" s="3">
        <v>1</v>
      </c>
    </row>
    <row r="2703" spans="1:4" ht="12.75" x14ac:dyDescent="0.35">
      <c r="A2703" s="4">
        <v>44794</v>
      </c>
      <c r="B2703" s="3" t="s">
        <v>374</v>
      </c>
      <c r="C2703" s="3">
        <v>9.82</v>
      </c>
      <c r="D2703" s="3">
        <v>1</v>
      </c>
    </row>
    <row r="2704" spans="1:4" ht="12.75" x14ac:dyDescent="0.35">
      <c r="A2704" s="4">
        <v>44582</v>
      </c>
      <c r="B2704" s="3" t="s">
        <v>344</v>
      </c>
      <c r="C2704" s="3">
        <v>9.81</v>
      </c>
      <c r="D2704" s="3">
        <v>3</v>
      </c>
    </row>
    <row r="2705" spans="1:4" ht="12.75" x14ac:dyDescent="0.35">
      <c r="A2705" s="4">
        <v>44702</v>
      </c>
      <c r="B2705" s="3" t="s">
        <v>1078</v>
      </c>
      <c r="C2705" s="3">
        <v>9.8000000000000007</v>
      </c>
      <c r="D2705" s="3">
        <v>2</v>
      </c>
    </row>
    <row r="2706" spans="1:4" ht="12.75" x14ac:dyDescent="0.35">
      <c r="A2706" s="4">
        <v>44916</v>
      </c>
      <c r="B2706" s="3" t="s">
        <v>1884</v>
      </c>
      <c r="C2706" s="3">
        <v>9.77</v>
      </c>
      <c r="D2706" s="3">
        <v>1</v>
      </c>
    </row>
    <row r="2707" spans="1:4" ht="12.75" x14ac:dyDescent="0.35">
      <c r="A2707" s="4">
        <v>44641</v>
      </c>
      <c r="B2707" s="3" t="s">
        <v>365</v>
      </c>
      <c r="C2707" s="3">
        <v>9.75</v>
      </c>
      <c r="D2707" s="3">
        <v>1</v>
      </c>
    </row>
    <row r="2708" spans="1:4" ht="12.75" x14ac:dyDescent="0.35">
      <c r="A2708" s="5">
        <v>44763</v>
      </c>
      <c r="B2708" s="3" t="s">
        <v>333</v>
      </c>
      <c r="C2708" s="3">
        <v>9.7200000000000006</v>
      </c>
      <c r="D2708" s="3">
        <v>2</v>
      </c>
    </row>
    <row r="2709" spans="1:4" ht="12.75" x14ac:dyDescent="0.35">
      <c r="A2709" s="4">
        <v>44582</v>
      </c>
      <c r="B2709" s="3" t="s">
        <v>82</v>
      </c>
      <c r="C2709" s="3">
        <v>9.68</v>
      </c>
      <c r="D2709" s="3">
        <v>3</v>
      </c>
    </row>
    <row r="2710" spans="1:4" ht="12.75" x14ac:dyDescent="0.35">
      <c r="A2710" s="4">
        <v>44702</v>
      </c>
      <c r="B2710" s="3" t="s">
        <v>992</v>
      </c>
      <c r="C2710" s="3">
        <v>9.68</v>
      </c>
      <c r="D2710" s="3">
        <v>1</v>
      </c>
    </row>
    <row r="2711" spans="1:4" ht="12.75" x14ac:dyDescent="0.35">
      <c r="A2711" s="5">
        <v>44733</v>
      </c>
      <c r="B2711" s="3" t="s">
        <v>355</v>
      </c>
      <c r="C2711" s="3">
        <v>9.66</v>
      </c>
      <c r="D2711" s="3">
        <v>1</v>
      </c>
    </row>
    <row r="2712" spans="1:4" ht="12.75" x14ac:dyDescent="0.35">
      <c r="A2712" s="4">
        <v>44641</v>
      </c>
      <c r="B2712" s="3" t="s">
        <v>723</v>
      </c>
      <c r="C2712" s="3">
        <v>9.64</v>
      </c>
      <c r="D2712" s="3">
        <v>2</v>
      </c>
    </row>
    <row r="2713" spans="1:4" ht="12.75" x14ac:dyDescent="0.35">
      <c r="A2713" s="4">
        <v>44855</v>
      </c>
      <c r="B2713" s="3" t="s">
        <v>1722</v>
      </c>
      <c r="C2713" s="3">
        <v>9.64</v>
      </c>
      <c r="D2713" s="3">
        <v>1</v>
      </c>
    </row>
    <row r="2714" spans="1:4" ht="12.75" x14ac:dyDescent="0.35">
      <c r="A2714" s="4">
        <v>44613</v>
      </c>
      <c r="B2714" s="3" t="s">
        <v>421</v>
      </c>
      <c r="C2714" s="3">
        <v>9.6199999999999992</v>
      </c>
      <c r="D2714" s="3">
        <v>1</v>
      </c>
    </row>
    <row r="2715" spans="1:4" ht="12.75" x14ac:dyDescent="0.35">
      <c r="A2715" s="4">
        <v>44825</v>
      </c>
      <c r="B2715" s="3" t="s">
        <v>1766</v>
      </c>
      <c r="C2715" s="3">
        <v>9.5399999999999991</v>
      </c>
      <c r="D2715" s="3">
        <v>2</v>
      </c>
    </row>
    <row r="2716" spans="1:4" ht="12.75" x14ac:dyDescent="0.35">
      <c r="A2716" s="4">
        <v>44916</v>
      </c>
      <c r="B2716" s="3" t="s">
        <v>726</v>
      </c>
      <c r="C2716" s="3">
        <v>9.5399999999999991</v>
      </c>
      <c r="D2716" s="3">
        <v>4</v>
      </c>
    </row>
    <row r="2717" spans="1:4" ht="12.75" x14ac:dyDescent="0.35">
      <c r="A2717" s="4">
        <v>44582</v>
      </c>
      <c r="B2717" s="3" t="s">
        <v>43</v>
      </c>
      <c r="C2717" s="3">
        <v>9.52</v>
      </c>
      <c r="D2717" s="3">
        <v>2</v>
      </c>
    </row>
    <row r="2718" spans="1:4" ht="12.75" x14ac:dyDescent="0.35">
      <c r="A2718" s="4">
        <v>44794</v>
      </c>
      <c r="B2718" s="3" t="s">
        <v>220</v>
      </c>
      <c r="C2718" s="3">
        <v>9.48</v>
      </c>
      <c r="D2718" s="3">
        <v>3</v>
      </c>
    </row>
    <row r="2719" spans="1:4" ht="12.75" x14ac:dyDescent="0.35">
      <c r="A2719" s="4">
        <v>44702</v>
      </c>
      <c r="B2719" s="3" t="s">
        <v>383</v>
      </c>
      <c r="C2719" s="3">
        <v>9.4700000000000006</v>
      </c>
      <c r="D2719" s="3">
        <v>1</v>
      </c>
    </row>
    <row r="2720" spans="1:4" ht="12.75" x14ac:dyDescent="0.35">
      <c r="A2720" s="4">
        <v>44916</v>
      </c>
      <c r="B2720" s="3" t="s">
        <v>1861</v>
      </c>
      <c r="C2720" s="3">
        <v>9.4499999999999993</v>
      </c>
      <c r="D2720" s="3">
        <v>1</v>
      </c>
    </row>
    <row r="2721" spans="1:4" ht="12.75" x14ac:dyDescent="0.35">
      <c r="A2721" s="4">
        <v>44641</v>
      </c>
      <c r="B2721" s="3" t="s">
        <v>517</v>
      </c>
      <c r="C2721" s="3">
        <v>9.44</v>
      </c>
      <c r="D2721" s="3">
        <v>3</v>
      </c>
    </row>
    <row r="2722" spans="1:4" ht="12.75" x14ac:dyDescent="0.35">
      <c r="A2722" s="4">
        <v>44582</v>
      </c>
      <c r="B2722" s="3" t="s">
        <v>278</v>
      </c>
      <c r="C2722" s="3">
        <v>9.42</v>
      </c>
      <c r="D2722" s="3">
        <v>1</v>
      </c>
    </row>
    <row r="2723" spans="1:4" ht="12.75" x14ac:dyDescent="0.35">
      <c r="A2723" s="5">
        <v>44733</v>
      </c>
      <c r="B2723" s="3" t="s">
        <v>558</v>
      </c>
      <c r="C2723" s="3">
        <v>9.41</v>
      </c>
      <c r="D2723" s="3">
        <v>1</v>
      </c>
    </row>
    <row r="2724" spans="1:4" ht="12.75" x14ac:dyDescent="0.35">
      <c r="A2724" s="4">
        <v>44916</v>
      </c>
      <c r="B2724" s="3" t="s">
        <v>1492</v>
      </c>
      <c r="C2724" s="3">
        <v>9.36</v>
      </c>
      <c r="D2724" s="3">
        <v>1</v>
      </c>
    </row>
    <row r="2725" spans="1:4" ht="12.75" x14ac:dyDescent="0.35">
      <c r="A2725" s="5">
        <v>44763</v>
      </c>
      <c r="B2725" s="3" t="s">
        <v>1041</v>
      </c>
      <c r="C2725" s="3">
        <v>9.35</v>
      </c>
      <c r="D2725" s="3">
        <v>1</v>
      </c>
    </row>
    <row r="2726" spans="1:4" ht="12.75" x14ac:dyDescent="0.35">
      <c r="A2726" s="4">
        <v>44794</v>
      </c>
      <c r="B2726" s="3" t="s">
        <v>172</v>
      </c>
      <c r="C2726" s="3">
        <v>9.3000000000000007</v>
      </c>
      <c r="D2726" s="3">
        <v>2</v>
      </c>
    </row>
    <row r="2727" spans="1:4" ht="12.75" x14ac:dyDescent="0.35">
      <c r="A2727" s="4">
        <v>44825</v>
      </c>
      <c r="B2727" s="3" t="s">
        <v>1476</v>
      </c>
      <c r="C2727" s="3">
        <v>9.3000000000000007</v>
      </c>
      <c r="D2727" s="3">
        <v>1</v>
      </c>
    </row>
    <row r="2728" spans="1:4" ht="12.75" x14ac:dyDescent="0.35">
      <c r="A2728" s="4">
        <v>44641</v>
      </c>
      <c r="B2728" s="3" t="s">
        <v>217</v>
      </c>
      <c r="C2728" s="3">
        <v>9.2799999999999994</v>
      </c>
      <c r="D2728" s="3">
        <v>1</v>
      </c>
    </row>
    <row r="2729" spans="1:4" ht="12.75" x14ac:dyDescent="0.35">
      <c r="A2729" s="4">
        <v>44916</v>
      </c>
      <c r="B2729" s="3" t="s">
        <v>653</v>
      </c>
      <c r="C2729" s="3">
        <v>9.2799999999999994</v>
      </c>
      <c r="D2729" s="3">
        <v>1</v>
      </c>
    </row>
    <row r="2730" spans="1:4" ht="12.75" x14ac:dyDescent="0.35">
      <c r="A2730" s="4">
        <v>44672</v>
      </c>
      <c r="B2730" s="3" t="s">
        <v>141</v>
      </c>
      <c r="C2730" s="3">
        <v>9.27</v>
      </c>
      <c r="D2730" s="3">
        <v>3</v>
      </c>
    </row>
    <row r="2731" spans="1:4" ht="12.75" x14ac:dyDescent="0.35">
      <c r="A2731" s="4">
        <v>44582</v>
      </c>
      <c r="B2731" s="3" t="s">
        <v>228</v>
      </c>
      <c r="C2731" s="3">
        <v>9.25</v>
      </c>
      <c r="D2731" s="3">
        <v>1</v>
      </c>
    </row>
    <row r="2732" spans="1:4" ht="12.75" x14ac:dyDescent="0.35">
      <c r="A2732" s="4">
        <v>44702</v>
      </c>
      <c r="B2732" s="3" t="s">
        <v>1103</v>
      </c>
      <c r="C2732" s="3">
        <v>9.2100000000000009</v>
      </c>
      <c r="D2732" s="3">
        <v>1</v>
      </c>
    </row>
    <row r="2733" spans="1:4" ht="12.75" x14ac:dyDescent="0.35">
      <c r="A2733" s="4">
        <v>44613</v>
      </c>
      <c r="B2733" s="3" t="s">
        <v>232</v>
      </c>
      <c r="C2733" s="3">
        <v>9.16</v>
      </c>
      <c r="D2733" s="3">
        <v>5</v>
      </c>
    </row>
    <row r="2734" spans="1:4" ht="12.75" x14ac:dyDescent="0.35">
      <c r="A2734" s="5">
        <v>44733</v>
      </c>
      <c r="B2734" s="3" t="s">
        <v>1313</v>
      </c>
      <c r="C2734" s="3">
        <v>9.14</v>
      </c>
      <c r="D2734" s="3">
        <v>1</v>
      </c>
    </row>
    <row r="2735" spans="1:4" ht="12.75" x14ac:dyDescent="0.35">
      <c r="A2735" s="4">
        <v>44702</v>
      </c>
      <c r="B2735" s="3" t="s">
        <v>355</v>
      </c>
      <c r="C2735" s="3">
        <v>9.1199999999999992</v>
      </c>
      <c r="D2735" s="3">
        <v>1</v>
      </c>
    </row>
    <row r="2736" spans="1:4" ht="12.75" x14ac:dyDescent="0.35">
      <c r="A2736" s="4">
        <v>44825</v>
      </c>
      <c r="B2736" s="3" t="s">
        <v>1316</v>
      </c>
      <c r="C2736" s="3">
        <v>9.1199999999999992</v>
      </c>
      <c r="D2736" s="3">
        <v>1</v>
      </c>
    </row>
    <row r="2737" spans="1:4" ht="12.75" x14ac:dyDescent="0.35">
      <c r="A2737" s="4">
        <v>44916</v>
      </c>
      <c r="B2737" s="3" t="s">
        <v>1916</v>
      </c>
      <c r="C2737" s="3">
        <v>9.1199999999999992</v>
      </c>
      <c r="D2737" s="3">
        <v>1</v>
      </c>
    </row>
    <row r="2738" spans="1:4" ht="12.75" x14ac:dyDescent="0.35">
      <c r="A2738" s="4">
        <v>44582</v>
      </c>
      <c r="B2738" s="3" t="s">
        <v>73</v>
      </c>
      <c r="C2738" s="3">
        <v>9.11</v>
      </c>
      <c r="D2738" s="3">
        <v>1</v>
      </c>
    </row>
    <row r="2739" spans="1:4" ht="12.75" x14ac:dyDescent="0.35">
      <c r="A2739" s="4">
        <v>44672</v>
      </c>
      <c r="B2739" s="3" t="s">
        <v>187</v>
      </c>
      <c r="C2739" s="3">
        <v>9.1</v>
      </c>
      <c r="D2739" s="3">
        <v>1</v>
      </c>
    </row>
    <row r="2740" spans="1:4" ht="12.75" x14ac:dyDescent="0.35">
      <c r="A2740" s="4">
        <v>44886</v>
      </c>
      <c r="B2740" s="3" t="s">
        <v>1583</v>
      </c>
      <c r="C2740" s="3">
        <v>9.08</v>
      </c>
      <c r="D2740" s="3">
        <v>2</v>
      </c>
    </row>
    <row r="2741" spans="1:4" ht="12.75" x14ac:dyDescent="0.35">
      <c r="A2741" s="4">
        <v>44855</v>
      </c>
      <c r="B2741" s="3" t="s">
        <v>364</v>
      </c>
      <c r="C2741" s="3">
        <v>9.07</v>
      </c>
      <c r="D2741" s="3">
        <v>1</v>
      </c>
    </row>
    <row r="2742" spans="1:4" ht="12.75" x14ac:dyDescent="0.35">
      <c r="A2742" s="4">
        <v>44702</v>
      </c>
      <c r="B2742" s="3" t="s">
        <v>582</v>
      </c>
      <c r="C2742" s="3">
        <v>9.0500000000000007</v>
      </c>
      <c r="D2742" s="3">
        <v>1</v>
      </c>
    </row>
    <row r="2743" spans="1:4" ht="12.75" x14ac:dyDescent="0.35">
      <c r="A2743" s="4">
        <v>44702</v>
      </c>
      <c r="B2743" s="3" t="s">
        <v>409</v>
      </c>
      <c r="C2743" s="3">
        <v>9.02</v>
      </c>
      <c r="D2743" s="3">
        <v>1</v>
      </c>
    </row>
    <row r="2744" spans="1:4" ht="12.75" x14ac:dyDescent="0.35">
      <c r="A2744" s="4">
        <v>44855</v>
      </c>
      <c r="B2744" s="3" t="s">
        <v>775</v>
      </c>
      <c r="C2744" s="3">
        <v>9.02</v>
      </c>
      <c r="D2744" s="3">
        <v>1</v>
      </c>
    </row>
    <row r="2745" spans="1:4" ht="12.75" x14ac:dyDescent="0.35">
      <c r="A2745" s="4">
        <v>44794</v>
      </c>
      <c r="B2745" s="3" t="s">
        <v>435</v>
      </c>
      <c r="C2745" s="3">
        <v>9</v>
      </c>
      <c r="D2745" s="3">
        <v>3</v>
      </c>
    </row>
    <row r="2746" spans="1:4" ht="12.75" x14ac:dyDescent="0.35">
      <c r="A2746" s="4">
        <v>44702</v>
      </c>
      <c r="B2746" s="3" t="s">
        <v>676</v>
      </c>
      <c r="C2746" s="3">
        <v>8.99</v>
      </c>
      <c r="D2746" s="3">
        <v>2</v>
      </c>
    </row>
    <row r="2747" spans="1:4" ht="12.75" x14ac:dyDescent="0.35">
      <c r="A2747" s="4">
        <v>44702</v>
      </c>
      <c r="B2747" s="3" t="s">
        <v>625</v>
      </c>
      <c r="C2747" s="3">
        <v>8.94</v>
      </c>
      <c r="D2747" s="3">
        <v>1</v>
      </c>
    </row>
    <row r="2748" spans="1:4" ht="12.75" x14ac:dyDescent="0.35">
      <c r="A2748" s="4">
        <v>44613</v>
      </c>
      <c r="B2748" s="3" t="s">
        <v>489</v>
      </c>
      <c r="C2748" s="3">
        <v>8.92</v>
      </c>
      <c r="D2748" s="3">
        <v>2</v>
      </c>
    </row>
    <row r="2749" spans="1:4" ht="12.75" x14ac:dyDescent="0.35">
      <c r="A2749" s="4">
        <v>44855</v>
      </c>
      <c r="B2749" s="3" t="s">
        <v>1655</v>
      </c>
      <c r="C2749" s="3">
        <v>8.92</v>
      </c>
      <c r="D2749" s="3">
        <v>1</v>
      </c>
    </row>
    <row r="2750" spans="1:4" ht="12.75" x14ac:dyDescent="0.35">
      <c r="A2750" s="4">
        <v>44916</v>
      </c>
      <c r="B2750" s="3" t="s">
        <v>1577</v>
      </c>
      <c r="C2750" s="3">
        <v>8.92</v>
      </c>
      <c r="D2750" s="3">
        <v>1</v>
      </c>
    </row>
    <row r="2751" spans="1:4" ht="12.75" x14ac:dyDescent="0.35">
      <c r="A2751" s="4">
        <v>44672</v>
      </c>
      <c r="B2751" s="3" t="s">
        <v>742</v>
      </c>
      <c r="C2751" s="3">
        <v>8.9</v>
      </c>
      <c r="D2751" s="3">
        <v>1</v>
      </c>
    </row>
    <row r="2752" spans="1:4" ht="12.75" x14ac:dyDescent="0.35">
      <c r="A2752" s="4">
        <v>44702</v>
      </c>
      <c r="B2752" s="3" t="s">
        <v>694</v>
      </c>
      <c r="C2752" s="3">
        <v>8.86</v>
      </c>
      <c r="D2752" s="3">
        <v>1</v>
      </c>
    </row>
    <row r="2753" spans="1:4" ht="12.75" x14ac:dyDescent="0.35">
      <c r="A2753" s="5">
        <v>44763</v>
      </c>
      <c r="B2753" s="3" t="s">
        <v>183</v>
      </c>
      <c r="C2753" s="3">
        <v>8.86</v>
      </c>
      <c r="D2753" s="3">
        <v>1</v>
      </c>
    </row>
    <row r="2754" spans="1:4" ht="12.75" x14ac:dyDescent="0.35">
      <c r="A2754" s="4">
        <v>44582</v>
      </c>
      <c r="B2754" s="3" t="s">
        <v>307</v>
      </c>
      <c r="C2754" s="3">
        <v>8.85</v>
      </c>
      <c r="D2754" s="3">
        <v>5</v>
      </c>
    </row>
    <row r="2755" spans="1:4" ht="12.75" x14ac:dyDescent="0.35">
      <c r="A2755" s="4">
        <v>44641</v>
      </c>
      <c r="B2755" s="3" t="s">
        <v>775</v>
      </c>
      <c r="C2755" s="3">
        <v>8.85</v>
      </c>
      <c r="D2755" s="3">
        <v>1</v>
      </c>
    </row>
    <row r="2756" spans="1:4" ht="12.75" x14ac:dyDescent="0.35">
      <c r="A2756" s="4">
        <v>44916</v>
      </c>
      <c r="B2756" s="3" t="s">
        <v>532</v>
      </c>
      <c r="C2756" s="3">
        <v>8.84</v>
      </c>
      <c r="D2756" s="3">
        <v>1</v>
      </c>
    </row>
    <row r="2757" spans="1:4" ht="12.75" x14ac:dyDescent="0.35">
      <c r="A2757" s="4">
        <v>44855</v>
      </c>
      <c r="B2757" s="3" t="s">
        <v>1322</v>
      </c>
      <c r="C2757" s="3">
        <v>8.82</v>
      </c>
      <c r="D2757" s="3">
        <v>1</v>
      </c>
    </row>
    <row r="2758" spans="1:4" ht="12.75" x14ac:dyDescent="0.35">
      <c r="A2758" s="4">
        <v>44886</v>
      </c>
      <c r="B2758" s="3" t="s">
        <v>622</v>
      </c>
      <c r="C2758" s="3">
        <v>8.82</v>
      </c>
      <c r="D2758" s="3">
        <v>4</v>
      </c>
    </row>
    <row r="2759" spans="1:4" ht="12.75" x14ac:dyDescent="0.35">
      <c r="A2759" s="4">
        <v>44916</v>
      </c>
      <c r="B2759" s="3" t="s">
        <v>69</v>
      </c>
      <c r="C2759" s="3">
        <v>8.7899999999999991</v>
      </c>
      <c r="D2759" s="3">
        <v>10</v>
      </c>
    </row>
    <row r="2760" spans="1:4" ht="12.75" x14ac:dyDescent="0.35">
      <c r="A2760" s="4">
        <v>44702</v>
      </c>
      <c r="B2760" s="3" t="s">
        <v>997</v>
      </c>
      <c r="C2760" s="3">
        <v>8.7799999999999994</v>
      </c>
      <c r="D2760" s="3">
        <v>1</v>
      </c>
    </row>
    <row r="2761" spans="1:4" ht="12.75" x14ac:dyDescent="0.35">
      <c r="A2761" s="4">
        <v>44582</v>
      </c>
      <c r="B2761" s="3" t="s">
        <v>181</v>
      </c>
      <c r="C2761" s="3">
        <v>8.73</v>
      </c>
      <c r="D2761" s="3">
        <v>1</v>
      </c>
    </row>
    <row r="2762" spans="1:4" ht="12.75" x14ac:dyDescent="0.35">
      <c r="A2762" s="4">
        <v>44702</v>
      </c>
      <c r="B2762" s="3" t="s">
        <v>1107</v>
      </c>
      <c r="C2762" s="3">
        <v>8.7200000000000006</v>
      </c>
      <c r="D2762" s="3">
        <v>2</v>
      </c>
    </row>
    <row r="2763" spans="1:4" ht="12.75" x14ac:dyDescent="0.35">
      <c r="A2763" s="4">
        <v>44825</v>
      </c>
      <c r="B2763" s="3" t="s">
        <v>1763</v>
      </c>
      <c r="C2763" s="3">
        <v>8.7100000000000009</v>
      </c>
      <c r="D2763" s="3">
        <v>1</v>
      </c>
    </row>
    <row r="2764" spans="1:4" ht="12.75" x14ac:dyDescent="0.35">
      <c r="A2764" s="4">
        <v>44672</v>
      </c>
      <c r="B2764" s="3" t="s">
        <v>50</v>
      </c>
      <c r="C2764" s="3">
        <v>8.64</v>
      </c>
      <c r="D2764" s="3">
        <v>2</v>
      </c>
    </row>
    <row r="2765" spans="1:4" ht="12.75" x14ac:dyDescent="0.35">
      <c r="A2765" s="4">
        <v>44916</v>
      </c>
      <c r="B2765" s="3" t="s">
        <v>1939</v>
      </c>
      <c r="C2765" s="3">
        <v>8.59</v>
      </c>
      <c r="D2765" s="3">
        <v>1</v>
      </c>
    </row>
    <row r="2766" spans="1:4" ht="12.75" x14ac:dyDescent="0.35">
      <c r="A2766" s="4">
        <v>44794</v>
      </c>
      <c r="B2766" s="3" t="s">
        <v>1079</v>
      </c>
      <c r="C2766" s="3">
        <v>8.57</v>
      </c>
      <c r="D2766" s="3">
        <v>1</v>
      </c>
    </row>
    <row r="2767" spans="1:4" ht="12.75" x14ac:dyDescent="0.35">
      <c r="A2767" s="4">
        <v>44613</v>
      </c>
      <c r="B2767" s="3" t="s">
        <v>487</v>
      </c>
      <c r="C2767" s="3">
        <v>8.56</v>
      </c>
      <c r="D2767" s="3">
        <v>2</v>
      </c>
    </row>
    <row r="2768" spans="1:4" ht="12.75" x14ac:dyDescent="0.35">
      <c r="A2768" s="4">
        <v>44672</v>
      </c>
      <c r="B2768" s="3" t="s">
        <v>503</v>
      </c>
      <c r="C2768" s="3">
        <v>8.5500000000000007</v>
      </c>
      <c r="D2768" s="3">
        <v>1</v>
      </c>
    </row>
    <row r="2769" spans="1:4" ht="12.75" x14ac:dyDescent="0.35">
      <c r="A2769" s="4">
        <v>44641</v>
      </c>
      <c r="B2769" s="3" t="s">
        <v>104</v>
      </c>
      <c r="C2769" s="3">
        <v>8.52</v>
      </c>
      <c r="D2769" s="3">
        <v>1</v>
      </c>
    </row>
    <row r="2770" spans="1:4" ht="12.75" x14ac:dyDescent="0.35">
      <c r="A2770" s="5">
        <v>44763</v>
      </c>
      <c r="B2770" s="3" t="s">
        <v>726</v>
      </c>
      <c r="C2770" s="3">
        <v>8.51</v>
      </c>
      <c r="D2770" s="3">
        <v>4</v>
      </c>
    </row>
    <row r="2771" spans="1:4" ht="12.75" x14ac:dyDescent="0.35">
      <c r="A2771" s="4">
        <v>44886</v>
      </c>
      <c r="B2771" s="3" t="s">
        <v>1820</v>
      </c>
      <c r="C2771" s="3">
        <v>8.49</v>
      </c>
      <c r="D2771" s="3">
        <v>1</v>
      </c>
    </row>
    <row r="2772" spans="1:4" ht="12.75" x14ac:dyDescent="0.35">
      <c r="A2772" s="4">
        <v>44702</v>
      </c>
      <c r="B2772" s="3" t="s">
        <v>1051</v>
      </c>
      <c r="C2772" s="3">
        <v>8.4499999999999993</v>
      </c>
      <c r="D2772" s="3">
        <v>1</v>
      </c>
    </row>
    <row r="2773" spans="1:4" ht="12.75" x14ac:dyDescent="0.35">
      <c r="A2773" s="4">
        <v>44916</v>
      </c>
      <c r="B2773" s="3" t="s">
        <v>1865</v>
      </c>
      <c r="C2773" s="3">
        <v>8.4499999999999993</v>
      </c>
      <c r="D2773" s="3">
        <v>1</v>
      </c>
    </row>
    <row r="2774" spans="1:4" ht="12.75" x14ac:dyDescent="0.35">
      <c r="A2774" s="4">
        <v>44641</v>
      </c>
      <c r="B2774" s="3" t="s">
        <v>198</v>
      </c>
      <c r="C2774" s="3">
        <v>8.44</v>
      </c>
      <c r="D2774" s="3">
        <v>4</v>
      </c>
    </row>
    <row r="2775" spans="1:4" ht="12.75" x14ac:dyDescent="0.35">
      <c r="A2775" s="4">
        <v>44794</v>
      </c>
      <c r="B2775" s="3" t="s">
        <v>1635</v>
      </c>
      <c r="C2775" s="3">
        <v>8.4</v>
      </c>
      <c r="D2775" s="3">
        <v>1</v>
      </c>
    </row>
    <row r="2776" spans="1:4" ht="12.75" x14ac:dyDescent="0.35">
      <c r="A2776" s="5">
        <v>44763</v>
      </c>
      <c r="B2776" s="3" t="s">
        <v>1163</v>
      </c>
      <c r="C2776" s="3">
        <v>8.39</v>
      </c>
      <c r="D2776" s="3">
        <v>3</v>
      </c>
    </row>
    <row r="2777" spans="1:4" ht="12.75" x14ac:dyDescent="0.35">
      <c r="A2777" s="4">
        <v>44825</v>
      </c>
      <c r="B2777" s="3" t="s">
        <v>1744</v>
      </c>
      <c r="C2777" s="3">
        <v>8.39</v>
      </c>
      <c r="D2777" s="3">
        <v>1</v>
      </c>
    </row>
    <row r="2778" spans="1:4" ht="12.75" x14ac:dyDescent="0.35">
      <c r="A2778" s="4">
        <v>44641</v>
      </c>
      <c r="B2778" s="3" t="s">
        <v>666</v>
      </c>
      <c r="C2778" s="3">
        <v>8.3800000000000008</v>
      </c>
      <c r="D2778" s="3">
        <v>1</v>
      </c>
    </row>
    <row r="2779" spans="1:4" ht="12.75" x14ac:dyDescent="0.35">
      <c r="A2779" s="4">
        <v>44702</v>
      </c>
      <c r="B2779" s="3" t="s">
        <v>915</v>
      </c>
      <c r="C2779" s="3">
        <v>8.36</v>
      </c>
      <c r="D2779" s="3">
        <v>1</v>
      </c>
    </row>
    <row r="2780" spans="1:4" ht="12.75" x14ac:dyDescent="0.35">
      <c r="A2780" s="4">
        <v>44582</v>
      </c>
      <c r="B2780" s="3" t="s">
        <v>298</v>
      </c>
      <c r="C2780" s="3">
        <v>8.33</v>
      </c>
      <c r="D2780" s="3">
        <v>1</v>
      </c>
    </row>
    <row r="2781" spans="1:4" ht="12.75" x14ac:dyDescent="0.35">
      <c r="A2781" s="4">
        <v>44672</v>
      </c>
      <c r="B2781" s="3" t="s">
        <v>146</v>
      </c>
      <c r="C2781" s="3">
        <v>8.2899999999999991</v>
      </c>
      <c r="D2781" s="3">
        <v>1</v>
      </c>
    </row>
    <row r="2782" spans="1:4" ht="12.75" x14ac:dyDescent="0.35">
      <c r="A2782" s="4">
        <v>44702</v>
      </c>
      <c r="B2782" s="3" t="s">
        <v>835</v>
      </c>
      <c r="C2782" s="3">
        <v>8.2899999999999991</v>
      </c>
      <c r="D2782" s="3">
        <v>2</v>
      </c>
    </row>
    <row r="2783" spans="1:4" ht="12.75" x14ac:dyDescent="0.35">
      <c r="A2783" s="4">
        <v>44672</v>
      </c>
      <c r="B2783" s="3" t="s">
        <v>878</v>
      </c>
      <c r="C2783" s="3">
        <v>8.26</v>
      </c>
      <c r="D2783" s="3">
        <v>1</v>
      </c>
    </row>
    <row r="2784" spans="1:4" ht="12.75" x14ac:dyDescent="0.35">
      <c r="A2784" s="5">
        <v>44733</v>
      </c>
      <c r="B2784" s="3" t="s">
        <v>1426</v>
      </c>
      <c r="C2784" s="3">
        <v>8.25</v>
      </c>
      <c r="D2784" s="3">
        <v>1</v>
      </c>
    </row>
    <row r="2785" spans="1:4" ht="12.75" x14ac:dyDescent="0.35">
      <c r="A2785" s="4">
        <v>44613</v>
      </c>
      <c r="B2785" s="3" t="s">
        <v>93</v>
      </c>
      <c r="C2785" s="3">
        <v>8.24</v>
      </c>
      <c r="D2785" s="3">
        <v>5</v>
      </c>
    </row>
    <row r="2786" spans="1:4" ht="12.75" x14ac:dyDescent="0.35">
      <c r="A2786" s="5">
        <v>44733</v>
      </c>
      <c r="B2786" s="3" t="s">
        <v>1100</v>
      </c>
      <c r="C2786" s="3">
        <v>8.2100000000000009</v>
      </c>
      <c r="D2786" s="3">
        <v>1</v>
      </c>
    </row>
    <row r="2787" spans="1:4" ht="12.75" x14ac:dyDescent="0.35">
      <c r="A2787" s="5">
        <v>44733</v>
      </c>
      <c r="B2787" s="3" t="s">
        <v>1300</v>
      </c>
      <c r="C2787" s="3">
        <v>8.19</v>
      </c>
      <c r="D2787" s="3">
        <v>3</v>
      </c>
    </row>
    <row r="2788" spans="1:4" ht="12.75" x14ac:dyDescent="0.35">
      <c r="A2788" s="4">
        <v>44855</v>
      </c>
      <c r="B2788" s="3" t="s">
        <v>13</v>
      </c>
      <c r="C2788" s="3">
        <v>8.19</v>
      </c>
      <c r="D2788" s="3">
        <v>1</v>
      </c>
    </row>
    <row r="2789" spans="1:4" ht="12.75" x14ac:dyDescent="0.35">
      <c r="A2789" s="4">
        <v>44702</v>
      </c>
      <c r="B2789" s="3" t="s">
        <v>1143</v>
      </c>
      <c r="C2789" s="3">
        <v>8.16</v>
      </c>
      <c r="D2789" s="3">
        <v>1</v>
      </c>
    </row>
    <row r="2790" spans="1:4" ht="12.75" x14ac:dyDescent="0.35">
      <c r="A2790" s="5">
        <v>44733</v>
      </c>
      <c r="B2790" s="3" t="s">
        <v>1276</v>
      </c>
      <c r="C2790" s="3">
        <v>8.15</v>
      </c>
      <c r="D2790" s="3">
        <v>1</v>
      </c>
    </row>
    <row r="2791" spans="1:4" ht="12.75" x14ac:dyDescent="0.35">
      <c r="A2791" s="4">
        <v>44582</v>
      </c>
      <c r="B2791" s="3" t="s">
        <v>27</v>
      </c>
      <c r="C2791" s="3">
        <v>8.1199999999999992</v>
      </c>
      <c r="D2791" s="3">
        <v>1</v>
      </c>
    </row>
    <row r="2792" spans="1:4" ht="12.75" x14ac:dyDescent="0.35">
      <c r="A2792" s="4">
        <v>44794</v>
      </c>
      <c r="B2792" s="3" t="s">
        <v>470</v>
      </c>
      <c r="C2792" s="3">
        <v>8.1199999999999992</v>
      </c>
      <c r="D2792" s="3">
        <v>1</v>
      </c>
    </row>
    <row r="2793" spans="1:4" ht="12.75" x14ac:dyDescent="0.35">
      <c r="A2793" s="4">
        <v>44613</v>
      </c>
      <c r="B2793" s="3" t="s">
        <v>104</v>
      </c>
      <c r="C2793" s="3">
        <v>8.1</v>
      </c>
      <c r="D2793" s="3">
        <v>1</v>
      </c>
    </row>
    <row r="2794" spans="1:4" ht="12.75" x14ac:dyDescent="0.35">
      <c r="A2794" s="4">
        <v>44886</v>
      </c>
      <c r="B2794" s="3" t="s">
        <v>771</v>
      </c>
      <c r="C2794" s="3">
        <v>8.09</v>
      </c>
      <c r="D2794" s="3">
        <v>1</v>
      </c>
    </row>
    <row r="2795" spans="1:4" ht="12.75" x14ac:dyDescent="0.35">
      <c r="A2795" s="5">
        <v>44733</v>
      </c>
      <c r="B2795" s="3" t="s">
        <v>1246</v>
      </c>
      <c r="C2795" s="3">
        <v>8.08</v>
      </c>
      <c r="D2795" s="3">
        <v>2</v>
      </c>
    </row>
    <row r="2796" spans="1:4" ht="12.75" x14ac:dyDescent="0.35">
      <c r="A2796" s="4">
        <v>44641</v>
      </c>
      <c r="B2796" s="3" t="s">
        <v>91</v>
      </c>
      <c r="C2796" s="3">
        <v>8.07</v>
      </c>
      <c r="D2796" s="3">
        <v>2</v>
      </c>
    </row>
    <row r="2797" spans="1:4" ht="12.75" x14ac:dyDescent="0.35">
      <c r="A2797" s="4">
        <v>44825</v>
      </c>
      <c r="B2797" s="3" t="s">
        <v>1695</v>
      </c>
      <c r="C2797" s="3">
        <v>8.06</v>
      </c>
      <c r="D2797" s="3">
        <v>2</v>
      </c>
    </row>
    <row r="2798" spans="1:4" ht="12.75" x14ac:dyDescent="0.35">
      <c r="A2798" s="4">
        <v>44672</v>
      </c>
      <c r="B2798" s="3" t="s">
        <v>421</v>
      </c>
      <c r="C2798" s="3">
        <v>8.01</v>
      </c>
      <c r="D2798" s="3">
        <v>1</v>
      </c>
    </row>
    <row r="2799" spans="1:4" ht="12.75" x14ac:dyDescent="0.35">
      <c r="A2799" s="5">
        <v>44733</v>
      </c>
      <c r="B2799" s="3" t="s">
        <v>1196</v>
      </c>
      <c r="C2799" s="3">
        <v>8.01</v>
      </c>
      <c r="D2799" s="3">
        <v>1</v>
      </c>
    </row>
    <row r="2800" spans="1:4" ht="12.75" x14ac:dyDescent="0.35">
      <c r="A2800" s="4">
        <v>44702</v>
      </c>
      <c r="B2800" s="3" t="s">
        <v>611</v>
      </c>
      <c r="C2800" s="3">
        <v>7.98</v>
      </c>
      <c r="D2800" s="3">
        <v>2</v>
      </c>
    </row>
    <row r="2801" spans="1:4" ht="12.75" x14ac:dyDescent="0.35">
      <c r="A2801" s="4">
        <v>44794</v>
      </c>
      <c r="B2801" s="3" t="s">
        <v>997</v>
      </c>
      <c r="C2801" s="3">
        <v>7.97</v>
      </c>
      <c r="D2801" s="3">
        <v>1</v>
      </c>
    </row>
    <row r="2802" spans="1:4" ht="12.75" x14ac:dyDescent="0.35">
      <c r="A2802" s="4">
        <v>44855</v>
      </c>
      <c r="B2802" s="3" t="s">
        <v>768</v>
      </c>
      <c r="C2802" s="3">
        <v>7.97</v>
      </c>
      <c r="D2802" s="3">
        <v>1</v>
      </c>
    </row>
    <row r="2803" spans="1:4" ht="12.75" x14ac:dyDescent="0.35">
      <c r="A2803" s="4">
        <v>44916</v>
      </c>
      <c r="B2803" s="3" t="s">
        <v>506</v>
      </c>
      <c r="C2803" s="3">
        <v>7.97</v>
      </c>
      <c r="D2803" s="3">
        <v>9</v>
      </c>
    </row>
    <row r="2804" spans="1:4" ht="12.75" x14ac:dyDescent="0.35">
      <c r="A2804" s="4">
        <v>44916</v>
      </c>
      <c r="B2804" s="3" t="s">
        <v>1874</v>
      </c>
      <c r="C2804" s="3">
        <v>7.92</v>
      </c>
      <c r="D2804" s="3">
        <v>1</v>
      </c>
    </row>
    <row r="2805" spans="1:4" ht="12.75" x14ac:dyDescent="0.35">
      <c r="A2805" s="4">
        <v>44641</v>
      </c>
      <c r="B2805" s="3" t="s">
        <v>720</v>
      </c>
      <c r="C2805" s="3">
        <v>7.89</v>
      </c>
      <c r="D2805" s="3">
        <v>1</v>
      </c>
    </row>
    <row r="2806" spans="1:4" ht="12.75" x14ac:dyDescent="0.35">
      <c r="A2806" s="4">
        <v>44672</v>
      </c>
      <c r="B2806" s="3" t="s">
        <v>78</v>
      </c>
      <c r="C2806" s="3">
        <v>7.89</v>
      </c>
      <c r="D2806" s="3">
        <v>1</v>
      </c>
    </row>
    <row r="2807" spans="1:4" ht="12.75" x14ac:dyDescent="0.35">
      <c r="A2807" s="4">
        <v>44582</v>
      </c>
      <c r="B2807" s="3" t="s">
        <v>341</v>
      </c>
      <c r="C2807" s="3">
        <v>7.85</v>
      </c>
      <c r="D2807" s="3">
        <v>1</v>
      </c>
    </row>
    <row r="2808" spans="1:4" ht="12.75" x14ac:dyDescent="0.35">
      <c r="A2808" s="4">
        <v>44916</v>
      </c>
      <c r="B2808" s="3" t="s">
        <v>553</v>
      </c>
      <c r="C2808" s="3">
        <v>7.85</v>
      </c>
      <c r="D2808" s="3">
        <v>1</v>
      </c>
    </row>
    <row r="2809" spans="1:4" ht="12.75" x14ac:dyDescent="0.35">
      <c r="A2809" s="4">
        <v>44825</v>
      </c>
      <c r="B2809" s="3" t="s">
        <v>1627</v>
      </c>
      <c r="C2809" s="3">
        <v>7.84</v>
      </c>
      <c r="D2809" s="3">
        <v>1</v>
      </c>
    </row>
    <row r="2810" spans="1:4" ht="12.75" x14ac:dyDescent="0.35">
      <c r="A2810" s="4">
        <v>44702</v>
      </c>
      <c r="B2810" s="3" t="s">
        <v>823</v>
      </c>
      <c r="C2810" s="3">
        <v>7.83</v>
      </c>
      <c r="D2810" s="3">
        <v>2</v>
      </c>
    </row>
    <row r="2811" spans="1:4" ht="12.75" x14ac:dyDescent="0.35">
      <c r="A2811" s="4">
        <v>44702</v>
      </c>
      <c r="B2811" s="3" t="s">
        <v>1045</v>
      </c>
      <c r="C2811" s="3">
        <v>7.81</v>
      </c>
      <c r="D2811" s="3">
        <v>2</v>
      </c>
    </row>
    <row r="2812" spans="1:4" ht="12.75" x14ac:dyDescent="0.35">
      <c r="A2812" s="4">
        <v>44613</v>
      </c>
      <c r="B2812" s="3" t="s">
        <v>569</v>
      </c>
      <c r="C2812" s="3">
        <v>7.77</v>
      </c>
      <c r="D2812" s="3">
        <v>2</v>
      </c>
    </row>
    <row r="2813" spans="1:4" ht="12.75" x14ac:dyDescent="0.35">
      <c r="A2813" s="4">
        <v>44641</v>
      </c>
      <c r="B2813" s="3" t="s">
        <v>533</v>
      </c>
      <c r="C2813" s="3">
        <v>7.76</v>
      </c>
      <c r="D2813" s="3">
        <v>1</v>
      </c>
    </row>
    <row r="2814" spans="1:4" ht="12.75" x14ac:dyDescent="0.35">
      <c r="A2814" s="4">
        <v>44855</v>
      </c>
      <c r="B2814" s="3" t="s">
        <v>620</v>
      </c>
      <c r="C2814" s="3">
        <v>7.76</v>
      </c>
      <c r="D2814" s="3">
        <v>4</v>
      </c>
    </row>
    <row r="2815" spans="1:4" ht="12.75" x14ac:dyDescent="0.35">
      <c r="A2815" s="5">
        <v>44733</v>
      </c>
      <c r="B2815" s="3" t="s">
        <v>1404</v>
      </c>
      <c r="C2815" s="3">
        <v>7.74</v>
      </c>
      <c r="D2815" s="3">
        <v>1</v>
      </c>
    </row>
    <row r="2816" spans="1:4" ht="12.75" x14ac:dyDescent="0.35">
      <c r="A2816" s="4">
        <v>44702</v>
      </c>
      <c r="B2816" s="3" t="s">
        <v>994</v>
      </c>
      <c r="C2816" s="3">
        <v>7.73</v>
      </c>
      <c r="D2816" s="3">
        <v>2</v>
      </c>
    </row>
    <row r="2817" spans="1:4" ht="12.75" x14ac:dyDescent="0.35">
      <c r="A2817" s="4">
        <v>44855</v>
      </c>
      <c r="B2817" s="3" t="s">
        <v>995</v>
      </c>
      <c r="C2817" s="3">
        <v>7.7</v>
      </c>
      <c r="D2817" s="3">
        <v>2</v>
      </c>
    </row>
    <row r="2818" spans="1:4" ht="12.75" x14ac:dyDescent="0.35">
      <c r="A2818" s="4">
        <v>44794</v>
      </c>
      <c r="B2818" s="3" t="s">
        <v>1317</v>
      </c>
      <c r="C2818" s="3">
        <v>7.69</v>
      </c>
      <c r="D2818" s="3">
        <v>1</v>
      </c>
    </row>
    <row r="2819" spans="1:4" ht="12.75" x14ac:dyDescent="0.35">
      <c r="A2819" s="4">
        <v>44702</v>
      </c>
      <c r="B2819" s="3" t="s">
        <v>1066</v>
      </c>
      <c r="C2819" s="3">
        <v>7.68</v>
      </c>
      <c r="D2819" s="3">
        <v>1</v>
      </c>
    </row>
    <row r="2820" spans="1:4" ht="12.75" x14ac:dyDescent="0.35">
      <c r="A2820" s="5">
        <v>44733</v>
      </c>
      <c r="B2820" s="3" t="s">
        <v>1450</v>
      </c>
      <c r="C2820" s="3">
        <v>7.67</v>
      </c>
      <c r="D2820" s="3">
        <v>1</v>
      </c>
    </row>
    <row r="2821" spans="1:4" ht="12.75" x14ac:dyDescent="0.35">
      <c r="A2821" s="4">
        <v>44825</v>
      </c>
      <c r="B2821" s="3" t="s">
        <v>1110</v>
      </c>
      <c r="C2821" s="3">
        <v>7.67</v>
      </c>
      <c r="D2821" s="3">
        <v>1</v>
      </c>
    </row>
    <row r="2822" spans="1:4" ht="12.75" x14ac:dyDescent="0.35">
      <c r="A2822" s="4">
        <v>44702</v>
      </c>
      <c r="B2822" s="3" t="s">
        <v>1063</v>
      </c>
      <c r="C2822" s="3">
        <v>7.63</v>
      </c>
      <c r="D2822" s="3">
        <v>1</v>
      </c>
    </row>
    <row r="2823" spans="1:4" ht="12.75" x14ac:dyDescent="0.35">
      <c r="A2823" s="4">
        <v>44916</v>
      </c>
      <c r="B2823" s="3" t="s">
        <v>1006</v>
      </c>
      <c r="C2823" s="3">
        <v>7.63</v>
      </c>
      <c r="D2823" s="3">
        <v>1</v>
      </c>
    </row>
    <row r="2824" spans="1:4" ht="12.75" x14ac:dyDescent="0.35">
      <c r="A2824" s="4">
        <v>44886</v>
      </c>
      <c r="B2824" s="3" t="s">
        <v>1668</v>
      </c>
      <c r="C2824" s="3">
        <v>7.61</v>
      </c>
      <c r="D2824" s="3">
        <v>1</v>
      </c>
    </row>
    <row r="2825" spans="1:4" ht="12.75" x14ac:dyDescent="0.35">
      <c r="A2825" s="4">
        <v>44672</v>
      </c>
      <c r="B2825" s="3" t="s">
        <v>814</v>
      </c>
      <c r="C2825" s="3">
        <v>7.6</v>
      </c>
      <c r="D2825" s="3">
        <v>1</v>
      </c>
    </row>
    <row r="2826" spans="1:4" ht="12.75" x14ac:dyDescent="0.35">
      <c r="A2826" s="5">
        <v>44733</v>
      </c>
      <c r="B2826" s="3" t="s">
        <v>1194</v>
      </c>
      <c r="C2826" s="3">
        <v>7.58</v>
      </c>
      <c r="D2826" s="3">
        <v>1</v>
      </c>
    </row>
    <row r="2827" spans="1:4" ht="12.75" x14ac:dyDescent="0.35">
      <c r="A2827" s="4">
        <v>44641</v>
      </c>
      <c r="B2827" s="3" t="s">
        <v>341</v>
      </c>
      <c r="C2827" s="3">
        <v>7.55</v>
      </c>
      <c r="D2827" s="3">
        <v>1</v>
      </c>
    </row>
    <row r="2828" spans="1:4" ht="12.75" x14ac:dyDescent="0.35">
      <c r="A2828" s="4">
        <v>44582</v>
      </c>
      <c r="B2828" s="3" t="s">
        <v>229</v>
      </c>
      <c r="C2828" s="3">
        <v>7.53</v>
      </c>
      <c r="D2828" s="3">
        <v>1</v>
      </c>
    </row>
    <row r="2829" spans="1:4" ht="12.75" x14ac:dyDescent="0.35">
      <c r="A2829" s="4">
        <v>44825</v>
      </c>
      <c r="B2829" s="3" t="s">
        <v>383</v>
      </c>
      <c r="C2829" s="3">
        <v>7.5</v>
      </c>
      <c r="D2829" s="3">
        <v>1</v>
      </c>
    </row>
    <row r="2830" spans="1:4" ht="12.75" x14ac:dyDescent="0.35">
      <c r="A2830" s="4">
        <v>44613</v>
      </c>
      <c r="B2830" s="3" t="s">
        <v>64</v>
      </c>
      <c r="C2830" s="3">
        <v>7.48</v>
      </c>
      <c r="D2830" s="3">
        <v>1</v>
      </c>
    </row>
    <row r="2831" spans="1:4" ht="12.75" x14ac:dyDescent="0.35">
      <c r="A2831" s="4">
        <v>44855</v>
      </c>
      <c r="B2831" s="3" t="s">
        <v>255</v>
      </c>
      <c r="C2831" s="3">
        <v>7.43</v>
      </c>
      <c r="D2831" s="3">
        <v>1</v>
      </c>
    </row>
    <row r="2832" spans="1:4" ht="12.75" x14ac:dyDescent="0.35">
      <c r="A2832" s="4">
        <v>44702</v>
      </c>
      <c r="B2832" s="3" t="s">
        <v>1118</v>
      </c>
      <c r="C2832" s="3">
        <v>7.41</v>
      </c>
      <c r="D2832" s="3">
        <v>2</v>
      </c>
    </row>
    <row r="2833" spans="1:4" ht="12.75" x14ac:dyDescent="0.35">
      <c r="A2833" s="4">
        <v>44613</v>
      </c>
      <c r="B2833" s="3" t="s">
        <v>554</v>
      </c>
      <c r="C2833" s="3">
        <v>7.34</v>
      </c>
      <c r="D2833" s="3">
        <v>1</v>
      </c>
    </row>
    <row r="2834" spans="1:4" ht="12.75" x14ac:dyDescent="0.35">
      <c r="A2834" s="5">
        <v>44763</v>
      </c>
      <c r="B2834" s="3" t="s">
        <v>535</v>
      </c>
      <c r="C2834" s="3">
        <v>7.34</v>
      </c>
      <c r="D2834" s="3">
        <v>3</v>
      </c>
    </row>
    <row r="2835" spans="1:4" ht="12.75" x14ac:dyDescent="0.35">
      <c r="A2835" s="4">
        <v>44916</v>
      </c>
      <c r="B2835" s="3" t="s">
        <v>1956</v>
      </c>
      <c r="C2835" s="3">
        <v>7.31</v>
      </c>
      <c r="D2835" s="3">
        <v>1</v>
      </c>
    </row>
    <row r="2836" spans="1:4" ht="12.75" x14ac:dyDescent="0.35">
      <c r="A2836" s="4">
        <v>44916</v>
      </c>
      <c r="B2836" s="3" t="s">
        <v>1886</v>
      </c>
      <c r="C2836" s="3">
        <v>7.3</v>
      </c>
      <c r="D2836" s="3">
        <v>1</v>
      </c>
    </row>
    <row r="2837" spans="1:4" ht="12.75" x14ac:dyDescent="0.35">
      <c r="A2837" s="4">
        <v>44672</v>
      </c>
      <c r="B2837" s="3" t="s">
        <v>780</v>
      </c>
      <c r="C2837" s="3">
        <v>7.29</v>
      </c>
      <c r="D2837" s="3">
        <v>2</v>
      </c>
    </row>
    <row r="2838" spans="1:4" ht="12.75" x14ac:dyDescent="0.35">
      <c r="A2838" s="4">
        <v>44825</v>
      </c>
      <c r="B2838" s="3" t="s">
        <v>1475</v>
      </c>
      <c r="C2838" s="3">
        <v>7.26</v>
      </c>
      <c r="D2838" s="3">
        <v>1</v>
      </c>
    </row>
    <row r="2839" spans="1:4" ht="12.75" x14ac:dyDescent="0.35">
      <c r="A2839" s="4">
        <v>44916</v>
      </c>
      <c r="B2839" s="3" t="s">
        <v>1880</v>
      </c>
      <c r="C2839" s="3">
        <v>7.21</v>
      </c>
      <c r="D2839" s="3">
        <v>1</v>
      </c>
    </row>
    <row r="2840" spans="1:4" ht="12.75" x14ac:dyDescent="0.35">
      <c r="A2840" s="4">
        <v>44825</v>
      </c>
      <c r="B2840" s="3" t="s">
        <v>836</v>
      </c>
      <c r="C2840" s="3">
        <v>7.2</v>
      </c>
      <c r="D2840" s="3">
        <v>1</v>
      </c>
    </row>
    <row r="2841" spans="1:4" ht="12.75" x14ac:dyDescent="0.35">
      <c r="A2841" s="4">
        <v>44582</v>
      </c>
      <c r="B2841" s="3" t="s">
        <v>39</v>
      </c>
      <c r="C2841" s="3">
        <v>7.18</v>
      </c>
      <c r="D2841" s="3">
        <v>2</v>
      </c>
    </row>
    <row r="2842" spans="1:4" ht="12.75" x14ac:dyDescent="0.35">
      <c r="A2842" s="4">
        <v>44641</v>
      </c>
      <c r="B2842" s="3" t="s">
        <v>182</v>
      </c>
      <c r="C2842" s="3">
        <v>7.18</v>
      </c>
      <c r="D2842" s="3">
        <v>2</v>
      </c>
    </row>
    <row r="2843" spans="1:4" ht="12.75" x14ac:dyDescent="0.35">
      <c r="A2843" s="4">
        <v>44702</v>
      </c>
      <c r="B2843" s="3" t="s">
        <v>1023</v>
      </c>
      <c r="C2843" s="3">
        <v>7.17</v>
      </c>
      <c r="D2843" s="3">
        <v>1</v>
      </c>
    </row>
    <row r="2844" spans="1:4" ht="12.75" x14ac:dyDescent="0.35">
      <c r="A2844" s="4">
        <v>44886</v>
      </c>
      <c r="B2844" s="3" t="s">
        <v>1735</v>
      </c>
      <c r="C2844" s="3">
        <v>7.17</v>
      </c>
      <c r="D2844" s="3">
        <v>3</v>
      </c>
    </row>
    <row r="2845" spans="1:4" ht="12.75" x14ac:dyDescent="0.35">
      <c r="A2845" s="4">
        <v>44672</v>
      </c>
      <c r="B2845" s="3" t="s">
        <v>821</v>
      </c>
      <c r="C2845" s="3">
        <v>7.16</v>
      </c>
      <c r="D2845" s="3">
        <v>2</v>
      </c>
    </row>
    <row r="2846" spans="1:4" ht="12.75" x14ac:dyDescent="0.35">
      <c r="A2846" s="5">
        <v>44733</v>
      </c>
      <c r="B2846" s="3" t="s">
        <v>864</v>
      </c>
      <c r="C2846" s="3">
        <v>7.16</v>
      </c>
      <c r="D2846" s="3">
        <v>1</v>
      </c>
    </row>
    <row r="2847" spans="1:4" ht="12.75" x14ac:dyDescent="0.35">
      <c r="A2847" s="4">
        <v>44825</v>
      </c>
      <c r="B2847" s="3" t="s">
        <v>594</v>
      </c>
      <c r="C2847" s="3">
        <v>7.15</v>
      </c>
      <c r="D2847" s="3">
        <v>4</v>
      </c>
    </row>
    <row r="2848" spans="1:4" ht="12.75" x14ac:dyDescent="0.35">
      <c r="A2848" s="5">
        <v>44733</v>
      </c>
      <c r="B2848" s="3" t="s">
        <v>878</v>
      </c>
      <c r="C2848" s="3">
        <v>7.11</v>
      </c>
      <c r="D2848" s="3">
        <v>1</v>
      </c>
    </row>
    <row r="2849" spans="1:4" ht="12.75" x14ac:dyDescent="0.35">
      <c r="A2849" s="4">
        <v>44825</v>
      </c>
      <c r="B2849" s="3" t="s">
        <v>131</v>
      </c>
      <c r="C2849" s="3">
        <v>7.07</v>
      </c>
      <c r="D2849" s="3">
        <v>6</v>
      </c>
    </row>
    <row r="2850" spans="1:4" ht="12.75" x14ac:dyDescent="0.35">
      <c r="A2850" s="4">
        <v>44641</v>
      </c>
      <c r="B2850" s="3" t="s">
        <v>299</v>
      </c>
      <c r="C2850" s="3">
        <v>7.06</v>
      </c>
      <c r="D2850" s="3">
        <v>2</v>
      </c>
    </row>
    <row r="2851" spans="1:4" ht="12.75" x14ac:dyDescent="0.35">
      <c r="A2851" s="5">
        <v>44733</v>
      </c>
      <c r="B2851" s="3" t="s">
        <v>1061</v>
      </c>
      <c r="C2851" s="3">
        <v>7.04</v>
      </c>
      <c r="D2851" s="3">
        <v>1</v>
      </c>
    </row>
    <row r="2852" spans="1:4" ht="12.75" x14ac:dyDescent="0.35">
      <c r="A2852" s="4">
        <v>44794</v>
      </c>
      <c r="B2852" s="3" t="s">
        <v>1728</v>
      </c>
      <c r="C2852" s="3">
        <v>7.04</v>
      </c>
      <c r="D2852" s="3">
        <v>1</v>
      </c>
    </row>
    <row r="2853" spans="1:4" ht="12.75" x14ac:dyDescent="0.35">
      <c r="A2853" s="4">
        <v>44702</v>
      </c>
      <c r="B2853" s="3" t="s">
        <v>178</v>
      </c>
      <c r="C2853" s="3">
        <v>7.03</v>
      </c>
      <c r="D2853" s="3">
        <v>1</v>
      </c>
    </row>
    <row r="2854" spans="1:4" ht="12.75" x14ac:dyDescent="0.35">
      <c r="A2854" s="4">
        <v>44825</v>
      </c>
      <c r="B2854" s="3" t="s">
        <v>1794</v>
      </c>
      <c r="C2854" s="3">
        <v>7.02</v>
      </c>
      <c r="D2854" s="3">
        <v>1</v>
      </c>
    </row>
    <row r="2855" spans="1:4" ht="12.75" x14ac:dyDescent="0.35">
      <c r="A2855" s="4">
        <v>44641</v>
      </c>
      <c r="B2855" s="3" t="s">
        <v>161</v>
      </c>
      <c r="C2855" s="3">
        <v>7.01</v>
      </c>
      <c r="D2855" s="3">
        <v>2</v>
      </c>
    </row>
    <row r="2856" spans="1:4" ht="12.75" x14ac:dyDescent="0.35">
      <c r="A2856" s="5">
        <v>44733</v>
      </c>
      <c r="B2856" s="3" t="s">
        <v>1245</v>
      </c>
      <c r="C2856" s="3">
        <v>7.01</v>
      </c>
      <c r="D2856" s="3">
        <v>1</v>
      </c>
    </row>
    <row r="2857" spans="1:4" ht="12.75" x14ac:dyDescent="0.35">
      <c r="A2857" s="4">
        <v>44855</v>
      </c>
      <c r="B2857" s="3" t="s">
        <v>302</v>
      </c>
      <c r="C2857" s="3">
        <v>7.01</v>
      </c>
      <c r="D2857" s="3">
        <v>1</v>
      </c>
    </row>
    <row r="2858" spans="1:4" ht="12.75" x14ac:dyDescent="0.35">
      <c r="A2858" s="4">
        <v>44916</v>
      </c>
      <c r="B2858" s="3" t="s">
        <v>1808</v>
      </c>
      <c r="C2858" s="3">
        <v>7.01</v>
      </c>
      <c r="D2858" s="3">
        <v>1</v>
      </c>
    </row>
    <row r="2859" spans="1:4" ht="12.75" x14ac:dyDescent="0.35">
      <c r="A2859" s="4">
        <v>44672</v>
      </c>
      <c r="B2859" s="3" t="s">
        <v>818</v>
      </c>
      <c r="C2859" s="3">
        <v>7</v>
      </c>
      <c r="D2859" s="3">
        <v>2</v>
      </c>
    </row>
    <row r="2860" spans="1:4" ht="12.75" x14ac:dyDescent="0.35">
      <c r="A2860" s="5">
        <v>44733</v>
      </c>
      <c r="B2860" s="3" t="s">
        <v>996</v>
      </c>
      <c r="C2860" s="3">
        <v>7</v>
      </c>
      <c r="D2860" s="3">
        <v>1</v>
      </c>
    </row>
    <row r="2861" spans="1:4" ht="12.75" x14ac:dyDescent="0.35">
      <c r="A2861" s="4">
        <v>44582</v>
      </c>
      <c r="B2861" s="3" t="s">
        <v>381</v>
      </c>
      <c r="C2861" s="3">
        <v>6.99</v>
      </c>
      <c r="D2861" s="3">
        <v>1</v>
      </c>
    </row>
    <row r="2862" spans="1:4" ht="12.75" x14ac:dyDescent="0.35">
      <c r="A2862" s="4">
        <v>44855</v>
      </c>
      <c r="B2862" s="3" t="s">
        <v>192</v>
      </c>
      <c r="C2862" s="3">
        <v>6.98</v>
      </c>
      <c r="D2862" s="3">
        <v>1</v>
      </c>
    </row>
    <row r="2863" spans="1:4" ht="12.75" x14ac:dyDescent="0.35">
      <c r="A2863" s="4">
        <v>44641</v>
      </c>
      <c r="B2863" s="3" t="s">
        <v>71</v>
      </c>
      <c r="C2863" s="3">
        <v>6.97</v>
      </c>
      <c r="D2863" s="3">
        <v>1</v>
      </c>
    </row>
    <row r="2864" spans="1:4" ht="12.75" x14ac:dyDescent="0.35">
      <c r="A2864" s="4">
        <v>44886</v>
      </c>
      <c r="B2864" s="3" t="s">
        <v>419</v>
      </c>
      <c r="C2864" s="3">
        <v>6.96</v>
      </c>
      <c r="D2864" s="3">
        <v>3</v>
      </c>
    </row>
    <row r="2865" spans="1:4" ht="12.75" x14ac:dyDescent="0.35">
      <c r="A2865" s="4">
        <v>44582</v>
      </c>
      <c r="B2865" s="3" t="s">
        <v>275</v>
      </c>
      <c r="C2865" s="3">
        <v>6.94</v>
      </c>
      <c r="D2865" s="3">
        <v>1</v>
      </c>
    </row>
    <row r="2866" spans="1:4" ht="12.75" x14ac:dyDescent="0.35">
      <c r="A2866" s="4">
        <v>44672</v>
      </c>
      <c r="B2866" s="3" t="s">
        <v>600</v>
      </c>
      <c r="C2866" s="3">
        <v>6.92</v>
      </c>
      <c r="D2866" s="3">
        <v>1</v>
      </c>
    </row>
    <row r="2867" spans="1:4" ht="12.75" x14ac:dyDescent="0.35">
      <c r="A2867" s="5">
        <v>44733</v>
      </c>
      <c r="B2867" s="3" t="s">
        <v>194</v>
      </c>
      <c r="C2867" s="3">
        <v>6.88</v>
      </c>
      <c r="D2867" s="3">
        <v>6</v>
      </c>
    </row>
    <row r="2868" spans="1:4" ht="12.75" x14ac:dyDescent="0.35">
      <c r="A2868" s="4">
        <v>44702</v>
      </c>
      <c r="B2868" s="3" t="s">
        <v>607</v>
      </c>
      <c r="C2868" s="3">
        <v>6.86</v>
      </c>
      <c r="D2868" s="3">
        <v>1</v>
      </c>
    </row>
    <row r="2869" spans="1:4" ht="12.75" x14ac:dyDescent="0.35">
      <c r="A2869" s="4">
        <v>44916</v>
      </c>
      <c r="B2869" s="3" t="s">
        <v>592</v>
      </c>
      <c r="C2869" s="3">
        <v>6.86</v>
      </c>
      <c r="D2869" s="3">
        <v>1</v>
      </c>
    </row>
    <row r="2870" spans="1:4" ht="12.75" x14ac:dyDescent="0.35">
      <c r="A2870" s="5">
        <v>44763</v>
      </c>
      <c r="B2870" s="3" t="s">
        <v>492</v>
      </c>
      <c r="C2870" s="3">
        <v>6.84</v>
      </c>
      <c r="D2870" s="3">
        <v>1</v>
      </c>
    </row>
    <row r="2871" spans="1:4" ht="12.75" x14ac:dyDescent="0.35">
      <c r="A2871" s="4">
        <v>44641</v>
      </c>
      <c r="B2871" s="3" t="s">
        <v>678</v>
      </c>
      <c r="C2871" s="3">
        <v>6.83</v>
      </c>
      <c r="D2871" s="3">
        <v>1</v>
      </c>
    </row>
    <row r="2872" spans="1:4" ht="12.75" x14ac:dyDescent="0.35">
      <c r="A2872" s="5">
        <v>44733</v>
      </c>
      <c r="B2872" s="3" t="s">
        <v>1257</v>
      </c>
      <c r="C2872" s="3">
        <v>6.81</v>
      </c>
      <c r="D2872" s="3">
        <v>1</v>
      </c>
    </row>
    <row r="2873" spans="1:4" ht="12.75" x14ac:dyDescent="0.35">
      <c r="A2873" s="4">
        <v>44855</v>
      </c>
      <c r="B2873" s="3" t="s">
        <v>75</v>
      </c>
      <c r="C2873" s="3">
        <v>6.8</v>
      </c>
      <c r="D2873" s="3">
        <v>6</v>
      </c>
    </row>
    <row r="2874" spans="1:4" ht="12.75" x14ac:dyDescent="0.35">
      <c r="A2874" s="4">
        <v>44886</v>
      </c>
      <c r="B2874" s="3" t="s">
        <v>451</v>
      </c>
      <c r="C2874" s="3">
        <v>6.77</v>
      </c>
      <c r="D2874" s="3">
        <v>1</v>
      </c>
    </row>
    <row r="2875" spans="1:4" ht="12.75" x14ac:dyDescent="0.35">
      <c r="A2875" s="5">
        <v>44733</v>
      </c>
      <c r="B2875" s="3" t="s">
        <v>294</v>
      </c>
      <c r="C2875" s="3">
        <v>6.76</v>
      </c>
      <c r="D2875" s="3">
        <v>1</v>
      </c>
    </row>
    <row r="2876" spans="1:4" ht="12.75" x14ac:dyDescent="0.35">
      <c r="A2876" s="4">
        <v>44794</v>
      </c>
      <c r="B2876" s="3" t="s">
        <v>666</v>
      </c>
      <c r="C2876" s="3">
        <v>6.75</v>
      </c>
      <c r="D2876" s="3">
        <v>1</v>
      </c>
    </row>
    <row r="2877" spans="1:4" ht="12.75" x14ac:dyDescent="0.35">
      <c r="A2877" s="5">
        <v>44733</v>
      </c>
      <c r="B2877" s="3" t="s">
        <v>1361</v>
      </c>
      <c r="C2877" s="3">
        <v>6.74</v>
      </c>
      <c r="D2877" s="3">
        <v>1</v>
      </c>
    </row>
    <row r="2878" spans="1:4" ht="12.75" x14ac:dyDescent="0.35">
      <c r="A2878" s="4">
        <v>44916</v>
      </c>
      <c r="B2878" s="3" t="s">
        <v>1947</v>
      </c>
      <c r="C2878" s="3">
        <v>6.72</v>
      </c>
      <c r="D2878" s="3">
        <v>1</v>
      </c>
    </row>
    <row r="2879" spans="1:4" ht="12.75" x14ac:dyDescent="0.35">
      <c r="A2879" s="4">
        <v>44613</v>
      </c>
      <c r="B2879" s="3" t="s">
        <v>72</v>
      </c>
      <c r="C2879" s="3">
        <v>6.71</v>
      </c>
      <c r="D2879" s="3">
        <v>1</v>
      </c>
    </row>
    <row r="2880" spans="1:4" ht="12.75" x14ac:dyDescent="0.35">
      <c r="A2880" s="5">
        <v>44733</v>
      </c>
      <c r="B2880" s="3" t="s">
        <v>1043</v>
      </c>
      <c r="C2880" s="3">
        <v>6.71</v>
      </c>
      <c r="D2880" s="3">
        <v>1</v>
      </c>
    </row>
    <row r="2881" spans="1:4" ht="12.75" x14ac:dyDescent="0.35">
      <c r="A2881" s="5">
        <v>44733</v>
      </c>
      <c r="B2881" s="3" t="s">
        <v>1343</v>
      </c>
      <c r="C2881" s="3">
        <v>6.69</v>
      </c>
      <c r="D2881" s="3">
        <v>1</v>
      </c>
    </row>
    <row r="2882" spans="1:4" ht="12.75" x14ac:dyDescent="0.35">
      <c r="A2882" s="4">
        <v>44886</v>
      </c>
      <c r="B2882" s="3" t="s">
        <v>583</v>
      </c>
      <c r="C2882" s="3">
        <v>6.69</v>
      </c>
      <c r="D2882" s="3">
        <v>1</v>
      </c>
    </row>
    <row r="2883" spans="1:4" ht="12.75" x14ac:dyDescent="0.35">
      <c r="A2883" s="4">
        <v>44641</v>
      </c>
      <c r="B2883" s="3" t="s">
        <v>758</v>
      </c>
      <c r="C2883" s="3">
        <v>6.68</v>
      </c>
      <c r="D2883" s="3">
        <v>1</v>
      </c>
    </row>
    <row r="2884" spans="1:4" ht="12.75" x14ac:dyDescent="0.35">
      <c r="A2884" s="4">
        <v>44702</v>
      </c>
      <c r="B2884" s="3" t="s">
        <v>639</v>
      </c>
      <c r="C2884" s="3">
        <v>6.67</v>
      </c>
      <c r="D2884" s="3">
        <v>1</v>
      </c>
    </row>
    <row r="2885" spans="1:4" ht="12.75" x14ac:dyDescent="0.35">
      <c r="A2885" s="4">
        <v>44794</v>
      </c>
      <c r="B2885" s="3" t="s">
        <v>258</v>
      </c>
      <c r="C2885" s="3">
        <v>6.63</v>
      </c>
      <c r="D2885" s="3">
        <v>2</v>
      </c>
    </row>
    <row r="2886" spans="1:4" ht="12.75" x14ac:dyDescent="0.35">
      <c r="A2886" s="5">
        <v>44763</v>
      </c>
      <c r="B2886" s="3" t="s">
        <v>155</v>
      </c>
      <c r="C2886" s="3">
        <v>6.62</v>
      </c>
      <c r="D2886" s="3">
        <v>1</v>
      </c>
    </row>
    <row r="2887" spans="1:4" ht="12.75" x14ac:dyDescent="0.35">
      <c r="A2887" s="4">
        <v>44825</v>
      </c>
      <c r="B2887" s="3" t="s">
        <v>1777</v>
      </c>
      <c r="C2887" s="3">
        <v>6.62</v>
      </c>
      <c r="D2887" s="3">
        <v>2</v>
      </c>
    </row>
    <row r="2888" spans="1:4" ht="12.75" x14ac:dyDescent="0.35">
      <c r="A2888" s="4">
        <v>44582</v>
      </c>
      <c r="B2888" s="3" t="s">
        <v>197</v>
      </c>
      <c r="C2888" s="3">
        <v>6.6</v>
      </c>
      <c r="D2888" s="3">
        <v>1</v>
      </c>
    </row>
    <row r="2889" spans="1:4" ht="12.75" x14ac:dyDescent="0.35">
      <c r="A2889" s="4">
        <v>44641</v>
      </c>
      <c r="B2889" s="3" t="s">
        <v>556</v>
      </c>
      <c r="C2889" s="3">
        <v>6.54</v>
      </c>
      <c r="D2889" s="3">
        <v>2</v>
      </c>
    </row>
    <row r="2890" spans="1:4" ht="12.75" x14ac:dyDescent="0.35">
      <c r="A2890" s="4">
        <v>44702</v>
      </c>
      <c r="B2890" s="3" t="s">
        <v>925</v>
      </c>
      <c r="C2890" s="3">
        <v>6.53</v>
      </c>
      <c r="D2890" s="3">
        <v>1</v>
      </c>
    </row>
    <row r="2891" spans="1:4" ht="12.75" x14ac:dyDescent="0.35">
      <c r="A2891" s="4">
        <v>44672</v>
      </c>
      <c r="B2891" s="3" t="s">
        <v>562</v>
      </c>
      <c r="C2891" s="3">
        <v>6.51</v>
      </c>
      <c r="D2891" s="3">
        <v>1</v>
      </c>
    </row>
    <row r="2892" spans="1:4" ht="12.75" x14ac:dyDescent="0.35">
      <c r="A2892" s="4">
        <v>44613</v>
      </c>
      <c r="B2892" s="3" t="s">
        <v>129</v>
      </c>
      <c r="C2892" s="3">
        <v>6.49</v>
      </c>
      <c r="D2892" s="3">
        <v>1</v>
      </c>
    </row>
    <row r="2893" spans="1:4" ht="12.75" x14ac:dyDescent="0.35">
      <c r="A2893" s="4">
        <v>44916</v>
      </c>
      <c r="B2893" s="3" t="s">
        <v>1217</v>
      </c>
      <c r="C2893" s="3">
        <v>6.49</v>
      </c>
      <c r="D2893" s="3">
        <v>1</v>
      </c>
    </row>
    <row r="2894" spans="1:4" ht="12.75" x14ac:dyDescent="0.35">
      <c r="A2894" s="4">
        <v>44582</v>
      </c>
      <c r="B2894" s="3" t="s">
        <v>146</v>
      </c>
      <c r="C2894" s="3">
        <v>6.48</v>
      </c>
      <c r="D2894" s="3">
        <v>1</v>
      </c>
    </row>
    <row r="2895" spans="1:4" ht="12.75" x14ac:dyDescent="0.35">
      <c r="A2895" s="4">
        <v>44855</v>
      </c>
      <c r="B2895" s="3" t="s">
        <v>1735</v>
      </c>
      <c r="C2895" s="3">
        <v>6.46</v>
      </c>
      <c r="D2895" s="3">
        <v>3</v>
      </c>
    </row>
    <row r="2896" spans="1:4" ht="12.75" x14ac:dyDescent="0.35">
      <c r="A2896" s="4">
        <v>44886</v>
      </c>
      <c r="B2896" s="3" t="s">
        <v>141</v>
      </c>
      <c r="C2896" s="3">
        <v>6.46</v>
      </c>
      <c r="D2896" s="3">
        <v>3</v>
      </c>
    </row>
    <row r="2897" spans="1:4" ht="12.75" x14ac:dyDescent="0.35">
      <c r="A2897" s="5">
        <v>44733</v>
      </c>
      <c r="B2897" s="3" t="s">
        <v>319</v>
      </c>
      <c r="C2897" s="3">
        <v>6.45</v>
      </c>
      <c r="D2897" s="3">
        <v>1</v>
      </c>
    </row>
    <row r="2898" spans="1:4" ht="12.75" x14ac:dyDescent="0.35">
      <c r="A2898" s="4">
        <v>44825</v>
      </c>
      <c r="B2898" s="3" t="s">
        <v>1488</v>
      </c>
      <c r="C2898" s="3">
        <v>6.45</v>
      </c>
      <c r="D2898" s="3">
        <v>1</v>
      </c>
    </row>
    <row r="2899" spans="1:4" ht="12.75" x14ac:dyDescent="0.35">
      <c r="A2899" s="4">
        <v>44916</v>
      </c>
      <c r="B2899" s="3" t="s">
        <v>1844</v>
      </c>
      <c r="C2899" s="3">
        <v>6.45</v>
      </c>
      <c r="D2899" s="3">
        <v>1</v>
      </c>
    </row>
    <row r="2900" spans="1:4" ht="12.75" x14ac:dyDescent="0.35">
      <c r="A2900" s="4">
        <v>44672</v>
      </c>
      <c r="B2900" s="3" t="s">
        <v>386</v>
      </c>
      <c r="C2900" s="3">
        <v>6.43</v>
      </c>
      <c r="D2900" s="3">
        <v>1</v>
      </c>
    </row>
    <row r="2901" spans="1:4" ht="12.75" x14ac:dyDescent="0.35">
      <c r="A2901" s="4">
        <v>44702</v>
      </c>
      <c r="B2901" s="3" t="s">
        <v>1104</v>
      </c>
      <c r="C2901" s="3">
        <v>6.43</v>
      </c>
      <c r="D2901" s="3">
        <v>1</v>
      </c>
    </row>
    <row r="2902" spans="1:4" ht="12.75" x14ac:dyDescent="0.35">
      <c r="A2902" s="5">
        <v>44733</v>
      </c>
      <c r="B2902" s="3" t="s">
        <v>916</v>
      </c>
      <c r="C2902" s="3">
        <v>6.42</v>
      </c>
      <c r="D2902" s="3">
        <v>1</v>
      </c>
    </row>
    <row r="2903" spans="1:4" ht="12.75" x14ac:dyDescent="0.35">
      <c r="A2903" s="5">
        <v>44733</v>
      </c>
      <c r="B2903" s="3" t="s">
        <v>1292</v>
      </c>
      <c r="C2903" s="3">
        <v>6.42</v>
      </c>
      <c r="D2903" s="3">
        <v>1</v>
      </c>
    </row>
    <row r="2904" spans="1:4" ht="12.75" x14ac:dyDescent="0.35">
      <c r="A2904" s="4">
        <v>44794</v>
      </c>
      <c r="B2904" s="3" t="s">
        <v>557</v>
      </c>
      <c r="C2904" s="3">
        <v>6.42</v>
      </c>
      <c r="D2904" s="3">
        <v>3</v>
      </c>
    </row>
    <row r="2905" spans="1:4" ht="12.75" x14ac:dyDescent="0.35">
      <c r="A2905" s="4">
        <v>44886</v>
      </c>
      <c r="B2905" s="3" t="s">
        <v>726</v>
      </c>
      <c r="C2905" s="3">
        <v>6.42</v>
      </c>
      <c r="D2905" s="3">
        <v>4</v>
      </c>
    </row>
    <row r="2906" spans="1:4" ht="12.75" x14ac:dyDescent="0.35">
      <c r="A2906" s="5">
        <v>44733</v>
      </c>
      <c r="B2906" s="3" t="s">
        <v>797</v>
      </c>
      <c r="C2906" s="3">
        <v>6.35</v>
      </c>
      <c r="D2906" s="3">
        <v>1</v>
      </c>
    </row>
    <row r="2907" spans="1:4" ht="12.75" x14ac:dyDescent="0.35">
      <c r="A2907" s="4">
        <v>44794</v>
      </c>
      <c r="B2907" s="3" t="s">
        <v>29</v>
      </c>
      <c r="C2907" s="3">
        <v>6.35</v>
      </c>
      <c r="D2907" s="3">
        <v>1</v>
      </c>
    </row>
    <row r="2908" spans="1:4" ht="12.75" x14ac:dyDescent="0.35">
      <c r="A2908" s="4">
        <v>44886</v>
      </c>
      <c r="B2908" s="3" t="s">
        <v>104</v>
      </c>
      <c r="C2908" s="3">
        <v>6.34</v>
      </c>
      <c r="D2908" s="3">
        <v>1</v>
      </c>
    </row>
    <row r="2909" spans="1:4" ht="12.75" x14ac:dyDescent="0.35">
      <c r="A2909" s="5">
        <v>44733</v>
      </c>
      <c r="B2909" s="3" t="s">
        <v>1184</v>
      </c>
      <c r="C2909" s="3">
        <v>6.33</v>
      </c>
      <c r="D2909" s="3">
        <v>1</v>
      </c>
    </row>
    <row r="2910" spans="1:4" ht="12.75" x14ac:dyDescent="0.35">
      <c r="A2910" s="4">
        <v>44641</v>
      </c>
      <c r="B2910" s="3" t="s">
        <v>561</v>
      </c>
      <c r="C2910" s="3">
        <v>6.32</v>
      </c>
      <c r="D2910" s="3">
        <v>1</v>
      </c>
    </row>
    <row r="2911" spans="1:4" ht="12.75" x14ac:dyDescent="0.35">
      <c r="A2911" s="5">
        <v>44733</v>
      </c>
      <c r="B2911" s="3" t="s">
        <v>1285</v>
      </c>
      <c r="C2911" s="3">
        <v>6.32</v>
      </c>
      <c r="D2911" s="3">
        <v>1</v>
      </c>
    </row>
    <row r="2912" spans="1:4" ht="12.75" x14ac:dyDescent="0.35">
      <c r="A2912" s="5">
        <v>44733</v>
      </c>
      <c r="B2912" s="3" t="s">
        <v>1227</v>
      </c>
      <c r="C2912" s="3">
        <v>6.3</v>
      </c>
      <c r="D2912" s="3">
        <v>2</v>
      </c>
    </row>
    <row r="2913" spans="1:4" ht="12.75" x14ac:dyDescent="0.35">
      <c r="A2913" s="4">
        <v>44582</v>
      </c>
      <c r="B2913" s="3" t="s">
        <v>154</v>
      </c>
      <c r="C2913" s="3">
        <v>6.28</v>
      </c>
      <c r="D2913" s="3">
        <v>2</v>
      </c>
    </row>
    <row r="2914" spans="1:4" ht="12.75" x14ac:dyDescent="0.35">
      <c r="A2914" s="5">
        <v>44733</v>
      </c>
      <c r="B2914" s="3" t="s">
        <v>1389</v>
      </c>
      <c r="C2914" s="3">
        <v>6.28</v>
      </c>
      <c r="D2914" s="3">
        <v>2</v>
      </c>
    </row>
    <row r="2915" spans="1:4" ht="12.75" x14ac:dyDescent="0.35">
      <c r="A2915" s="5">
        <v>44763</v>
      </c>
      <c r="B2915" s="3" t="s">
        <v>594</v>
      </c>
      <c r="C2915" s="3">
        <v>6.28</v>
      </c>
      <c r="D2915" s="3">
        <v>4</v>
      </c>
    </row>
    <row r="2916" spans="1:4" ht="12.75" x14ac:dyDescent="0.35">
      <c r="A2916" s="4">
        <v>44916</v>
      </c>
      <c r="B2916" s="3" t="s">
        <v>1535</v>
      </c>
      <c r="C2916" s="3">
        <v>6.28</v>
      </c>
      <c r="D2916" s="3">
        <v>1</v>
      </c>
    </row>
    <row r="2917" spans="1:4" ht="12.75" x14ac:dyDescent="0.35">
      <c r="A2917" s="4">
        <v>44886</v>
      </c>
      <c r="B2917" s="3" t="s">
        <v>553</v>
      </c>
      <c r="C2917" s="3">
        <v>6.27</v>
      </c>
      <c r="D2917" s="3">
        <v>1</v>
      </c>
    </row>
    <row r="2918" spans="1:4" ht="12.75" x14ac:dyDescent="0.35">
      <c r="A2918" s="5">
        <v>44733</v>
      </c>
      <c r="B2918" s="3" t="s">
        <v>1393</v>
      </c>
      <c r="C2918" s="3">
        <v>6.26</v>
      </c>
      <c r="D2918" s="3">
        <v>1</v>
      </c>
    </row>
    <row r="2919" spans="1:4" ht="12.75" x14ac:dyDescent="0.35">
      <c r="A2919" s="5">
        <v>44733</v>
      </c>
      <c r="B2919" s="3" t="s">
        <v>1400</v>
      </c>
      <c r="C2919" s="3">
        <v>6.25</v>
      </c>
      <c r="D2919" s="3">
        <v>1</v>
      </c>
    </row>
    <row r="2920" spans="1:4" ht="12.75" x14ac:dyDescent="0.35">
      <c r="A2920" s="4">
        <v>44641</v>
      </c>
      <c r="B2920" s="3" t="s">
        <v>646</v>
      </c>
      <c r="C2920" s="3">
        <v>6.24</v>
      </c>
      <c r="D2920" s="3">
        <v>1</v>
      </c>
    </row>
    <row r="2921" spans="1:4" ht="12.75" x14ac:dyDescent="0.35">
      <c r="A2921" s="4">
        <v>44702</v>
      </c>
      <c r="B2921" s="3" t="s">
        <v>1119</v>
      </c>
      <c r="C2921" s="3">
        <v>6.24</v>
      </c>
      <c r="D2921" s="3">
        <v>1</v>
      </c>
    </row>
    <row r="2922" spans="1:4" ht="12.75" x14ac:dyDescent="0.35">
      <c r="A2922" s="4">
        <v>44672</v>
      </c>
      <c r="B2922" s="3" t="s">
        <v>408</v>
      </c>
      <c r="C2922" s="3">
        <v>6.23</v>
      </c>
      <c r="D2922" s="3">
        <v>1</v>
      </c>
    </row>
    <row r="2923" spans="1:4" ht="12.75" x14ac:dyDescent="0.35">
      <c r="A2923" s="5">
        <v>44733</v>
      </c>
      <c r="B2923" s="3" t="s">
        <v>1463</v>
      </c>
      <c r="C2923" s="3">
        <v>6.2</v>
      </c>
      <c r="D2923" s="3">
        <v>1</v>
      </c>
    </row>
    <row r="2924" spans="1:4" ht="12.75" x14ac:dyDescent="0.35">
      <c r="A2924" s="4">
        <v>44794</v>
      </c>
      <c r="B2924" s="3" t="s">
        <v>1674</v>
      </c>
      <c r="C2924" s="3">
        <v>6.2</v>
      </c>
      <c r="D2924" s="3">
        <v>1</v>
      </c>
    </row>
    <row r="2925" spans="1:4" ht="12.75" x14ac:dyDescent="0.35">
      <c r="A2925" s="5">
        <v>44733</v>
      </c>
      <c r="B2925" s="3" t="s">
        <v>789</v>
      </c>
      <c r="C2925" s="3">
        <v>6.19</v>
      </c>
      <c r="D2925" s="3">
        <v>3</v>
      </c>
    </row>
    <row r="2926" spans="1:4" ht="12.75" x14ac:dyDescent="0.35">
      <c r="A2926" s="4">
        <v>44613</v>
      </c>
      <c r="B2926" s="3" t="s">
        <v>402</v>
      </c>
      <c r="C2926" s="3">
        <v>6.18</v>
      </c>
      <c r="D2926" s="3">
        <v>1</v>
      </c>
    </row>
    <row r="2927" spans="1:4" ht="12.75" x14ac:dyDescent="0.35">
      <c r="A2927" s="4">
        <v>44702</v>
      </c>
      <c r="B2927" s="3" t="s">
        <v>31</v>
      </c>
      <c r="C2927" s="3">
        <v>6.18</v>
      </c>
      <c r="D2927" s="3">
        <v>1</v>
      </c>
    </row>
    <row r="2928" spans="1:4" ht="12.75" x14ac:dyDescent="0.35">
      <c r="A2928" s="5">
        <v>44763</v>
      </c>
      <c r="B2928" s="3" t="s">
        <v>688</v>
      </c>
      <c r="C2928" s="3">
        <v>6.18</v>
      </c>
      <c r="D2928" s="3">
        <v>4</v>
      </c>
    </row>
    <row r="2929" spans="1:4" ht="12.75" x14ac:dyDescent="0.35">
      <c r="A2929" s="4">
        <v>44916</v>
      </c>
      <c r="B2929" s="3" t="s">
        <v>1004</v>
      </c>
      <c r="C2929" s="3">
        <v>6.17</v>
      </c>
      <c r="D2929" s="3">
        <v>2</v>
      </c>
    </row>
    <row r="2930" spans="1:4" ht="12.75" x14ac:dyDescent="0.35">
      <c r="A2930" s="5">
        <v>44763</v>
      </c>
      <c r="B2930" s="3" t="s">
        <v>1235</v>
      </c>
      <c r="C2930" s="3">
        <v>6.16</v>
      </c>
      <c r="D2930" s="3">
        <v>2</v>
      </c>
    </row>
    <row r="2931" spans="1:4" ht="12.75" x14ac:dyDescent="0.35">
      <c r="A2931" s="4">
        <v>44825</v>
      </c>
      <c r="B2931" s="3" t="s">
        <v>1028</v>
      </c>
      <c r="C2931" s="3">
        <v>6.15</v>
      </c>
      <c r="D2931" s="3">
        <v>1</v>
      </c>
    </row>
    <row r="2932" spans="1:4" ht="12.75" x14ac:dyDescent="0.35">
      <c r="A2932" s="4">
        <v>44825</v>
      </c>
      <c r="B2932" s="3" t="s">
        <v>1769</v>
      </c>
      <c r="C2932" s="3">
        <v>6.14</v>
      </c>
      <c r="D2932" s="3">
        <v>1</v>
      </c>
    </row>
    <row r="2933" spans="1:4" ht="12.75" x14ac:dyDescent="0.35">
      <c r="A2933" s="4">
        <v>44916</v>
      </c>
      <c r="B2933" s="3" t="s">
        <v>1594</v>
      </c>
      <c r="C2933" s="3">
        <v>6.14</v>
      </c>
      <c r="D2933" s="3">
        <v>2</v>
      </c>
    </row>
    <row r="2934" spans="1:4" ht="12.75" x14ac:dyDescent="0.35">
      <c r="A2934" s="4">
        <v>44582</v>
      </c>
      <c r="B2934" s="3" t="s">
        <v>235</v>
      </c>
      <c r="C2934" s="3">
        <v>6.13</v>
      </c>
      <c r="D2934" s="3">
        <v>1</v>
      </c>
    </row>
    <row r="2935" spans="1:4" ht="12.75" x14ac:dyDescent="0.35">
      <c r="A2935" s="4">
        <v>44702</v>
      </c>
      <c r="B2935" s="3" t="s">
        <v>866</v>
      </c>
      <c r="C2935" s="3">
        <v>6.12</v>
      </c>
      <c r="D2935" s="3">
        <v>1</v>
      </c>
    </row>
    <row r="2936" spans="1:4" ht="12.75" x14ac:dyDescent="0.35">
      <c r="A2936" s="4">
        <v>44886</v>
      </c>
      <c r="B2936" s="3" t="s">
        <v>75</v>
      </c>
      <c r="C2936" s="3">
        <v>6.12</v>
      </c>
      <c r="D2936" s="3">
        <v>6</v>
      </c>
    </row>
    <row r="2937" spans="1:4" ht="12.75" x14ac:dyDescent="0.35">
      <c r="A2937" s="4">
        <v>44641</v>
      </c>
      <c r="B2937" s="3" t="s">
        <v>619</v>
      </c>
      <c r="C2937" s="3">
        <v>6.11</v>
      </c>
      <c r="D2937" s="3">
        <v>1</v>
      </c>
    </row>
    <row r="2938" spans="1:4" ht="12.75" x14ac:dyDescent="0.35">
      <c r="A2938" s="4">
        <v>44794</v>
      </c>
      <c r="B2938" s="3" t="s">
        <v>1594</v>
      </c>
      <c r="C2938" s="3">
        <v>6.11</v>
      </c>
      <c r="D2938" s="3">
        <v>2</v>
      </c>
    </row>
    <row r="2939" spans="1:4" ht="12.75" x14ac:dyDescent="0.35">
      <c r="A2939" s="4">
        <v>44672</v>
      </c>
      <c r="B2939" s="3" t="s">
        <v>356</v>
      </c>
      <c r="C2939" s="3">
        <v>6.1</v>
      </c>
      <c r="D2939" s="3">
        <v>2</v>
      </c>
    </row>
    <row r="2940" spans="1:4" ht="12.75" x14ac:dyDescent="0.35">
      <c r="A2940" s="4">
        <v>44641</v>
      </c>
      <c r="B2940" s="3" t="s">
        <v>148</v>
      </c>
      <c r="C2940" s="3">
        <v>6.08</v>
      </c>
      <c r="D2940" s="3">
        <v>1</v>
      </c>
    </row>
    <row r="2941" spans="1:4" ht="12.75" x14ac:dyDescent="0.35">
      <c r="A2941" s="4">
        <v>44613</v>
      </c>
      <c r="B2941" s="3" t="s">
        <v>562</v>
      </c>
      <c r="C2941" s="3">
        <v>6.05</v>
      </c>
      <c r="D2941" s="3">
        <v>1</v>
      </c>
    </row>
    <row r="2942" spans="1:4" ht="12.75" x14ac:dyDescent="0.35">
      <c r="A2942" s="4">
        <v>44825</v>
      </c>
      <c r="B2942" s="3" t="s">
        <v>553</v>
      </c>
      <c r="C2942" s="3">
        <v>6.03</v>
      </c>
      <c r="D2942" s="3">
        <v>1</v>
      </c>
    </row>
    <row r="2943" spans="1:4" ht="12.75" x14ac:dyDescent="0.35">
      <c r="A2943" s="4">
        <v>44672</v>
      </c>
      <c r="B2943" s="3" t="s">
        <v>924</v>
      </c>
      <c r="C2943" s="3">
        <v>6</v>
      </c>
      <c r="D2943" s="3">
        <v>1</v>
      </c>
    </row>
    <row r="2944" spans="1:4" ht="12.75" x14ac:dyDescent="0.35">
      <c r="A2944" s="4">
        <v>44702</v>
      </c>
      <c r="B2944" s="3" t="s">
        <v>1052</v>
      </c>
      <c r="C2944" s="3">
        <v>6</v>
      </c>
      <c r="D2944" s="3">
        <v>1</v>
      </c>
    </row>
    <row r="2945" spans="1:4" ht="12.75" x14ac:dyDescent="0.35">
      <c r="A2945" s="5">
        <v>44733</v>
      </c>
      <c r="B2945" s="3" t="s">
        <v>1315</v>
      </c>
      <c r="C2945" s="3">
        <v>6</v>
      </c>
      <c r="D2945" s="3">
        <v>1</v>
      </c>
    </row>
    <row r="2946" spans="1:4" ht="12.75" x14ac:dyDescent="0.35">
      <c r="A2946" s="4">
        <v>44916</v>
      </c>
      <c r="B2946" s="3" t="s">
        <v>502</v>
      </c>
      <c r="C2946" s="3">
        <v>6</v>
      </c>
      <c r="D2946" s="3">
        <v>1</v>
      </c>
    </row>
    <row r="2947" spans="1:4" ht="12.75" x14ac:dyDescent="0.35">
      <c r="A2947" s="5">
        <v>44763</v>
      </c>
      <c r="B2947" s="3" t="s">
        <v>102</v>
      </c>
      <c r="C2947" s="3">
        <v>5.99</v>
      </c>
      <c r="D2947" s="3">
        <v>3</v>
      </c>
    </row>
    <row r="2948" spans="1:4" ht="12.75" x14ac:dyDescent="0.35">
      <c r="A2948" s="4">
        <v>44672</v>
      </c>
      <c r="B2948" s="3" t="s">
        <v>835</v>
      </c>
      <c r="C2948" s="3">
        <v>5.98</v>
      </c>
      <c r="D2948" s="3">
        <v>2</v>
      </c>
    </row>
    <row r="2949" spans="1:4" ht="12.75" x14ac:dyDescent="0.35">
      <c r="A2949" s="5">
        <v>44733</v>
      </c>
      <c r="B2949" s="3" t="s">
        <v>116</v>
      </c>
      <c r="C2949" s="3">
        <v>5.98</v>
      </c>
      <c r="D2949" s="3">
        <v>2</v>
      </c>
    </row>
    <row r="2950" spans="1:4" ht="12.75" x14ac:dyDescent="0.35">
      <c r="A2950" s="4">
        <v>44613</v>
      </c>
      <c r="B2950" s="3" t="s">
        <v>512</v>
      </c>
      <c r="C2950" s="3">
        <v>5.94</v>
      </c>
      <c r="D2950" s="3">
        <v>1</v>
      </c>
    </row>
    <row r="2951" spans="1:4" ht="12.75" x14ac:dyDescent="0.35">
      <c r="A2951" s="5">
        <v>44733</v>
      </c>
      <c r="B2951" s="3" t="s">
        <v>231</v>
      </c>
      <c r="C2951" s="3">
        <v>5.94</v>
      </c>
      <c r="D2951" s="3">
        <v>2</v>
      </c>
    </row>
    <row r="2952" spans="1:4" ht="12.75" x14ac:dyDescent="0.35">
      <c r="A2952" s="4">
        <v>44702</v>
      </c>
      <c r="B2952" s="3" t="s">
        <v>1102</v>
      </c>
      <c r="C2952" s="3">
        <v>5.93</v>
      </c>
      <c r="D2952" s="3">
        <v>1</v>
      </c>
    </row>
    <row r="2953" spans="1:4" ht="12.75" x14ac:dyDescent="0.35">
      <c r="A2953" s="4">
        <v>44794</v>
      </c>
      <c r="B2953" s="3" t="s">
        <v>1579</v>
      </c>
      <c r="C2953" s="3">
        <v>5.92</v>
      </c>
      <c r="D2953" s="3">
        <v>2</v>
      </c>
    </row>
    <row r="2954" spans="1:4" ht="12.75" x14ac:dyDescent="0.35">
      <c r="A2954" s="5">
        <v>44733</v>
      </c>
      <c r="B2954" s="3" t="s">
        <v>93</v>
      </c>
      <c r="C2954" s="3">
        <v>5.91</v>
      </c>
      <c r="D2954" s="3">
        <v>5</v>
      </c>
    </row>
    <row r="2955" spans="1:4" ht="12.75" x14ac:dyDescent="0.35">
      <c r="A2955" s="4">
        <v>44582</v>
      </c>
      <c r="B2955" s="3" t="s">
        <v>254</v>
      </c>
      <c r="C2955" s="3">
        <v>5.9</v>
      </c>
      <c r="D2955" s="3">
        <v>1</v>
      </c>
    </row>
    <row r="2956" spans="1:4" ht="12.75" x14ac:dyDescent="0.35">
      <c r="A2956" s="4">
        <v>44702</v>
      </c>
      <c r="B2956" s="3" t="s">
        <v>1071</v>
      </c>
      <c r="C2956" s="3">
        <v>5.9</v>
      </c>
      <c r="D2956" s="3">
        <v>3</v>
      </c>
    </row>
    <row r="2957" spans="1:4" ht="12.75" x14ac:dyDescent="0.35">
      <c r="A2957" s="4">
        <v>44641</v>
      </c>
      <c r="B2957" s="3" t="s">
        <v>734</v>
      </c>
      <c r="C2957" s="3">
        <v>5.88</v>
      </c>
      <c r="D2957" s="3">
        <v>3</v>
      </c>
    </row>
    <row r="2958" spans="1:4" ht="12.75" x14ac:dyDescent="0.35">
      <c r="A2958" s="4">
        <v>44825</v>
      </c>
      <c r="B2958" s="3" t="s">
        <v>1735</v>
      </c>
      <c r="C2958" s="3">
        <v>5.88</v>
      </c>
      <c r="D2958" s="3">
        <v>3</v>
      </c>
    </row>
    <row r="2959" spans="1:4" ht="12.75" x14ac:dyDescent="0.35">
      <c r="A2959" s="4">
        <v>44855</v>
      </c>
      <c r="B2959" s="3" t="s">
        <v>997</v>
      </c>
      <c r="C2959" s="3">
        <v>5.87</v>
      </c>
      <c r="D2959" s="3">
        <v>1</v>
      </c>
    </row>
    <row r="2960" spans="1:4" ht="12.75" x14ac:dyDescent="0.35">
      <c r="A2960" s="4">
        <v>44886</v>
      </c>
      <c r="B2960" s="3" t="s">
        <v>307</v>
      </c>
      <c r="C2960" s="3">
        <v>5.87</v>
      </c>
      <c r="D2960" s="3">
        <v>5</v>
      </c>
    </row>
    <row r="2961" spans="1:4" ht="12.75" x14ac:dyDescent="0.35">
      <c r="A2961" s="4">
        <v>44916</v>
      </c>
      <c r="B2961" s="3" t="s">
        <v>982</v>
      </c>
      <c r="C2961" s="3">
        <v>5.87</v>
      </c>
      <c r="D2961" s="3">
        <v>1</v>
      </c>
    </row>
    <row r="2962" spans="1:4" ht="12.75" x14ac:dyDescent="0.35">
      <c r="A2962" s="4">
        <v>44702</v>
      </c>
      <c r="B2962" s="3" t="s">
        <v>1011</v>
      </c>
      <c r="C2962" s="3">
        <v>5.84</v>
      </c>
      <c r="D2962" s="3">
        <v>1</v>
      </c>
    </row>
    <row r="2963" spans="1:4" ht="12.75" x14ac:dyDescent="0.35">
      <c r="A2963" s="4">
        <v>44916</v>
      </c>
      <c r="B2963" s="3" t="s">
        <v>1887</v>
      </c>
      <c r="C2963" s="3">
        <v>5.83</v>
      </c>
      <c r="D2963" s="3">
        <v>1</v>
      </c>
    </row>
    <row r="2964" spans="1:4" ht="12.75" x14ac:dyDescent="0.35">
      <c r="A2964" s="4">
        <v>44886</v>
      </c>
      <c r="B2964" s="3" t="s">
        <v>1763</v>
      </c>
      <c r="C2964" s="3">
        <v>5.82</v>
      </c>
      <c r="D2964" s="3">
        <v>1</v>
      </c>
    </row>
    <row r="2965" spans="1:4" ht="12.75" x14ac:dyDescent="0.35">
      <c r="A2965" s="5">
        <v>44733</v>
      </c>
      <c r="B2965" s="3" t="s">
        <v>1452</v>
      </c>
      <c r="C2965" s="3">
        <v>5.81</v>
      </c>
      <c r="D2965" s="3">
        <v>1</v>
      </c>
    </row>
    <row r="2966" spans="1:4" ht="12.75" x14ac:dyDescent="0.35">
      <c r="A2966" s="4">
        <v>44641</v>
      </c>
      <c r="B2966" s="3" t="s">
        <v>304</v>
      </c>
      <c r="C2966" s="3">
        <v>5.78</v>
      </c>
      <c r="D2966" s="3">
        <v>1</v>
      </c>
    </row>
    <row r="2967" spans="1:4" ht="12.75" x14ac:dyDescent="0.35">
      <c r="A2967" s="4">
        <v>44582</v>
      </c>
      <c r="B2967" s="3" t="s">
        <v>242</v>
      </c>
      <c r="C2967" s="3">
        <v>5.77</v>
      </c>
      <c r="D2967" s="3">
        <v>1</v>
      </c>
    </row>
    <row r="2968" spans="1:4" ht="12.75" x14ac:dyDescent="0.35">
      <c r="A2968" s="4">
        <v>44672</v>
      </c>
      <c r="B2968" s="3" t="s">
        <v>838</v>
      </c>
      <c r="C2968" s="3">
        <v>5.77</v>
      </c>
      <c r="D2968" s="3">
        <v>2</v>
      </c>
    </row>
    <row r="2969" spans="1:4" ht="12.75" x14ac:dyDescent="0.35">
      <c r="A2969" s="5">
        <v>44733</v>
      </c>
      <c r="B2969" s="3" t="s">
        <v>1063</v>
      </c>
      <c r="C2969" s="3">
        <v>5.77</v>
      </c>
      <c r="D2969" s="3">
        <v>1</v>
      </c>
    </row>
    <row r="2970" spans="1:4" ht="12.75" x14ac:dyDescent="0.35">
      <c r="A2970" s="4">
        <v>44916</v>
      </c>
      <c r="B2970" s="3" t="s">
        <v>1848</v>
      </c>
      <c r="C2970" s="3">
        <v>5.75</v>
      </c>
      <c r="D2970" s="3">
        <v>1</v>
      </c>
    </row>
    <row r="2971" spans="1:4" ht="12.75" x14ac:dyDescent="0.35">
      <c r="A2971" s="4">
        <v>44641</v>
      </c>
      <c r="B2971" s="3" t="s">
        <v>719</v>
      </c>
      <c r="C2971" s="3">
        <v>5.74</v>
      </c>
      <c r="D2971" s="3">
        <v>2</v>
      </c>
    </row>
    <row r="2972" spans="1:4" ht="12.75" x14ac:dyDescent="0.35">
      <c r="A2972" s="4">
        <v>44613</v>
      </c>
      <c r="B2972" s="3" t="s">
        <v>458</v>
      </c>
      <c r="C2972" s="3">
        <v>5.73</v>
      </c>
      <c r="D2972" s="3">
        <v>2</v>
      </c>
    </row>
    <row r="2973" spans="1:4" ht="12.75" x14ac:dyDescent="0.35">
      <c r="A2973" s="5">
        <v>44733</v>
      </c>
      <c r="B2973" s="3" t="s">
        <v>1351</v>
      </c>
      <c r="C2973" s="3">
        <v>5.72</v>
      </c>
      <c r="D2973" s="3">
        <v>1</v>
      </c>
    </row>
    <row r="2974" spans="1:4" ht="12.75" x14ac:dyDescent="0.35">
      <c r="A2974" s="4">
        <v>44641</v>
      </c>
      <c r="B2974" s="3" t="s">
        <v>410</v>
      </c>
      <c r="C2974" s="3">
        <v>5.7</v>
      </c>
      <c r="D2974" s="3">
        <v>2</v>
      </c>
    </row>
    <row r="2975" spans="1:4" ht="12.75" x14ac:dyDescent="0.35">
      <c r="A2975" s="5">
        <v>44733</v>
      </c>
      <c r="B2975" s="3" t="s">
        <v>1235</v>
      </c>
      <c r="C2975" s="3">
        <v>5.69</v>
      </c>
      <c r="D2975" s="3">
        <v>2</v>
      </c>
    </row>
    <row r="2976" spans="1:4" ht="12.75" x14ac:dyDescent="0.35">
      <c r="A2976" s="5">
        <v>44733</v>
      </c>
      <c r="B2976" s="3" t="s">
        <v>1081</v>
      </c>
      <c r="C2976" s="3">
        <v>5.68</v>
      </c>
      <c r="D2976" s="3">
        <v>1</v>
      </c>
    </row>
    <row r="2977" spans="1:4" ht="12.75" x14ac:dyDescent="0.35">
      <c r="A2977" s="4">
        <v>44794</v>
      </c>
      <c r="B2977" s="3" t="s">
        <v>104</v>
      </c>
      <c r="C2977" s="3">
        <v>5.68</v>
      </c>
      <c r="D2977" s="3">
        <v>1</v>
      </c>
    </row>
    <row r="2978" spans="1:4" ht="12.75" x14ac:dyDescent="0.35">
      <c r="A2978" s="5">
        <v>44733</v>
      </c>
      <c r="B2978" s="3" t="s">
        <v>349</v>
      </c>
      <c r="C2978" s="3">
        <v>5.66</v>
      </c>
      <c r="D2978" s="3">
        <v>1</v>
      </c>
    </row>
    <row r="2979" spans="1:4" ht="12.75" x14ac:dyDescent="0.35">
      <c r="A2979" s="4">
        <v>44825</v>
      </c>
      <c r="B2979" s="3" t="s">
        <v>364</v>
      </c>
      <c r="C2979" s="3">
        <v>5.66</v>
      </c>
      <c r="D2979" s="3">
        <v>1</v>
      </c>
    </row>
    <row r="2980" spans="1:4" ht="12.75" x14ac:dyDescent="0.35">
      <c r="A2980" s="4">
        <v>44855</v>
      </c>
      <c r="B2980" s="3" t="s">
        <v>141</v>
      </c>
      <c r="C2980" s="3">
        <v>5.66</v>
      </c>
      <c r="D2980" s="3">
        <v>3</v>
      </c>
    </row>
    <row r="2981" spans="1:4" ht="12.75" x14ac:dyDescent="0.35">
      <c r="A2981" s="4">
        <v>44582</v>
      </c>
      <c r="B2981" s="3" t="s">
        <v>283</v>
      </c>
      <c r="C2981" s="3">
        <v>5.65</v>
      </c>
      <c r="D2981" s="3">
        <v>1</v>
      </c>
    </row>
    <row r="2982" spans="1:4" ht="12.75" x14ac:dyDescent="0.35">
      <c r="A2982" s="4">
        <v>44855</v>
      </c>
      <c r="B2982" s="3" t="s">
        <v>194</v>
      </c>
      <c r="C2982" s="3">
        <v>5.65</v>
      </c>
      <c r="D2982" s="3">
        <v>6</v>
      </c>
    </row>
    <row r="2983" spans="1:4" ht="12.75" x14ac:dyDescent="0.35">
      <c r="A2983" s="4">
        <v>44672</v>
      </c>
      <c r="B2983" s="3" t="s">
        <v>461</v>
      </c>
      <c r="C2983" s="3">
        <v>5.64</v>
      </c>
      <c r="D2983" s="3">
        <v>1</v>
      </c>
    </row>
    <row r="2984" spans="1:4" ht="12.75" x14ac:dyDescent="0.35">
      <c r="A2984" s="5">
        <v>44733</v>
      </c>
      <c r="B2984" s="3" t="s">
        <v>30</v>
      </c>
      <c r="C2984" s="3">
        <v>5.64</v>
      </c>
      <c r="D2984" s="3">
        <v>6</v>
      </c>
    </row>
    <row r="2985" spans="1:4" ht="12.75" x14ac:dyDescent="0.35">
      <c r="A2985" s="5">
        <v>44733</v>
      </c>
      <c r="B2985" s="3" t="s">
        <v>1371</v>
      </c>
      <c r="C2985" s="3">
        <v>5.63</v>
      </c>
      <c r="D2985" s="3">
        <v>1</v>
      </c>
    </row>
    <row r="2986" spans="1:4" ht="12.75" x14ac:dyDescent="0.35">
      <c r="A2986" s="4">
        <v>44641</v>
      </c>
      <c r="B2986" s="3" t="s">
        <v>704</v>
      </c>
      <c r="C2986" s="3">
        <v>5.61</v>
      </c>
      <c r="D2986" s="3">
        <v>4</v>
      </c>
    </row>
    <row r="2987" spans="1:4" ht="12.75" x14ac:dyDescent="0.35">
      <c r="A2987" s="4">
        <v>44794</v>
      </c>
      <c r="B2987" s="3" t="s">
        <v>818</v>
      </c>
      <c r="C2987" s="3">
        <v>5.61</v>
      </c>
      <c r="D2987" s="3">
        <v>2</v>
      </c>
    </row>
    <row r="2988" spans="1:4" ht="12.75" x14ac:dyDescent="0.35">
      <c r="A2988" s="4">
        <v>44702</v>
      </c>
      <c r="B2988" s="3" t="s">
        <v>838</v>
      </c>
      <c r="C2988" s="3">
        <v>5.59</v>
      </c>
      <c r="D2988" s="3">
        <v>2</v>
      </c>
    </row>
    <row r="2989" spans="1:4" ht="12.75" x14ac:dyDescent="0.35">
      <c r="A2989" s="4">
        <v>44702</v>
      </c>
      <c r="B2989" s="3" t="s">
        <v>950</v>
      </c>
      <c r="C2989" s="3">
        <v>5.59</v>
      </c>
      <c r="D2989" s="3">
        <v>1</v>
      </c>
    </row>
    <row r="2990" spans="1:4" ht="12.75" x14ac:dyDescent="0.35">
      <c r="A2990" s="5">
        <v>44733</v>
      </c>
      <c r="B2990" s="3" t="s">
        <v>1197</v>
      </c>
      <c r="C2990" s="3">
        <v>5.58</v>
      </c>
      <c r="D2990" s="3">
        <v>1</v>
      </c>
    </row>
    <row r="2991" spans="1:4" ht="12.75" x14ac:dyDescent="0.35">
      <c r="A2991" s="4">
        <v>44582</v>
      </c>
      <c r="B2991" s="3" t="s">
        <v>327</v>
      </c>
      <c r="C2991" s="3">
        <v>5.55</v>
      </c>
      <c r="D2991" s="3">
        <v>1</v>
      </c>
    </row>
    <row r="2992" spans="1:4" ht="12.75" x14ac:dyDescent="0.35">
      <c r="A2992" s="5">
        <v>44733</v>
      </c>
      <c r="B2992" s="3" t="s">
        <v>1189</v>
      </c>
      <c r="C2992" s="3">
        <v>5.54</v>
      </c>
      <c r="D2992" s="3">
        <v>1</v>
      </c>
    </row>
    <row r="2993" spans="1:4" ht="12.75" x14ac:dyDescent="0.35">
      <c r="A2993" s="4">
        <v>44582</v>
      </c>
      <c r="B2993" s="3" t="s">
        <v>64</v>
      </c>
      <c r="C2993" s="3">
        <v>5.53</v>
      </c>
      <c r="D2993" s="3">
        <v>1</v>
      </c>
    </row>
    <row r="2994" spans="1:4" ht="12.75" x14ac:dyDescent="0.35">
      <c r="A2994" s="4">
        <v>44613</v>
      </c>
      <c r="B2994" s="3" t="s">
        <v>509</v>
      </c>
      <c r="C2994" s="3">
        <v>5.53</v>
      </c>
      <c r="D2994" s="3">
        <v>1</v>
      </c>
    </row>
    <row r="2995" spans="1:4" ht="12.75" x14ac:dyDescent="0.35">
      <c r="A2995" s="4">
        <v>44825</v>
      </c>
      <c r="B2995" s="3" t="s">
        <v>1743</v>
      </c>
      <c r="C2995" s="3">
        <v>5.52</v>
      </c>
      <c r="D2995" s="3">
        <v>1</v>
      </c>
    </row>
    <row r="2996" spans="1:4" ht="12.75" x14ac:dyDescent="0.35">
      <c r="A2996" s="4">
        <v>44794</v>
      </c>
      <c r="B2996" s="3" t="s">
        <v>732</v>
      </c>
      <c r="C2996" s="3">
        <v>5.51</v>
      </c>
      <c r="D2996" s="3">
        <v>1</v>
      </c>
    </row>
    <row r="2997" spans="1:4" ht="12.75" x14ac:dyDescent="0.35">
      <c r="A2997" s="4">
        <v>44825</v>
      </c>
      <c r="B2997" s="3" t="s">
        <v>1773</v>
      </c>
      <c r="C2997" s="3">
        <v>5.5</v>
      </c>
      <c r="D2997" s="3">
        <v>1</v>
      </c>
    </row>
    <row r="2998" spans="1:4" ht="12.75" x14ac:dyDescent="0.35">
      <c r="A2998" s="5">
        <v>44733</v>
      </c>
      <c r="B2998" s="3" t="s">
        <v>1409</v>
      </c>
      <c r="C2998" s="3">
        <v>5.49</v>
      </c>
      <c r="D2998" s="3">
        <v>1</v>
      </c>
    </row>
    <row r="2999" spans="1:4" ht="12.75" x14ac:dyDescent="0.35">
      <c r="A2999" s="5">
        <v>44733</v>
      </c>
      <c r="B2999" s="3" t="s">
        <v>1415</v>
      </c>
      <c r="C2999" s="3">
        <v>5.45</v>
      </c>
      <c r="D2999" s="3">
        <v>1</v>
      </c>
    </row>
    <row r="3000" spans="1:4" ht="12.75" x14ac:dyDescent="0.35">
      <c r="A3000" s="4">
        <v>44794</v>
      </c>
      <c r="B3000" s="3" t="s">
        <v>319</v>
      </c>
      <c r="C3000" s="3">
        <v>5.44</v>
      </c>
      <c r="D3000" s="3">
        <v>1</v>
      </c>
    </row>
    <row r="3001" spans="1:4" ht="12.75" x14ac:dyDescent="0.35">
      <c r="A3001" s="4">
        <v>44641</v>
      </c>
      <c r="B3001" s="3" t="s">
        <v>768</v>
      </c>
      <c r="C3001" s="3">
        <v>5.43</v>
      </c>
      <c r="D3001" s="3">
        <v>1</v>
      </c>
    </row>
    <row r="3002" spans="1:4" ht="12.75" x14ac:dyDescent="0.35">
      <c r="A3002" s="5">
        <v>44763</v>
      </c>
      <c r="B3002" s="3" t="s">
        <v>818</v>
      </c>
      <c r="C3002" s="3">
        <v>5.42</v>
      </c>
      <c r="D3002" s="3">
        <v>2</v>
      </c>
    </row>
    <row r="3003" spans="1:4" ht="12.75" x14ac:dyDescent="0.35">
      <c r="A3003" s="4">
        <v>44855</v>
      </c>
      <c r="B3003" s="3" t="s">
        <v>1782</v>
      </c>
      <c r="C3003" s="3">
        <v>5.42</v>
      </c>
      <c r="D3003" s="3">
        <v>2</v>
      </c>
    </row>
    <row r="3004" spans="1:4" ht="12.75" x14ac:dyDescent="0.35">
      <c r="A3004" s="4">
        <v>44916</v>
      </c>
      <c r="B3004" s="3" t="s">
        <v>1957</v>
      </c>
      <c r="C3004" s="3">
        <v>5.41</v>
      </c>
      <c r="D3004" s="3">
        <v>1</v>
      </c>
    </row>
    <row r="3005" spans="1:4" ht="12.75" x14ac:dyDescent="0.35">
      <c r="A3005" s="4">
        <v>44672</v>
      </c>
      <c r="B3005" s="3" t="s">
        <v>831</v>
      </c>
      <c r="C3005" s="3">
        <v>5.4</v>
      </c>
      <c r="D3005" s="3">
        <v>1</v>
      </c>
    </row>
    <row r="3006" spans="1:4" ht="12.75" x14ac:dyDescent="0.35">
      <c r="A3006" s="4">
        <v>44916</v>
      </c>
      <c r="B3006" s="3" t="s">
        <v>967</v>
      </c>
      <c r="C3006" s="3">
        <v>5.4</v>
      </c>
      <c r="D3006" s="3">
        <v>1</v>
      </c>
    </row>
    <row r="3007" spans="1:4" ht="12.75" x14ac:dyDescent="0.35">
      <c r="A3007" s="4">
        <v>44613</v>
      </c>
      <c r="B3007" s="3" t="s">
        <v>556</v>
      </c>
      <c r="C3007" s="3">
        <v>5.39</v>
      </c>
      <c r="D3007" s="3">
        <v>2</v>
      </c>
    </row>
    <row r="3008" spans="1:4" ht="12.75" x14ac:dyDescent="0.35">
      <c r="A3008" s="5">
        <v>44733</v>
      </c>
      <c r="B3008" s="3" t="s">
        <v>1388</v>
      </c>
      <c r="C3008" s="3">
        <v>5.39</v>
      </c>
      <c r="D3008" s="3">
        <v>1</v>
      </c>
    </row>
    <row r="3009" spans="1:4" ht="12.75" x14ac:dyDescent="0.35">
      <c r="A3009" s="4">
        <v>44886</v>
      </c>
      <c r="B3009" s="3" t="s">
        <v>328</v>
      </c>
      <c r="C3009" s="3">
        <v>5.38</v>
      </c>
      <c r="D3009" s="3">
        <v>4</v>
      </c>
    </row>
    <row r="3010" spans="1:4" ht="12.75" x14ac:dyDescent="0.35">
      <c r="A3010" s="4">
        <v>44613</v>
      </c>
      <c r="B3010" s="3" t="s">
        <v>495</v>
      </c>
      <c r="C3010" s="3">
        <v>5.37</v>
      </c>
      <c r="D3010" s="3">
        <v>2</v>
      </c>
    </row>
    <row r="3011" spans="1:4" ht="12.75" x14ac:dyDescent="0.35">
      <c r="A3011" s="4">
        <v>44641</v>
      </c>
      <c r="B3011" s="3" t="s">
        <v>379</v>
      </c>
      <c r="C3011" s="3">
        <v>5.37</v>
      </c>
      <c r="D3011" s="3">
        <v>1</v>
      </c>
    </row>
    <row r="3012" spans="1:4" ht="12.75" x14ac:dyDescent="0.35">
      <c r="A3012" s="4">
        <v>44702</v>
      </c>
      <c r="B3012" s="3" t="s">
        <v>967</v>
      </c>
      <c r="C3012" s="3">
        <v>5.36</v>
      </c>
      <c r="D3012" s="3">
        <v>1</v>
      </c>
    </row>
    <row r="3013" spans="1:4" ht="12.75" x14ac:dyDescent="0.35">
      <c r="A3013" s="5">
        <v>44733</v>
      </c>
      <c r="B3013" s="3" t="s">
        <v>1248</v>
      </c>
      <c r="C3013" s="3">
        <v>5.36</v>
      </c>
      <c r="D3013" s="3">
        <v>1</v>
      </c>
    </row>
    <row r="3014" spans="1:4" ht="12.75" x14ac:dyDescent="0.35">
      <c r="A3014" s="4">
        <v>44582</v>
      </c>
      <c r="B3014" s="3" t="s">
        <v>273</v>
      </c>
      <c r="C3014" s="3">
        <v>5.34</v>
      </c>
      <c r="D3014" s="3">
        <v>2</v>
      </c>
    </row>
    <row r="3015" spans="1:4" ht="12.75" x14ac:dyDescent="0.35">
      <c r="A3015" s="4">
        <v>44641</v>
      </c>
      <c r="B3015" s="3" t="s">
        <v>648</v>
      </c>
      <c r="C3015" s="3">
        <v>5.34</v>
      </c>
      <c r="D3015" s="3">
        <v>1</v>
      </c>
    </row>
    <row r="3016" spans="1:4" ht="12.75" x14ac:dyDescent="0.35">
      <c r="A3016" s="4">
        <v>44613</v>
      </c>
      <c r="B3016" s="3" t="s">
        <v>105</v>
      </c>
      <c r="C3016" s="3">
        <v>5.33</v>
      </c>
      <c r="D3016" s="3">
        <v>1</v>
      </c>
    </row>
    <row r="3017" spans="1:4" ht="12.75" x14ac:dyDescent="0.35">
      <c r="A3017" s="4">
        <v>44702</v>
      </c>
      <c r="B3017" s="3" t="s">
        <v>1020</v>
      </c>
      <c r="C3017" s="3">
        <v>5.31</v>
      </c>
      <c r="D3017" s="3">
        <v>1</v>
      </c>
    </row>
    <row r="3018" spans="1:4" ht="12.75" x14ac:dyDescent="0.35">
      <c r="A3018" s="5">
        <v>44733</v>
      </c>
      <c r="B3018" s="3" t="s">
        <v>1187</v>
      </c>
      <c r="C3018" s="3">
        <v>5.3</v>
      </c>
      <c r="D3018" s="3">
        <v>1</v>
      </c>
    </row>
    <row r="3019" spans="1:4" ht="12.75" x14ac:dyDescent="0.35">
      <c r="A3019" s="5">
        <v>44733</v>
      </c>
      <c r="B3019" s="3" t="s">
        <v>1272</v>
      </c>
      <c r="C3019" s="3">
        <v>5.27</v>
      </c>
      <c r="D3019" s="3">
        <v>1</v>
      </c>
    </row>
    <row r="3020" spans="1:4" ht="12.75" x14ac:dyDescent="0.35">
      <c r="A3020" s="4">
        <v>44702</v>
      </c>
      <c r="B3020" s="3" t="s">
        <v>1151</v>
      </c>
      <c r="C3020" s="3">
        <v>5.26</v>
      </c>
      <c r="D3020" s="3">
        <v>1</v>
      </c>
    </row>
    <row r="3021" spans="1:4" ht="12.75" x14ac:dyDescent="0.35">
      <c r="A3021" s="4">
        <v>44641</v>
      </c>
      <c r="B3021" s="3" t="s">
        <v>741</v>
      </c>
      <c r="C3021" s="3">
        <v>5.25</v>
      </c>
      <c r="D3021" s="3">
        <v>1</v>
      </c>
    </row>
    <row r="3022" spans="1:4" ht="12.75" x14ac:dyDescent="0.35">
      <c r="A3022" s="4">
        <v>44672</v>
      </c>
      <c r="B3022" s="3" t="s">
        <v>810</v>
      </c>
      <c r="C3022" s="3">
        <v>5.25</v>
      </c>
      <c r="D3022" s="3">
        <v>2</v>
      </c>
    </row>
    <row r="3023" spans="1:4" ht="12.75" x14ac:dyDescent="0.35">
      <c r="A3023" s="4">
        <v>44855</v>
      </c>
      <c r="B3023" s="3" t="s">
        <v>1184</v>
      </c>
      <c r="C3023" s="3">
        <v>5.25</v>
      </c>
      <c r="D3023" s="3">
        <v>1</v>
      </c>
    </row>
    <row r="3024" spans="1:4" ht="12.75" x14ac:dyDescent="0.35">
      <c r="A3024" s="5">
        <v>44733</v>
      </c>
      <c r="B3024" s="3" t="s">
        <v>1105</v>
      </c>
      <c r="C3024" s="3">
        <v>5.24</v>
      </c>
      <c r="D3024" s="3">
        <v>1</v>
      </c>
    </row>
    <row r="3025" spans="1:4" ht="12.75" x14ac:dyDescent="0.35">
      <c r="A3025" s="4">
        <v>44794</v>
      </c>
      <c r="B3025" s="3" t="s">
        <v>1186</v>
      </c>
      <c r="C3025" s="3">
        <v>5.22</v>
      </c>
      <c r="D3025" s="3">
        <v>1</v>
      </c>
    </row>
    <row r="3026" spans="1:4" ht="12.75" x14ac:dyDescent="0.35">
      <c r="A3026" s="5">
        <v>44733</v>
      </c>
      <c r="B3026" s="3" t="s">
        <v>1358</v>
      </c>
      <c r="C3026" s="3">
        <v>5.21</v>
      </c>
      <c r="D3026" s="3">
        <v>1</v>
      </c>
    </row>
    <row r="3027" spans="1:4" ht="12.75" x14ac:dyDescent="0.35">
      <c r="A3027" s="5">
        <v>44733</v>
      </c>
      <c r="B3027" s="3" t="s">
        <v>1398</v>
      </c>
      <c r="C3027" s="3">
        <v>5.21</v>
      </c>
      <c r="D3027" s="3">
        <v>1</v>
      </c>
    </row>
    <row r="3028" spans="1:4" ht="12.75" x14ac:dyDescent="0.35">
      <c r="A3028" s="5">
        <v>44763</v>
      </c>
      <c r="B3028" s="3" t="s">
        <v>1156</v>
      </c>
      <c r="C3028" s="3">
        <v>5.21</v>
      </c>
      <c r="D3028" s="3">
        <v>2</v>
      </c>
    </row>
    <row r="3029" spans="1:4" ht="12.75" x14ac:dyDescent="0.35">
      <c r="A3029" s="4">
        <v>44672</v>
      </c>
      <c r="B3029" s="3" t="s">
        <v>883</v>
      </c>
      <c r="C3029" s="3">
        <v>5.2</v>
      </c>
      <c r="D3029" s="3">
        <v>2</v>
      </c>
    </row>
    <row r="3030" spans="1:4" ht="12.75" x14ac:dyDescent="0.35">
      <c r="A3030" s="4">
        <v>44582</v>
      </c>
      <c r="B3030" s="3" t="s">
        <v>159</v>
      </c>
      <c r="C3030" s="3">
        <v>5.19</v>
      </c>
      <c r="D3030" s="3">
        <v>1</v>
      </c>
    </row>
    <row r="3031" spans="1:4" ht="12.75" x14ac:dyDescent="0.35">
      <c r="A3031" s="4">
        <v>44794</v>
      </c>
      <c r="B3031" s="3" t="s">
        <v>1640</v>
      </c>
      <c r="C3031" s="3">
        <v>5.19</v>
      </c>
      <c r="D3031" s="3">
        <v>3</v>
      </c>
    </row>
    <row r="3032" spans="1:4" ht="12.75" x14ac:dyDescent="0.35">
      <c r="A3032" s="4">
        <v>44916</v>
      </c>
      <c r="B3032" s="3" t="s">
        <v>1876</v>
      </c>
      <c r="C3032" s="3">
        <v>5.18</v>
      </c>
      <c r="D3032" s="3">
        <v>2</v>
      </c>
    </row>
    <row r="3033" spans="1:4" ht="12.75" x14ac:dyDescent="0.35">
      <c r="A3033" s="4">
        <v>44886</v>
      </c>
      <c r="B3033" s="3" t="s">
        <v>1808</v>
      </c>
      <c r="C3033" s="3">
        <v>5.17</v>
      </c>
      <c r="D3033" s="3">
        <v>1</v>
      </c>
    </row>
    <row r="3034" spans="1:4" ht="12.75" x14ac:dyDescent="0.35">
      <c r="A3034" s="4">
        <v>44794</v>
      </c>
      <c r="B3034" s="3" t="s">
        <v>814</v>
      </c>
      <c r="C3034" s="3">
        <v>5.16</v>
      </c>
      <c r="D3034" s="3">
        <v>1</v>
      </c>
    </row>
    <row r="3035" spans="1:4" ht="12.75" x14ac:dyDescent="0.35">
      <c r="A3035" s="4">
        <v>44702</v>
      </c>
      <c r="B3035" s="3" t="s">
        <v>236</v>
      </c>
      <c r="C3035" s="3">
        <v>5.15</v>
      </c>
      <c r="D3035" s="3">
        <v>1</v>
      </c>
    </row>
    <row r="3036" spans="1:4" ht="12.75" x14ac:dyDescent="0.35">
      <c r="A3036" s="4">
        <v>44886</v>
      </c>
      <c r="B3036" s="3" t="s">
        <v>1195</v>
      </c>
      <c r="C3036" s="3">
        <v>5.13</v>
      </c>
      <c r="D3036" s="3">
        <v>1</v>
      </c>
    </row>
    <row r="3037" spans="1:4" ht="12.75" x14ac:dyDescent="0.35">
      <c r="A3037" s="4">
        <v>44641</v>
      </c>
      <c r="B3037" s="3" t="s">
        <v>614</v>
      </c>
      <c r="C3037" s="3">
        <v>5.12</v>
      </c>
      <c r="D3037" s="3">
        <v>1</v>
      </c>
    </row>
    <row r="3038" spans="1:4" ht="12.75" x14ac:dyDescent="0.35">
      <c r="A3038" s="5">
        <v>44733</v>
      </c>
      <c r="B3038" s="3" t="s">
        <v>1310</v>
      </c>
      <c r="C3038" s="3">
        <v>5.12</v>
      </c>
      <c r="D3038" s="3">
        <v>2</v>
      </c>
    </row>
    <row r="3039" spans="1:4" ht="12.75" x14ac:dyDescent="0.35">
      <c r="A3039" s="5">
        <v>44763</v>
      </c>
      <c r="B3039" s="3" t="s">
        <v>1003</v>
      </c>
      <c r="C3039" s="3">
        <v>5.12</v>
      </c>
      <c r="D3039" s="3">
        <v>1</v>
      </c>
    </row>
    <row r="3040" spans="1:4" ht="12.75" x14ac:dyDescent="0.35">
      <c r="A3040" s="4">
        <v>44825</v>
      </c>
      <c r="B3040" s="3" t="s">
        <v>783</v>
      </c>
      <c r="C3040" s="3">
        <v>5.12</v>
      </c>
      <c r="D3040" s="3">
        <v>1</v>
      </c>
    </row>
    <row r="3041" spans="1:4" ht="12.75" x14ac:dyDescent="0.35">
      <c r="A3041" s="4">
        <v>44794</v>
      </c>
      <c r="B3041" s="3" t="s">
        <v>946</v>
      </c>
      <c r="C3041" s="3">
        <v>5.0999999999999996</v>
      </c>
      <c r="D3041" s="3">
        <v>1</v>
      </c>
    </row>
    <row r="3042" spans="1:4" ht="12.75" x14ac:dyDescent="0.35">
      <c r="A3042" s="5">
        <v>44733</v>
      </c>
      <c r="B3042" s="3" t="s">
        <v>1208</v>
      </c>
      <c r="C3042" s="3">
        <v>5.08</v>
      </c>
      <c r="D3042" s="3">
        <v>2</v>
      </c>
    </row>
    <row r="3043" spans="1:4" ht="12.75" x14ac:dyDescent="0.35">
      <c r="A3043" s="4">
        <v>44702</v>
      </c>
      <c r="B3043" s="3" t="s">
        <v>220</v>
      </c>
      <c r="C3043" s="3">
        <v>5.07</v>
      </c>
      <c r="D3043" s="3">
        <v>3</v>
      </c>
    </row>
    <row r="3044" spans="1:4" ht="12.75" x14ac:dyDescent="0.35">
      <c r="A3044" s="5">
        <v>44733</v>
      </c>
      <c r="B3044" s="3" t="s">
        <v>780</v>
      </c>
      <c r="C3044" s="3">
        <v>5.07</v>
      </c>
      <c r="D3044" s="3">
        <v>2</v>
      </c>
    </row>
    <row r="3045" spans="1:4" ht="12.75" x14ac:dyDescent="0.35">
      <c r="A3045" s="5">
        <v>44733</v>
      </c>
      <c r="B3045" s="3" t="s">
        <v>1466</v>
      </c>
      <c r="C3045" s="3">
        <v>5.07</v>
      </c>
      <c r="D3045" s="3">
        <v>1</v>
      </c>
    </row>
    <row r="3046" spans="1:4" ht="12.75" x14ac:dyDescent="0.35">
      <c r="A3046" s="4">
        <v>44794</v>
      </c>
      <c r="B3046" s="3" t="s">
        <v>1700</v>
      </c>
      <c r="C3046" s="3">
        <v>5.07</v>
      </c>
      <c r="D3046" s="3">
        <v>1</v>
      </c>
    </row>
    <row r="3047" spans="1:4" ht="12.75" x14ac:dyDescent="0.35">
      <c r="A3047" s="4">
        <v>44916</v>
      </c>
      <c r="B3047" s="3" t="s">
        <v>1322</v>
      </c>
      <c r="C3047" s="3">
        <v>5.07</v>
      </c>
      <c r="D3047" s="3">
        <v>1</v>
      </c>
    </row>
    <row r="3048" spans="1:4" ht="12.75" x14ac:dyDescent="0.35">
      <c r="A3048" s="4">
        <v>44825</v>
      </c>
      <c r="B3048" s="3" t="s">
        <v>1799</v>
      </c>
      <c r="C3048" s="3">
        <v>5.0599999999999996</v>
      </c>
      <c r="D3048" s="3">
        <v>1</v>
      </c>
    </row>
    <row r="3049" spans="1:4" ht="12.75" x14ac:dyDescent="0.35">
      <c r="A3049" s="5">
        <v>44733</v>
      </c>
      <c r="B3049" s="3" t="s">
        <v>1379</v>
      </c>
      <c r="C3049" s="3">
        <v>5.03</v>
      </c>
      <c r="D3049" s="3">
        <v>1</v>
      </c>
    </row>
    <row r="3050" spans="1:4" ht="12.75" x14ac:dyDescent="0.35">
      <c r="A3050" s="4">
        <v>44613</v>
      </c>
      <c r="B3050" s="3" t="s">
        <v>434</v>
      </c>
      <c r="C3050" s="3">
        <v>5.0199999999999996</v>
      </c>
      <c r="D3050" s="3">
        <v>1</v>
      </c>
    </row>
    <row r="3051" spans="1:4" ht="12.75" x14ac:dyDescent="0.35">
      <c r="A3051" s="4">
        <v>44702</v>
      </c>
      <c r="B3051" s="3" t="s">
        <v>1069</v>
      </c>
      <c r="C3051" s="3">
        <v>5</v>
      </c>
      <c r="D3051" s="3">
        <v>1</v>
      </c>
    </row>
    <row r="3052" spans="1:4" ht="12.75" x14ac:dyDescent="0.35">
      <c r="A3052" s="5">
        <v>44733</v>
      </c>
      <c r="B3052" s="3" t="s">
        <v>1349</v>
      </c>
      <c r="C3052" s="3">
        <v>5</v>
      </c>
      <c r="D3052" s="3">
        <v>1</v>
      </c>
    </row>
    <row r="3053" spans="1:4" ht="12.75" x14ac:dyDescent="0.35">
      <c r="A3053" s="5">
        <v>44733</v>
      </c>
      <c r="B3053" s="3" t="s">
        <v>497</v>
      </c>
      <c r="C3053" s="3">
        <v>5</v>
      </c>
      <c r="D3053" s="3">
        <v>1</v>
      </c>
    </row>
    <row r="3054" spans="1:4" ht="12.75" x14ac:dyDescent="0.35">
      <c r="A3054" s="4">
        <v>44916</v>
      </c>
      <c r="B3054" s="3" t="s">
        <v>412</v>
      </c>
      <c r="C3054" s="3">
        <v>5</v>
      </c>
      <c r="D3054" s="3">
        <v>4</v>
      </c>
    </row>
    <row r="3055" spans="1:4" ht="12.75" x14ac:dyDescent="0.35">
      <c r="A3055" s="4">
        <v>44916</v>
      </c>
      <c r="B3055" s="3" t="s">
        <v>343</v>
      </c>
      <c r="C3055" s="3">
        <v>5</v>
      </c>
      <c r="D3055" s="3">
        <v>3</v>
      </c>
    </row>
    <row r="3056" spans="1:4" ht="12.75" x14ac:dyDescent="0.35">
      <c r="A3056" s="4">
        <v>44672</v>
      </c>
      <c r="B3056" s="3" t="s">
        <v>837</v>
      </c>
      <c r="C3056" s="3">
        <v>4.9800000000000004</v>
      </c>
      <c r="D3056" s="3">
        <v>3</v>
      </c>
    </row>
    <row r="3057" spans="1:4" ht="12.75" x14ac:dyDescent="0.35">
      <c r="A3057" s="5">
        <v>44763</v>
      </c>
      <c r="B3057" s="3" t="s">
        <v>611</v>
      </c>
      <c r="C3057" s="3">
        <v>4.9800000000000004</v>
      </c>
      <c r="D3057" s="3">
        <v>2</v>
      </c>
    </row>
    <row r="3058" spans="1:4" ht="12.75" x14ac:dyDescent="0.35">
      <c r="A3058" s="4">
        <v>44613</v>
      </c>
      <c r="B3058" s="3" t="s">
        <v>521</v>
      </c>
      <c r="C3058" s="3">
        <v>4.9400000000000004</v>
      </c>
      <c r="D3058" s="3">
        <v>2</v>
      </c>
    </row>
    <row r="3059" spans="1:4" ht="12.75" x14ac:dyDescent="0.35">
      <c r="A3059" s="4">
        <v>44702</v>
      </c>
      <c r="B3059" s="3" t="s">
        <v>1113</v>
      </c>
      <c r="C3059" s="3">
        <v>4.9400000000000004</v>
      </c>
      <c r="D3059" s="3">
        <v>1</v>
      </c>
    </row>
    <row r="3060" spans="1:4" ht="12.75" x14ac:dyDescent="0.35">
      <c r="A3060" s="4">
        <v>44825</v>
      </c>
      <c r="B3060" s="3" t="s">
        <v>1656</v>
      </c>
      <c r="C3060" s="3">
        <v>4.93</v>
      </c>
      <c r="D3060" s="3">
        <v>1</v>
      </c>
    </row>
    <row r="3061" spans="1:4" ht="12.75" x14ac:dyDescent="0.35">
      <c r="A3061" s="4">
        <v>44672</v>
      </c>
      <c r="B3061" s="3" t="s">
        <v>939</v>
      </c>
      <c r="C3061" s="3">
        <v>4.91</v>
      </c>
      <c r="D3061" s="3">
        <v>2</v>
      </c>
    </row>
    <row r="3062" spans="1:4" ht="12.75" x14ac:dyDescent="0.35">
      <c r="A3062" s="5">
        <v>44733</v>
      </c>
      <c r="B3062" s="3" t="s">
        <v>1314</v>
      </c>
      <c r="C3062" s="3">
        <v>4.91</v>
      </c>
      <c r="D3062" s="3">
        <v>1</v>
      </c>
    </row>
    <row r="3063" spans="1:4" ht="12.75" x14ac:dyDescent="0.35">
      <c r="A3063" s="4">
        <v>44794</v>
      </c>
      <c r="B3063" s="3" t="s">
        <v>1656</v>
      </c>
      <c r="C3063" s="3">
        <v>4.91</v>
      </c>
      <c r="D3063" s="3">
        <v>1</v>
      </c>
    </row>
    <row r="3064" spans="1:4" ht="12.75" x14ac:dyDescent="0.35">
      <c r="A3064" s="4">
        <v>44582</v>
      </c>
      <c r="B3064" s="3" t="s">
        <v>312</v>
      </c>
      <c r="C3064" s="3">
        <v>4.9000000000000004</v>
      </c>
      <c r="D3064" s="3">
        <v>1</v>
      </c>
    </row>
    <row r="3065" spans="1:4" ht="12.75" x14ac:dyDescent="0.35">
      <c r="A3065" s="4">
        <v>44702</v>
      </c>
      <c r="B3065" s="3" t="s">
        <v>692</v>
      </c>
      <c r="C3065" s="3">
        <v>4.9000000000000004</v>
      </c>
      <c r="D3065" s="3">
        <v>3</v>
      </c>
    </row>
    <row r="3066" spans="1:4" ht="12.75" x14ac:dyDescent="0.35">
      <c r="A3066" s="4">
        <v>44855</v>
      </c>
      <c r="B3066" s="3" t="s">
        <v>379</v>
      </c>
      <c r="C3066" s="3">
        <v>4.9000000000000004</v>
      </c>
      <c r="D3066" s="3">
        <v>1</v>
      </c>
    </row>
    <row r="3067" spans="1:4" ht="12.75" x14ac:dyDescent="0.35">
      <c r="A3067" s="4">
        <v>44613</v>
      </c>
      <c r="B3067" s="3" t="s">
        <v>254</v>
      </c>
      <c r="C3067" s="3">
        <v>4.88</v>
      </c>
      <c r="D3067" s="3">
        <v>1</v>
      </c>
    </row>
    <row r="3068" spans="1:4" ht="12.75" x14ac:dyDescent="0.35">
      <c r="A3068" s="5">
        <v>44733</v>
      </c>
      <c r="B3068" s="3" t="s">
        <v>1377</v>
      </c>
      <c r="C3068" s="3">
        <v>4.88</v>
      </c>
      <c r="D3068" s="3">
        <v>2</v>
      </c>
    </row>
    <row r="3069" spans="1:4" ht="12.75" x14ac:dyDescent="0.35">
      <c r="A3069" s="4">
        <v>44886</v>
      </c>
      <c r="B3069" s="3" t="s">
        <v>533</v>
      </c>
      <c r="C3069" s="3">
        <v>4.8600000000000003</v>
      </c>
      <c r="D3069" s="3">
        <v>1</v>
      </c>
    </row>
    <row r="3070" spans="1:4" ht="12.75" x14ac:dyDescent="0.35">
      <c r="A3070" s="4">
        <v>44825</v>
      </c>
      <c r="B3070" s="3" t="s">
        <v>299</v>
      </c>
      <c r="C3070" s="3">
        <v>4.84</v>
      </c>
      <c r="D3070" s="3">
        <v>2</v>
      </c>
    </row>
    <row r="3071" spans="1:4" ht="12.75" x14ac:dyDescent="0.35">
      <c r="A3071" s="5">
        <v>44733</v>
      </c>
      <c r="B3071" s="3" t="s">
        <v>1250</v>
      </c>
      <c r="C3071" s="3">
        <v>4.82</v>
      </c>
      <c r="D3071" s="3">
        <v>1</v>
      </c>
    </row>
    <row r="3072" spans="1:4" ht="12.75" x14ac:dyDescent="0.35">
      <c r="A3072" s="4">
        <v>44794</v>
      </c>
      <c r="B3072" s="3" t="s">
        <v>1578</v>
      </c>
      <c r="C3072" s="3">
        <v>4.82</v>
      </c>
      <c r="D3072" s="3">
        <v>1</v>
      </c>
    </row>
    <row r="3073" spans="1:4" ht="12.75" x14ac:dyDescent="0.35">
      <c r="A3073" s="4">
        <v>44582</v>
      </c>
      <c r="B3073" s="3" t="s">
        <v>49</v>
      </c>
      <c r="C3073" s="3">
        <v>4.8</v>
      </c>
      <c r="D3073" s="3">
        <v>3</v>
      </c>
    </row>
    <row r="3074" spans="1:4" ht="12.75" x14ac:dyDescent="0.35">
      <c r="A3074" s="4">
        <v>44672</v>
      </c>
      <c r="B3074" s="3" t="s">
        <v>966</v>
      </c>
      <c r="C3074" s="3">
        <v>4.8</v>
      </c>
      <c r="D3074" s="3">
        <v>1</v>
      </c>
    </row>
    <row r="3075" spans="1:4" ht="12.75" x14ac:dyDescent="0.35">
      <c r="A3075" s="5">
        <v>44733</v>
      </c>
      <c r="B3075" s="3" t="s">
        <v>1001</v>
      </c>
      <c r="C3075" s="3">
        <v>4.8</v>
      </c>
      <c r="D3075" s="3">
        <v>1</v>
      </c>
    </row>
    <row r="3076" spans="1:4" ht="12.75" x14ac:dyDescent="0.35">
      <c r="A3076" s="5">
        <v>44733</v>
      </c>
      <c r="B3076" s="3" t="s">
        <v>1364</v>
      </c>
      <c r="C3076" s="3">
        <v>4.8</v>
      </c>
      <c r="D3076" s="3">
        <v>1</v>
      </c>
    </row>
    <row r="3077" spans="1:4" ht="12.75" x14ac:dyDescent="0.35">
      <c r="A3077" s="4">
        <v>44825</v>
      </c>
      <c r="B3077" s="3" t="s">
        <v>1740</v>
      </c>
      <c r="C3077" s="3">
        <v>4.8</v>
      </c>
      <c r="D3077" s="3">
        <v>1</v>
      </c>
    </row>
    <row r="3078" spans="1:4" ht="12.75" x14ac:dyDescent="0.35">
      <c r="A3078" s="4">
        <v>44702</v>
      </c>
      <c r="B3078" s="3" t="s">
        <v>1010</v>
      </c>
      <c r="C3078" s="3">
        <v>4.7699999999999996</v>
      </c>
      <c r="D3078" s="3">
        <v>1</v>
      </c>
    </row>
    <row r="3079" spans="1:4" ht="12.75" x14ac:dyDescent="0.35">
      <c r="A3079" s="5">
        <v>44733</v>
      </c>
      <c r="B3079" s="3" t="s">
        <v>1274</v>
      </c>
      <c r="C3079" s="3">
        <v>4.7699999999999996</v>
      </c>
      <c r="D3079" s="3">
        <v>1</v>
      </c>
    </row>
    <row r="3080" spans="1:4" ht="12.75" x14ac:dyDescent="0.35">
      <c r="A3080" s="5">
        <v>44733</v>
      </c>
      <c r="B3080" s="3" t="s">
        <v>1205</v>
      </c>
      <c r="C3080" s="3">
        <v>4.76</v>
      </c>
      <c r="D3080" s="3">
        <v>1</v>
      </c>
    </row>
    <row r="3081" spans="1:4" ht="12.75" x14ac:dyDescent="0.35">
      <c r="A3081" s="5">
        <v>44733</v>
      </c>
      <c r="B3081" s="3" t="s">
        <v>1220</v>
      </c>
      <c r="C3081" s="3">
        <v>4.76</v>
      </c>
      <c r="D3081" s="3">
        <v>1</v>
      </c>
    </row>
    <row r="3082" spans="1:4" ht="12.75" x14ac:dyDescent="0.35">
      <c r="A3082" s="5">
        <v>44763</v>
      </c>
      <c r="B3082" s="3" t="s">
        <v>997</v>
      </c>
      <c r="C3082" s="3">
        <v>4.76</v>
      </c>
      <c r="D3082" s="3">
        <v>1</v>
      </c>
    </row>
    <row r="3083" spans="1:4" ht="12.75" x14ac:dyDescent="0.35">
      <c r="A3083" s="4">
        <v>44672</v>
      </c>
      <c r="B3083" s="3" t="s">
        <v>752</v>
      </c>
      <c r="C3083" s="3">
        <v>4.75</v>
      </c>
      <c r="D3083" s="3">
        <v>1</v>
      </c>
    </row>
    <row r="3084" spans="1:4" ht="12.75" x14ac:dyDescent="0.35">
      <c r="A3084" s="4">
        <v>44702</v>
      </c>
      <c r="B3084" s="3" t="s">
        <v>1005</v>
      </c>
      <c r="C3084" s="3">
        <v>4.75</v>
      </c>
      <c r="D3084" s="3">
        <v>2</v>
      </c>
    </row>
    <row r="3085" spans="1:4" ht="12.75" x14ac:dyDescent="0.35">
      <c r="A3085" s="4">
        <v>44582</v>
      </c>
      <c r="B3085" s="3" t="s">
        <v>246</v>
      </c>
      <c r="C3085" s="3">
        <v>4.74</v>
      </c>
      <c r="D3085" s="3">
        <v>1</v>
      </c>
    </row>
    <row r="3086" spans="1:4" ht="12.75" x14ac:dyDescent="0.35">
      <c r="A3086" s="5">
        <v>44733</v>
      </c>
      <c r="B3086" s="3" t="s">
        <v>1169</v>
      </c>
      <c r="C3086" s="3">
        <v>4.74</v>
      </c>
      <c r="D3086" s="3">
        <v>1</v>
      </c>
    </row>
    <row r="3087" spans="1:4" ht="12.75" x14ac:dyDescent="0.35">
      <c r="A3087" s="5">
        <v>44733</v>
      </c>
      <c r="B3087" s="3" t="s">
        <v>1441</v>
      </c>
      <c r="C3087" s="3">
        <v>4.71</v>
      </c>
      <c r="D3087" s="3">
        <v>1</v>
      </c>
    </row>
    <row r="3088" spans="1:4" ht="12.75" x14ac:dyDescent="0.35">
      <c r="A3088" s="4">
        <v>44641</v>
      </c>
      <c r="B3088" s="3" t="s">
        <v>787</v>
      </c>
      <c r="C3088" s="3">
        <v>4.7</v>
      </c>
      <c r="D3088" s="3">
        <v>3</v>
      </c>
    </row>
    <row r="3089" spans="1:4" ht="12.75" x14ac:dyDescent="0.35">
      <c r="A3089" s="5">
        <v>44733</v>
      </c>
      <c r="B3089" s="3" t="s">
        <v>1170</v>
      </c>
      <c r="C3089" s="3">
        <v>4.7</v>
      </c>
      <c r="D3089" s="3">
        <v>1</v>
      </c>
    </row>
    <row r="3090" spans="1:4" ht="12.75" x14ac:dyDescent="0.35">
      <c r="A3090" s="4">
        <v>44672</v>
      </c>
      <c r="B3090" s="3" t="s">
        <v>895</v>
      </c>
      <c r="C3090" s="3">
        <v>4.6900000000000004</v>
      </c>
      <c r="D3090" s="3">
        <v>1</v>
      </c>
    </row>
    <row r="3091" spans="1:4" ht="12.75" x14ac:dyDescent="0.35">
      <c r="A3091" s="5">
        <v>44733</v>
      </c>
      <c r="B3091" s="3" t="s">
        <v>1435</v>
      </c>
      <c r="C3091" s="3">
        <v>4.68</v>
      </c>
      <c r="D3091" s="3">
        <v>1</v>
      </c>
    </row>
    <row r="3092" spans="1:4" ht="12.75" x14ac:dyDescent="0.35">
      <c r="A3092" s="4">
        <v>44855</v>
      </c>
      <c r="B3092" s="3" t="s">
        <v>1619</v>
      </c>
      <c r="C3092" s="3">
        <v>4.68</v>
      </c>
      <c r="D3092" s="3">
        <v>1</v>
      </c>
    </row>
    <row r="3093" spans="1:4" ht="12.75" x14ac:dyDescent="0.35">
      <c r="A3093" s="5">
        <v>44733</v>
      </c>
      <c r="B3093" s="3" t="s">
        <v>1434</v>
      </c>
      <c r="C3093" s="3">
        <v>4.67</v>
      </c>
      <c r="D3093" s="3">
        <v>1</v>
      </c>
    </row>
    <row r="3094" spans="1:4" ht="12.75" x14ac:dyDescent="0.35">
      <c r="A3094" s="4">
        <v>44825</v>
      </c>
      <c r="B3094" s="3" t="s">
        <v>1765</v>
      </c>
      <c r="C3094" s="3">
        <v>4.66</v>
      </c>
      <c r="D3094" s="3">
        <v>2</v>
      </c>
    </row>
    <row r="3095" spans="1:4" ht="12.75" x14ac:dyDescent="0.35">
      <c r="A3095" s="4">
        <v>44702</v>
      </c>
      <c r="B3095" s="3" t="s">
        <v>1015</v>
      </c>
      <c r="C3095" s="3">
        <v>4.6500000000000004</v>
      </c>
      <c r="D3095" s="3">
        <v>1</v>
      </c>
    </row>
    <row r="3096" spans="1:4" ht="12.75" x14ac:dyDescent="0.35">
      <c r="A3096" s="5">
        <v>44763</v>
      </c>
      <c r="B3096" s="3" t="s">
        <v>735</v>
      </c>
      <c r="C3096" s="3">
        <v>4.63</v>
      </c>
      <c r="D3096" s="3">
        <v>1</v>
      </c>
    </row>
    <row r="3097" spans="1:4" ht="12.75" x14ac:dyDescent="0.35">
      <c r="A3097" s="4">
        <v>44582</v>
      </c>
      <c r="B3097" s="3" t="s">
        <v>179</v>
      </c>
      <c r="C3097" s="3">
        <v>4.62</v>
      </c>
      <c r="D3097" s="3">
        <v>2</v>
      </c>
    </row>
    <row r="3098" spans="1:4" ht="12.75" x14ac:dyDescent="0.35">
      <c r="A3098" s="4">
        <v>44613</v>
      </c>
      <c r="B3098" s="3" t="s">
        <v>409</v>
      </c>
      <c r="C3098" s="3">
        <v>4.62</v>
      </c>
      <c r="D3098" s="3">
        <v>1</v>
      </c>
    </row>
    <row r="3099" spans="1:4" ht="12.75" x14ac:dyDescent="0.35">
      <c r="A3099" s="4">
        <v>44702</v>
      </c>
      <c r="B3099" s="3" t="s">
        <v>916</v>
      </c>
      <c r="C3099" s="3">
        <v>4.62</v>
      </c>
      <c r="D3099" s="3">
        <v>1</v>
      </c>
    </row>
    <row r="3100" spans="1:4" ht="12.75" x14ac:dyDescent="0.35">
      <c r="A3100" s="5">
        <v>44733</v>
      </c>
      <c r="B3100" s="3" t="s">
        <v>1317</v>
      </c>
      <c r="C3100" s="3">
        <v>4.62</v>
      </c>
      <c r="D3100" s="3">
        <v>1</v>
      </c>
    </row>
    <row r="3101" spans="1:4" ht="12.75" x14ac:dyDescent="0.35">
      <c r="A3101" s="4">
        <v>44641</v>
      </c>
      <c r="B3101" s="3" t="s">
        <v>746</v>
      </c>
      <c r="C3101" s="3">
        <v>4.6100000000000003</v>
      </c>
      <c r="D3101" s="3">
        <v>1</v>
      </c>
    </row>
    <row r="3102" spans="1:4" ht="12.75" x14ac:dyDescent="0.35">
      <c r="A3102" s="4">
        <v>44672</v>
      </c>
      <c r="B3102" s="3" t="s">
        <v>816</v>
      </c>
      <c r="C3102" s="3">
        <v>4.6100000000000003</v>
      </c>
      <c r="D3102" s="3">
        <v>1</v>
      </c>
    </row>
    <row r="3103" spans="1:4" ht="12.75" x14ac:dyDescent="0.35">
      <c r="A3103" s="5">
        <v>44733</v>
      </c>
      <c r="B3103" s="3" t="s">
        <v>1320</v>
      </c>
      <c r="C3103" s="3">
        <v>4.6100000000000003</v>
      </c>
      <c r="D3103" s="3">
        <v>1</v>
      </c>
    </row>
    <row r="3104" spans="1:4" ht="12.75" x14ac:dyDescent="0.35">
      <c r="A3104" s="4">
        <v>44886</v>
      </c>
      <c r="B3104" s="3" t="s">
        <v>666</v>
      </c>
      <c r="C3104" s="3">
        <v>4.6100000000000003</v>
      </c>
      <c r="D3104" s="3">
        <v>1</v>
      </c>
    </row>
    <row r="3105" spans="1:4" ht="12.75" x14ac:dyDescent="0.35">
      <c r="A3105" s="5">
        <v>44733</v>
      </c>
      <c r="B3105" s="3" t="s">
        <v>1301</v>
      </c>
      <c r="C3105" s="3">
        <v>4.59</v>
      </c>
      <c r="D3105" s="3">
        <v>1</v>
      </c>
    </row>
    <row r="3106" spans="1:4" ht="12.75" x14ac:dyDescent="0.35">
      <c r="A3106" s="5">
        <v>44733</v>
      </c>
      <c r="B3106" s="3" t="s">
        <v>1390</v>
      </c>
      <c r="C3106" s="3">
        <v>4.59</v>
      </c>
      <c r="D3106" s="3">
        <v>1</v>
      </c>
    </row>
    <row r="3107" spans="1:4" ht="12.75" x14ac:dyDescent="0.35">
      <c r="A3107" s="4">
        <v>44886</v>
      </c>
      <c r="B3107" s="3" t="s">
        <v>1704</v>
      </c>
      <c r="C3107" s="3">
        <v>4.59</v>
      </c>
      <c r="D3107" s="3">
        <v>2</v>
      </c>
    </row>
    <row r="3108" spans="1:4" ht="12.75" x14ac:dyDescent="0.35">
      <c r="A3108" s="4">
        <v>44702</v>
      </c>
      <c r="B3108" s="3" t="s">
        <v>1059</v>
      </c>
      <c r="C3108" s="3">
        <v>4.58</v>
      </c>
      <c r="D3108" s="3">
        <v>1</v>
      </c>
    </row>
    <row r="3109" spans="1:4" ht="12.75" x14ac:dyDescent="0.35">
      <c r="A3109" s="5">
        <v>44733</v>
      </c>
      <c r="B3109" s="3" t="s">
        <v>1353</v>
      </c>
      <c r="C3109" s="3">
        <v>4.58</v>
      </c>
      <c r="D3109" s="3">
        <v>1</v>
      </c>
    </row>
    <row r="3110" spans="1:4" ht="12.75" x14ac:dyDescent="0.35">
      <c r="A3110" s="5">
        <v>44733</v>
      </c>
      <c r="B3110" s="3" t="s">
        <v>1368</v>
      </c>
      <c r="C3110" s="3">
        <v>4.58</v>
      </c>
      <c r="D3110" s="3">
        <v>1</v>
      </c>
    </row>
    <row r="3111" spans="1:4" ht="12.75" x14ac:dyDescent="0.35">
      <c r="A3111" s="5">
        <v>44733</v>
      </c>
      <c r="B3111" s="3" t="s">
        <v>775</v>
      </c>
      <c r="C3111" s="3">
        <v>4.58</v>
      </c>
      <c r="D3111" s="3">
        <v>1</v>
      </c>
    </row>
    <row r="3112" spans="1:4" ht="12.75" x14ac:dyDescent="0.35">
      <c r="A3112" s="4">
        <v>44794</v>
      </c>
      <c r="B3112" s="3" t="s">
        <v>78</v>
      </c>
      <c r="C3112" s="3">
        <v>4.58</v>
      </c>
      <c r="D3112" s="3">
        <v>1</v>
      </c>
    </row>
    <row r="3113" spans="1:4" ht="12.75" x14ac:dyDescent="0.35">
      <c r="A3113" s="4">
        <v>44916</v>
      </c>
      <c r="B3113" s="3" t="s">
        <v>1923</v>
      </c>
      <c r="C3113" s="3">
        <v>4.57</v>
      </c>
      <c r="D3113" s="3">
        <v>1</v>
      </c>
    </row>
    <row r="3114" spans="1:4" ht="12.75" x14ac:dyDescent="0.35">
      <c r="A3114" s="4">
        <v>44672</v>
      </c>
      <c r="B3114" s="3" t="s">
        <v>830</v>
      </c>
      <c r="C3114" s="3">
        <v>4.5599999999999996</v>
      </c>
      <c r="D3114" s="3">
        <v>1</v>
      </c>
    </row>
    <row r="3115" spans="1:4" ht="12.75" x14ac:dyDescent="0.35">
      <c r="A3115" s="5">
        <v>44733</v>
      </c>
      <c r="B3115" s="3" t="s">
        <v>1212</v>
      </c>
      <c r="C3115" s="3">
        <v>4.5599999999999996</v>
      </c>
      <c r="D3115" s="3">
        <v>1</v>
      </c>
    </row>
    <row r="3116" spans="1:4" ht="12.75" x14ac:dyDescent="0.35">
      <c r="A3116" s="4">
        <v>44855</v>
      </c>
      <c r="B3116" s="3" t="s">
        <v>841</v>
      </c>
      <c r="C3116" s="3">
        <v>4.5599999999999996</v>
      </c>
      <c r="D3116" s="3">
        <v>1</v>
      </c>
    </row>
    <row r="3117" spans="1:4" ht="12.75" x14ac:dyDescent="0.35">
      <c r="A3117" s="5">
        <v>44733</v>
      </c>
      <c r="B3117" s="3" t="s">
        <v>1288</v>
      </c>
      <c r="C3117" s="3">
        <v>4.55</v>
      </c>
      <c r="D3117" s="3">
        <v>2</v>
      </c>
    </row>
    <row r="3118" spans="1:4" ht="12.75" x14ac:dyDescent="0.35">
      <c r="A3118" s="5">
        <v>44733</v>
      </c>
      <c r="B3118" s="3" t="s">
        <v>1289</v>
      </c>
      <c r="C3118" s="3">
        <v>4.55</v>
      </c>
      <c r="D3118" s="3">
        <v>1</v>
      </c>
    </row>
    <row r="3119" spans="1:4" ht="12.75" x14ac:dyDescent="0.35">
      <c r="A3119" s="4">
        <v>44916</v>
      </c>
      <c r="B3119" s="3" t="s">
        <v>1940</v>
      </c>
      <c r="C3119" s="3">
        <v>4.54</v>
      </c>
      <c r="D3119" s="3">
        <v>1</v>
      </c>
    </row>
    <row r="3120" spans="1:4" ht="12.75" x14ac:dyDescent="0.35">
      <c r="A3120" s="4">
        <v>44582</v>
      </c>
      <c r="B3120" s="3" t="s">
        <v>213</v>
      </c>
      <c r="C3120" s="3">
        <v>4.53</v>
      </c>
      <c r="D3120" s="3">
        <v>1</v>
      </c>
    </row>
    <row r="3121" spans="1:4" ht="12.75" x14ac:dyDescent="0.35">
      <c r="A3121" s="5">
        <v>44733</v>
      </c>
      <c r="B3121" s="3" t="s">
        <v>1356</v>
      </c>
      <c r="C3121" s="3">
        <v>4.53</v>
      </c>
      <c r="D3121" s="3">
        <v>1</v>
      </c>
    </row>
    <row r="3122" spans="1:4" ht="12.75" x14ac:dyDescent="0.35">
      <c r="A3122" s="4">
        <v>44916</v>
      </c>
      <c r="B3122" s="3" t="s">
        <v>1860</v>
      </c>
      <c r="C3122" s="3">
        <v>4.5199999999999996</v>
      </c>
      <c r="D3122" s="3">
        <v>1</v>
      </c>
    </row>
    <row r="3123" spans="1:4" ht="12.75" x14ac:dyDescent="0.35">
      <c r="A3123" s="5">
        <v>44763</v>
      </c>
      <c r="B3123" s="3" t="s">
        <v>533</v>
      </c>
      <c r="C3123" s="3">
        <v>4.51</v>
      </c>
      <c r="D3123" s="3">
        <v>1</v>
      </c>
    </row>
    <row r="3124" spans="1:4" ht="12.75" x14ac:dyDescent="0.35">
      <c r="A3124" s="4">
        <v>44672</v>
      </c>
      <c r="B3124" s="3" t="s">
        <v>909</v>
      </c>
      <c r="C3124" s="3">
        <v>4.5</v>
      </c>
      <c r="D3124" s="3">
        <v>1</v>
      </c>
    </row>
    <row r="3125" spans="1:4" ht="12.75" x14ac:dyDescent="0.35">
      <c r="A3125" s="4">
        <v>44702</v>
      </c>
      <c r="B3125" s="3" t="s">
        <v>929</v>
      </c>
      <c r="C3125" s="3">
        <v>4.5</v>
      </c>
      <c r="D3125" s="3">
        <v>1</v>
      </c>
    </row>
    <row r="3126" spans="1:4" ht="12.75" x14ac:dyDescent="0.35">
      <c r="A3126" s="4">
        <v>44825</v>
      </c>
      <c r="B3126" s="3" t="s">
        <v>486</v>
      </c>
      <c r="C3126" s="3">
        <v>4.5</v>
      </c>
      <c r="D3126" s="3">
        <v>1</v>
      </c>
    </row>
    <row r="3127" spans="1:4" ht="12.75" x14ac:dyDescent="0.35">
      <c r="A3127" s="4">
        <v>44825</v>
      </c>
      <c r="B3127" s="3" t="s">
        <v>1796</v>
      </c>
      <c r="C3127" s="3">
        <v>4.5</v>
      </c>
      <c r="D3127" s="3">
        <v>1</v>
      </c>
    </row>
    <row r="3128" spans="1:4" ht="12.75" x14ac:dyDescent="0.35">
      <c r="A3128" s="4">
        <v>44672</v>
      </c>
      <c r="B3128" s="3" t="s">
        <v>914</v>
      </c>
      <c r="C3128" s="3">
        <v>4.47</v>
      </c>
      <c r="D3128" s="3">
        <v>1</v>
      </c>
    </row>
    <row r="3129" spans="1:4" ht="12.75" x14ac:dyDescent="0.35">
      <c r="A3129" s="4">
        <v>44794</v>
      </c>
      <c r="B3129" s="3" t="s">
        <v>194</v>
      </c>
      <c r="C3129" s="3">
        <v>4.47</v>
      </c>
      <c r="D3129" s="3">
        <v>6</v>
      </c>
    </row>
    <row r="3130" spans="1:4" ht="12.75" x14ac:dyDescent="0.35">
      <c r="A3130" s="4">
        <v>44916</v>
      </c>
      <c r="B3130" s="3" t="s">
        <v>419</v>
      </c>
      <c r="C3130" s="3">
        <v>4.47</v>
      </c>
      <c r="D3130" s="3">
        <v>3</v>
      </c>
    </row>
    <row r="3131" spans="1:4" ht="12.75" x14ac:dyDescent="0.35">
      <c r="A3131" s="4">
        <v>44582</v>
      </c>
      <c r="B3131" s="3" t="s">
        <v>272</v>
      </c>
      <c r="C3131" s="3">
        <v>4.45</v>
      </c>
      <c r="D3131" s="3">
        <v>1</v>
      </c>
    </row>
    <row r="3132" spans="1:4" ht="12.75" x14ac:dyDescent="0.35">
      <c r="A3132" s="5">
        <v>44733</v>
      </c>
      <c r="B3132" s="3" t="s">
        <v>1200</v>
      </c>
      <c r="C3132" s="3">
        <v>4.4400000000000004</v>
      </c>
      <c r="D3132" s="3">
        <v>1</v>
      </c>
    </row>
    <row r="3133" spans="1:4" ht="12.75" x14ac:dyDescent="0.35">
      <c r="A3133" s="4">
        <v>44702</v>
      </c>
      <c r="B3133" s="3" t="s">
        <v>988</v>
      </c>
      <c r="C3133" s="3">
        <v>4.43</v>
      </c>
      <c r="D3133" s="3">
        <v>1</v>
      </c>
    </row>
    <row r="3134" spans="1:4" ht="12.75" x14ac:dyDescent="0.35">
      <c r="A3134" s="5">
        <v>44733</v>
      </c>
      <c r="B3134" s="3" t="s">
        <v>720</v>
      </c>
      <c r="C3134" s="3">
        <v>4.43</v>
      </c>
      <c r="D3134" s="3">
        <v>1</v>
      </c>
    </row>
    <row r="3135" spans="1:4" ht="12.75" x14ac:dyDescent="0.35">
      <c r="A3135" s="4">
        <v>44641</v>
      </c>
      <c r="B3135" s="3" t="s">
        <v>356</v>
      </c>
      <c r="C3135" s="3">
        <v>4.42</v>
      </c>
      <c r="D3135" s="3">
        <v>2</v>
      </c>
    </row>
    <row r="3136" spans="1:4" ht="12.75" x14ac:dyDescent="0.35">
      <c r="A3136" s="4">
        <v>44672</v>
      </c>
      <c r="B3136" s="3" t="s">
        <v>927</v>
      </c>
      <c r="C3136" s="3">
        <v>4.42</v>
      </c>
      <c r="D3136" s="3">
        <v>1</v>
      </c>
    </row>
    <row r="3137" spans="1:4" ht="12.75" x14ac:dyDescent="0.35">
      <c r="A3137" s="4">
        <v>44613</v>
      </c>
      <c r="B3137" s="3" t="s">
        <v>442</v>
      </c>
      <c r="C3137" s="3">
        <v>4.41</v>
      </c>
      <c r="D3137" s="3">
        <v>1</v>
      </c>
    </row>
    <row r="3138" spans="1:4" ht="12.75" x14ac:dyDescent="0.35">
      <c r="A3138" s="4">
        <v>44702</v>
      </c>
      <c r="B3138" s="3" t="s">
        <v>443</v>
      </c>
      <c r="C3138" s="3">
        <v>4.41</v>
      </c>
      <c r="D3138" s="3">
        <v>1</v>
      </c>
    </row>
    <row r="3139" spans="1:4" ht="12.75" x14ac:dyDescent="0.35">
      <c r="A3139" s="5">
        <v>44733</v>
      </c>
      <c r="B3139" s="3" t="s">
        <v>678</v>
      </c>
      <c r="C3139" s="3">
        <v>4.41</v>
      </c>
      <c r="D3139" s="3">
        <v>1</v>
      </c>
    </row>
    <row r="3140" spans="1:4" ht="12.75" x14ac:dyDescent="0.35">
      <c r="A3140" s="4">
        <v>44855</v>
      </c>
      <c r="B3140" s="3" t="s">
        <v>1416</v>
      </c>
      <c r="C3140" s="3">
        <v>4.4000000000000004</v>
      </c>
      <c r="D3140" s="3">
        <v>1</v>
      </c>
    </row>
    <row r="3141" spans="1:4" ht="12.75" x14ac:dyDescent="0.35">
      <c r="A3141" s="4">
        <v>44613</v>
      </c>
      <c r="B3141" s="3" t="s">
        <v>584</v>
      </c>
      <c r="C3141" s="3">
        <v>4.38</v>
      </c>
      <c r="D3141" s="3">
        <v>1</v>
      </c>
    </row>
    <row r="3142" spans="1:4" ht="12.75" x14ac:dyDescent="0.35">
      <c r="A3142" s="4">
        <v>44672</v>
      </c>
      <c r="B3142" s="3" t="s">
        <v>926</v>
      </c>
      <c r="C3142" s="3">
        <v>4.38</v>
      </c>
      <c r="D3142" s="3">
        <v>1</v>
      </c>
    </row>
    <row r="3143" spans="1:4" ht="12.75" x14ac:dyDescent="0.35">
      <c r="A3143" s="5">
        <v>44733</v>
      </c>
      <c r="B3143" s="3" t="s">
        <v>1175</v>
      </c>
      <c r="C3143" s="3">
        <v>4.38</v>
      </c>
      <c r="D3143" s="3">
        <v>1</v>
      </c>
    </row>
    <row r="3144" spans="1:4" ht="12.75" x14ac:dyDescent="0.35">
      <c r="A3144" s="5">
        <v>44733</v>
      </c>
      <c r="B3144" s="3" t="s">
        <v>1232</v>
      </c>
      <c r="C3144" s="3">
        <v>4.38</v>
      </c>
      <c r="D3144" s="3">
        <v>1</v>
      </c>
    </row>
    <row r="3145" spans="1:4" ht="12.75" x14ac:dyDescent="0.35">
      <c r="A3145" s="5">
        <v>44733</v>
      </c>
      <c r="B3145" s="3" t="s">
        <v>1346</v>
      </c>
      <c r="C3145" s="3">
        <v>4.38</v>
      </c>
      <c r="D3145" s="3">
        <v>1</v>
      </c>
    </row>
    <row r="3146" spans="1:4" ht="12.75" x14ac:dyDescent="0.35">
      <c r="A3146" s="4">
        <v>44672</v>
      </c>
      <c r="B3146" s="3" t="s">
        <v>639</v>
      </c>
      <c r="C3146" s="3">
        <v>4.3499999999999996</v>
      </c>
      <c r="D3146" s="3">
        <v>1</v>
      </c>
    </row>
    <row r="3147" spans="1:4" ht="12.75" x14ac:dyDescent="0.35">
      <c r="A3147" s="5">
        <v>44733</v>
      </c>
      <c r="B3147" s="3" t="s">
        <v>1284</v>
      </c>
      <c r="C3147" s="3">
        <v>4.3499999999999996</v>
      </c>
      <c r="D3147" s="3">
        <v>1</v>
      </c>
    </row>
    <row r="3148" spans="1:4" ht="12.75" x14ac:dyDescent="0.35">
      <c r="A3148" s="4">
        <v>44794</v>
      </c>
      <c r="B3148" s="3" t="s">
        <v>1639</v>
      </c>
      <c r="C3148" s="3">
        <v>4.3499999999999996</v>
      </c>
      <c r="D3148" s="3">
        <v>1</v>
      </c>
    </row>
    <row r="3149" spans="1:4" ht="12.75" x14ac:dyDescent="0.35">
      <c r="A3149" s="4">
        <v>44641</v>
      </c>
      <c r="B3149" s="3" t="s">
        <v>9</v>
      </c>
      <c r="C3149" s="3">
        <v>4.34</v>
      </c>
      <c r="D3149" s="3">
        <v>1</v>
      </c>
    </row>
    <row r="3150" spans="1:4" ht="12.75" x14ac:dyDescent="0.35">
      <c r="A3150" s="4">
        <v>44702</v>
      </c>
      <c r="B3150" s="3" t="s">
        <v>29</v>
      </c>
      <c r="C3150" s="3">
        <v>4.34</v>
      </c>
      <c r="D3150" s="3">
        <v>1</v>
      </c>
    </row>
    <row r="3151" spans="1:4" ht="12.75" x14ac:dyDescent="0.35">
      <c r="A3151" s="5">
        <v>44733</v>
      </c>
      <c r="B3151" s="3" t="s">
        <v>947</v>
      </c>
      <c r="C3151" s="3">
        <v>4.34</v>
      </c>
      <c r="D3151" s="3">
        <v>1</v>
      </c>
    </row>
    <row r="3152" spans="1:4" ht="12.75" x14ac:dyDescent="0.35">
      <c r="A3152" s="4">
        <v>44886</v>
      </c>
      <c r="B3152" s="3" t="s">
        <v>364</v>
      </c>
      <c r="C3152" s="3">
        <v>4.34</v>
      </c>
      <c r="D3152" s="3">
        <v>1</v>
      </c>
    </row>
    <row r="3153" spans="1:4" ht="12.75" x14ac:dyDescent="0.35">
      <c r="A3153" s="5">
        <v>44763</v>
      </c>
      <c r="B3153" s="3" t="s">
        <v>24</v>
      </c>
      <c r="C3153" s="3">
        <v>4.33</v>
      </c>
      <c r="D3153" s="3">
        <v>2</v>
      </c>
    </row>
    <row r="3154" spans="1:4" ht="12.75" x14ac:dyDescent="0.35">
      <c r="A3154" s="5">
        <v>44733</v>
      </c>
      <c r="B3154" s="3" t="s">
        <v>1421</v>
      </c>
      <c r="C3154" s="3">
        <v>4.32</v>
      </c>
      <c r="D3154" s="3">
        <v>1</v>
      </c>
    </row>
    <row r="3155" spans="1:4" ht="12.75" x14ac:dyDescent="0.35">
      <c r="A3155" s="4">
        <v>44825</v>
      </c>
      <c r="B3155" s="3" t="s">
        <v>1134</v>
      </c>
      <c r="C3155" s="3">
        <v>4.32</v>
      </c>
      <c r="D3155" s="3">
        <v>1</v>
      </c>
    </row>
    <row r="3156" spans="1:4" ht="12.75" x14ac:dyDescent="0.35">
      <c r="A3156" s="4">
        <v>44641</v>
      </c>
      <c r="B3156" s="3" t="s">
        <v>750</v>
      </c>
      <c r="C3156" s="3">
        <v>4.3099999999999996</v>
      </c>
      <c r="D3156" s="3">
        <v>2</v>
      </c>
    </row>
    <row r="3157" spans="1:4" ht="12.75" x14ac:dyDescent="0.35">
      <c r="A3157" s="5">
        <v>44733</v>
      </c>
      <c r="B3157" s="3" t="s">
        <v>1408</v>
      </c>
      <c r="C3157" s="3">
        <v>4.3099999999999996</v>
      </c>
      <c r="D3157" s="3">
        <v>1</v>
      </c>
    </row>
    <row r="3158" spans="1:4" ht="12.75" x14ac:dyDescent="0.35">
      <c r="A3158" s="4">
        <v>44916</v>
      </c>
      <c r="B3158" s="3" t="s">
        <v>1733</v>
      </c>
      <c r="C3158" s="3">
        <v>4.3</v>
      </c>
      <c r="D3158" s="3">
        <v>1</v>
      </c>
    </row>
    <row r="3159" spans="1:4" ht="12.75" x14ac:dyDescent="0.35">
      <c r="A3159" s="4">
        <v>44702</v>
      </c>
      <c r="B3159" s="3" t="s">
        <v>1083</v>
      </c>
      <c r="C3159" s="3">
        <v>4.29</v>
      </c>
      <c r="D3159" s="3">
        <v>1</v>
      </c>
    </row>
    <row r="3160" spans="1:4" ht="12.75" x14ac:dyDescent="0.35">
      <c r="A3160" s="5">
        <v>44733</v>
      </c>
      <c r="B3160" s="3" t="s">
        <v>1213</v>
      </c>
      <c r="C3160" s="3">
        <v>4.29</v>
      </c>
      <c r="D3160" s="3">
        <v>1</v>
      </c>
    </row>
    <row r="3161" spans="1:4" ht="12.75" x14ac:dyDescent="0.35">
      <c r="A3161" s="4">
        <v>44794</v>
      </c>
      <c r="B3161" s="3" t="s">
        <v>1695</v>
      </c>
      <c r="C3161" s="3">
        <v>4.29</v>
      </c>
      <c r="D3161" s="3">
        <v>2</v>
      </c>
    </row>
    <row r="3162" spans="1:4" ht="12.75" x14ac:dyDescent="0.35">
      <c r="A3162" s="4">
        <v>44582</v>
      </c>
      <c r="B3162" s="3" t="s">
        <v>110</v>
      </c>
      <c r="C3162" s="3">
        <v>4.28</v>
      </c>
      <c r="D3162" s="3">
        <v>1</v>
      </c>
    </row>
    <row r="3163" spans="1:4" ht="12.75" x14ac:dyDescent="0.35">
      <c r="A3163" s="4">
        <v>44702</v>
      </c>
      <c r="B3163" s="3" t="s">
        <v>1086</v>
      </c>
      <c r="C3163" s="3">
        <v>4.28</v>
      </c>
      <c r="D3163" s="3">
        <v>1</v>
      </c>
    </row>
    <row r="3164" spans="1:4" ht="12.75" x14ac:dyDescent="0.35">
      <c r="A3164" s="5">
        <v>44733</v>
      </c>
      <c r="B3164" s="3" t="s">
        <v>1440</v>
      </c>
      <c r="C3164" s="3">
        <v>4.28</v>
      </c>
      <c r="D3164" s="3">
        <v>1</v>
      </c>
    </row>
    <row r="3165" spans="1:4" ht="12.75" x14ac:dyDescent="0.35">
      <c r="A3165" s="5">
        <v>44733</v>
      </c>
      <c r="B3165" s="3" t="s">
        <v>1240</v>
      </c>
      <c r="C3165" s="3">
        <v>4.26</v>
      </c>
      <c r="D3165" s="3">
        <v>1</v>
      </c>
    </row>
    <row r="3166" spans="1:4" ht="12.75" x14ac:dyDescent="0.35">
      <c r="A3166" s="4">
        <v>44641</v>
      </c>
      <c r="B3166" s="3" t="s">
        <v>600</v>
      </c>
      <c r="C3166" s="3">
        <v>4.25</v>
      </c>
      <c r="D3166" s="3">
        <v>1</v>
      </c>
    </row>
    <row r="3167" spans="1:4" ht="12.75" x14ac:dyDescent="0.35">
      <c r="A3167" s="5">
        <v>44733</v>
      </c>
      <c r="B3167" s="3" t="s">
        <v>1339</v>
      </c>
      <c r="C3167" s="3">
        <v>4.25</v>
      </c>
      <c r="D3167" s="3">
        <v>1</v>
      </c>
    </row>
    <row r="3168" spans="1:4" ht="12.75" x14ac:dyDescent="0.35">
      <c r="A3168" s="4">
        <v>44702</v>
      </c>
      <c r="B3168" s="3" t="s">
        <v>1046</v>
      </c>
      <c r="C3168" s="3">
        <v>4.24</v>
      </c>
      <c r="D3168" s="3">
        <v>1</v>
      </c>
    </row>
    <row r="3169" spans="1:4" ht="12.75" x14ac:dyDescent="0.35">
      <c r="A3169" s="4">
        <v>44672</v>
      </c>
      <c r="B3169" s="3" t="s">
        <v>676</v>
      </c>
      <c r="C3169" s="3">
        <v>4.2300000000000004</v>
      </c>
      <c r="D3169" s="3">
        <v>2</v>
      </c>
    </row>
    <row r="3170" spans="1:4" ht="12.75" x14ac:dyDescent="0.35">
      <c r="A3170" s="5">
        <v>44733</v>
      </c>
      <c r="B3170" s="3" t="s">
        <v>1186</v>
      </c>
      <c r="C3170" s="3">
        <v>4.2300000000000004</v>
      </c>
      <c r="D3170" s="3">
        <v>1</v>
      </c>
    </row>
    <row r="3171" spans="1:4" ht="12.75" x14ac:dyDescent="0.35">
      <c r="A3171" s="4">
        <v>44825</v>
      </c>
      <c r="B3171" s="3" t="s">
        <v>1753</v>
      </c>
      <c r="C3171" s="3">
        <v>4.2300000000000004</v>
      </c>
      <c r="D3171" s="3">
        <v>1</v>
      </c>
    </row>
    <row r="3172" spans="1:4" ht="12.75" x14ac:dyDescent="0.35">
      <c r="A3172" s="4">
        <v>44641</v>
      </c>
      <c r="B3172" s="3" t="s">
        <v>602</v>
      </c>
      <c r="C3172" s="3">
        <v>4.22</v>
      </c>
      <c r="D3172" s="3">
        <v>2</v>
      </c>
    </row>
    <row r="3173" spans="1:4" ht="12.75" x14ac:dyDescent="0.35">
      <c r="A3173" s="4">
        <v>44794</v>
      </c>
      <c r="B3173" s="3" t="s">
        <v>1110</v>
      </c>
      <c r="C3173" s="3">
        <v>4.22</v>
      </c>
      <c r="D3173" s="3">
        <v>1</v>
      </c>
    </row>
    <row r="3174" spans="1:4" ht="12.75" x14ac:dyDescent="0.35">
      <c r="A3174" s="4">
        <v>44582</v>
      </c>
      <c r="B3174" s="3" t="s">
        <v>380</v>
      </c>
      <c r="C3174" s="3">
        <v>4.21</v>
      </c>
      <c r="D3174" s="3">
        <v>4</v>
      </c>
    </row>
    <row r="3175" spans="1:4" ht="12.75" x14ac:dyDescent="0.35">
      <c r="A3175" s="4">
        <v>44855</v>
      </c>
      <c r="B3175" s="3" t="s">
        <v>1777</v>
      </c>
      <c r="C3175" s="3">
        <v>4.21</v>
      </c>
      <c r="D3175" s="3">
        <v>2</v>
      </c>
    </row>
    <row r="3176" spans="1:4" ht="12.75" x14ac:dyDescent="0.35">
      <c r="A3176" s="4">
        <v>44916</v>
      </c>
      <c r="B3176" s="3" t="s">
        <v>1935</v>
      </c>
      <c r="C3176" s="3">
        <v>4.21</v>
      </c>
      <c r="D3176" s="3">
        <v>1</v>
      </c>
    </row>
    <row r="3177" spans="1:4" ht="12.75" x14ac:dyDescent="0.35">
      <c r="A3177" s="4">
        <v>44672</v>
      </c>
      <c r="B3177" s="3" t="s">
        <v>971</v>
      </c>
      <c r="C3177" s="3">
        <v>4.2</v>
      </c>
      <c r="D3177" s="3">
        <v>1</v>
      </c>
    </row>
    <row r="3178" spans="1:4" ht="12.75" x14ac:dyDescent="0.35">
      <c r="A3178" s="5">
        <v>44733</v>
      </c>
      <c r="B3178" s="3" t="s">
        <v>1458</v>
      </c>
      <c r="C3178" s="3">
        <v>4.2</v>
      </c>
      <c r="D3178" s="3">
        <v>1</v>
      </c>
    </row>
    <row r="3179" spans="1:4" ht="12.75" x14ac:dyDescent="0.35">
      <c r="A3179" s="4">
        <v>44794</v>
      </c>
      <c r="B3179" s="3" t="s">
        <v>840</v>
      </c>
      <c r="C3179" s="3">
        <v>4.2</v>
      </c>
      <c r="D3179" s="3">
        <v>1</v>
      </c>
    </row>
    <row r="3180" spans="1:4" ht="12.75" x14ac:dyDescent="0.35">
      <c r="A3180" s="5">
        <v>44733</v>
      </c>
      <c r="B3180" s="3" t="s">
        <v>1174</v>
      </c>
      <c r="C3180" s="3">
        <v>4.1900000000000004</v>
      </c>
      <c r="D3180" s="3">
        <v>1</v>
      </c>
    </row>
    <row r="3181" spans="1:4" ht="12.75" x14ac:dyDescent="0.35">
      <c r="A3181" s="4">
        <v>44672</v>
      </c>
      <c r="B3181" s="3" t="s">
        <v>832</v>
      </c>
      <c r="C3181" s="3">
        <v>4.18</v>
      </c>
      <c r="D3181" s="3">
        <v>1</v>
      </c>
    </row>
    <row r="3182" spans="1:4" ht="12.75" x14ac:dyDescent="0.35">
      <c r="A3182" s="5">
        <v>44763</v>
      </c>
      <c r="B3182" s="3" t="s">
        <v>1546</v>
      </c>
      <c r="C3182" s="3">
        <v>4.18</v>
      </c>
      <c r="D3182" s="3">
        <v>1</v>
      </c>
    </row>
    <row r="3183" spans="1:4" ht="12.75" x14ac:dyDescent="0.35">
      <c r="A3183" s="5">
        <v>44733</v>
      </c>
      <c r="B3183" s="3" t="s">
        <v>1266</v>
      </c>
      <c r="C3183" s="3">
        <v>4.17</v>
      </c>
      <c r="D3183" s="3">
        <v>1</v>
      </c>
    </row>
    <row r="3184" spans="1:4" ht="12.75" x14ac:dyDescent="0.35">
      <c r="A3184" s="4">
        <v>44916</v>
      </c>
      <c r="B3184" s="3" t="s">
        <v>178</v>
      </c>
      <c r="C3184" s="3">
        <v>4.17</v>
      </c>
      <c r="D3184" s="3">
        <v>1</v>
      </c>
    </row>
    <row r="3185" spans="1:4" ht="12.75" x14ac:dyDescent="0.35">
      <c r="A3185" s="5">
        <v>44733</v>
      </c>
      <c r="B3185" s="3" t="s">
        <v>1291</v>
      </c>
      <c r="C3185" s="3">
        <v>4.16</v>
      </c>
      <c r="D3185" s="3">
        <v>1</v>
      </c>
    </row>
    <row r="3186" spans="1:4" ht="12.75" x14ac:dyDescent="0.35">
      <c r="A3186" s="4">
        <v>44702</v>
      </c>
      <c r="B3186" s="3" t="s">
        <v>998</v>
      </c>
      <c r="C3186" s="3">
        <v>4.1500000000000004</v>
      </c>
      <c r="D3186" s="3">
        <v>1</v>
      </c>
    </row>
    <row r="3187" spans="1:4" ht="12.75" x14ac:dyDescent="0.35">
      <c r="A3187" s="5">
        <v>44733</v>
      </c>
      <c r="B3187" s="3" t="s">
        <v>1373</v>
      </c>
      <c r="C3187" s="3">
        <v>4.1399999999999997</v>
      </c>
      <c r="D3187" s="3">
        <v>1</v>
      </c>
    </row>
    <row r="3188" spans="1:4" ht="12.75" x14ac:dyDescent="0.35">
      <c r="A3188" s="4">
        <v>44916</v>
      </c>
      <c r="B3188" s="3" t="s">
        <v>814</v>
      </c>
      <c r="C3188" s="3">
        <v>4.13</v>
      </c>
      <c r="D3188" s="3">
        <v>1</v>
      </c>
    </row>
    <row r="3189" spans="1:4" ht="12.75" x14ac:dyDescent="0.35">
      <c r="A3189" s="4">
        <v>44641</v>
      </c>
      <c r="B3189" s="3" t="s">
        <v>780</v>
      </c>
      <c r="C3189" s="3">
        <v>4.12</v>
      </c>
      <c r="D3189" s="3">
        <v>2</v>
      </c>
    </row>
    <row r="3190" spans="1:4" ht="12.75" x14ac:dyDescent="0.35">
      <c r="A3190" s="4">
        <v>44825</v>
      </c>
      <c r="B3190" s="3" t="s">
        <v>997</v>
      </c>
      <c r="C3190" s="3">
        <v>4.12</v>
      </c>
      <c r="D3190" s="3">
        <v>1</v>
      </c>
    </row>
    <row r="3191" spans="1:4" ht="12.75" x14ac:dyDescent="0.35">
      <c r="A3191" s="4">
        <v>44613</v>
      </c>
      <c r="B3191" s="3" t="s">
        <v>312</v>
      </c>
      <c r="C3191" s="3">
        <v>4.1100000000000003</v>
      </c>
      <c r="D3191" s="3">
        <v>1</v>
      </c>
    </row>
    <row r="3192" spans="1:4" ht="12.75" x14ac:dyDescent="0.35">
      <c r="A3192" s="5">
        <v>44733</v>
      </c>
      <c r="B3192" s="3" t="s">
        <v>1216</v>
      </c>
      <c r="C3192" s="3">
        <v>4.1100000000000003</v>
      </c>
      <c r="D3192" s="3">
        <v>1</v>
      </c>
    </row>
    <row r="3193" spans="1:4" ht="12.75" x14ac:dyDescent="0.35">
      <c r="A3193" s="5">
        <v>44733</v>
      </c>
      <c r="B3193" s="3" t="s">
        <v>1449</v>
      </c>
      <c r="C3193" s="3">
        <v>4.1100000000000003</v>
      </c>
      <c r="D3193" s="3">
        <v>1</v>
      </c>
    </row>
    <row r="3194" spans="1:4" ht="12.75" x14ac:dyDescent="0.35">
      <c r="A3194" s="4">
        <v>44886</v>
      </c>
      <c r="B3194" s="3" t="s">
        <v>1829</v>
      </c>
      <c r="C3194" s="3">
        <v>4.1100000000000003</v>
      </c>
      <c r="D3194" s="3">
        <v>1</v>
      </c>
    </row>
    <row r="3195" spans="1:4" ht="12.75" x14ac:dyDescent="0.35">
      <c r="A3195" s="5">
        <v>44733</v>
      </c>
      <c r="B3195" s="3" t="s">
        <v>1436</v>
      </c>
      <c r="C3195" s="3">
        <v>4.0999999999999996</v>
      </c>
      <c r="D3195" s="3">
        <v>1</v>
      </c>
    </row>
    <row r="3196" spans="1:4" ht="12.75" x14ac:dyDescent="0.35">
      <c r="A3196" s="5">
        <v>44733</v>
      </c>
      <c r="B3196" s="3" t="s">
        <v>537</v>
      </c>
      <c r="C3196" s="3">
        <v>4.0999999999999996</v>
      </c>
      <c r="D3196" s="3">
        <v>1</v>
      </c>
    </row>
    <row r="3197" spans="1:4" ht="12.75" x14ac:dyDescent="0.35">
      <c r="A3197" s="5">
        <v>44763</v>
      </c>
      <c r="B3197" s="3" t="s">
        <v>28</v>
      </c>
      <c r="C3197" s="3">
        <v>4.0999999999999996</v>
      </c>
      <c r="D3197" s="3">
        <v>1</v>
      </c>
    </row>
    <row r="3198" spans="1:4" ht="12.75" x14ac:dyDescent="0.35">
      <c r="A3198" s="4">
        <v>44794</v>
      </c>
      <c r="B3198" s="3" t="s">
        <v>1724</v>
      </c>
      <c r="C3198" s="3">
        <v>4.0999999999999996</v>
      </c>
      <c r="D3198" s="3">
        <v>1</v>
      </c>
    </row>
    <row r="3199" spans="1:4" ht="12.75" x14ac:dyDescent="0.35">
      <c r="A3199" s="4">
        <v>44825</v>
      </c>
      <c r="B3199" s="3" t="s">
        <v>1782</v>
      </c>
      <c r="C3199" s="3">
        <v>4.0999999999999996</v>
      </c>
      <c r="D3199" s="3">
        <v>2</v>
      </c>
    </row>
    <row r="3200" spans="1:4" ht="12.75" x14ac:dyDescent="0.35">
      <c r="A3200" s="4">
        <v>44916</v>
      </c>
      <c r="B3200" s="3" t="s">
        <v>1898</v>
      </c>
      <c r="C3200" s="3">
        <v>4.09</v>
      </c>
      <c r="D3200" s="3">
        <v>1</v>
      </c>
    </row>
    <row r="3201" spans="1:4" ht="12.75" x14ac:dyDescent="0.35">
      <c r="A3201" s="4">
        <v>44582</v>
      </c>
      <c r="B3201" s="3" t="s">
        <v>7</v>
      </c>
      <c r="C3201" s="3">
        <v>4.08</v>
      </c>
      <c r="D3201" s="3">
        <v>2</v>
      </c>
    </row>
    <row r="3202" spans="1:4" ht="12.75" x14ac:dyDescent="0.35">
      <c r="A3202" s="4">
        <v>44672</v>
      </c>
      <c r="B3202" s="3" t="s">
        <v>959</v>
      </c>
      <c r="C3202" s="3">
        <v>4.08</v>
      </c>
      <c r="D3202" s="3">
        <v>1</v>
      </c>
    </row>
    <row r="3203" spans="1:4" ht="12.75" x14ac:dyDescent="0.35">
      <c r="A3203" s="5">
        <v>44733</v>
      </c>
      <c r="B3203" s="3" t="s">
        <v>1283</v>
      </c>
      <c r="C3203" s="3">
        <v>4.08</v>
      </c>
      <c r="D3203" s="3">
        <v>1</v>
      </c>
    </row>
    <row r="3204" spans="1:4" ht="12.75" x14ac:dyDescent="0.35">
      <c r="A3204" s="5">
        <v>44733</v>
      </c>
      <c r="B3204" s="3" t="s">
        <v>1462</v>
      </c>
      <c r="C3204" s="3">
        <v>4.08</v>
      </c>
      <c r="D3204" s="3">
        <v>1</v>
      </c>
    </row>
    <row r="3205" spans="1:4" ht="12.75" x14ac:dyDescent="0.35">
      <c r="A3205" s="5">
        <v>44733</v>
      </c>
      <c r="B3205" s="3" t="s">
        <v>1378</v>
      </c>
      <c r="C3205" s="3">
        <v>4.07</v>
      </c>
      <c r="D3205" s="3">
        <v>1</v>
      </c>
    </row>
    <row r="3206" spans="1:4" ht="12.75" x14ac:dyDescent="0.35">
      <c r="A3206" s="4">
        <v>44794</v>
      </c>
      <c r="B3206" s="3" t="s">
        <v>561</v>
      </c>
      <c r="C3206" s="3">
        <v>4.07</v>
      </c>
      <c r="D3206" s="3">
        <v>1</v>
      </c>
    </row>
    <row r="3207" spans="1:4" ht="12.75" x14ac:dyDescent="0.35">
      <c r="A3207" s="4">
        <v>44794</v>
      </c>
      <c r="B3207" s="3" t="s">
        <v>1434</v>
      </c>
      <c r="C3207" s="3">
        <v>4.0599999999999996</v>
      </c>
      <c r="D3207" s="3">
        <v>1</v>
      </c>
    </row>
    <row r="3208" spans="1:4" ht="12.75" x14ac:dyDescent="0.35">
      <c r="A3208" s="4">
        <v>44916</v>
      </c>
      <c r="B3208" s="3" t="s">
        <v>1867</v>
      </c>
      <c r="C3208" s="3">
        <v>4.0599999999999996</v>
      </c>
      <c r="D3208" s="3">
        <v>1</v>
      </c>
    </row>
    <row r="3209" spans="1:4" ht="12.75" x14ac:dyDescent="0.35">
      <c r="A3209" s="5">
        <v>44733</v>
      </c>
      <c r="B3209" s="3" t="s">
        <v>1270</v>
      </c>
      <c r="C3209" s="3">
        <v>4.05</v>
      </c>
      <c r="D3209" s="3">
        <v>1</v>
      </c>
    </row>
    <row r="3210" spans="1:4" ht="12.75" x14ac:dyDescent="0.35">
      <c r="A3210" s="5">
        <v>44733</v>
      </c>
      <c r="B3210" s="3" t="s">
        <v>1381</v>
      </c>
      <c r="C3210" s="3">
        <v>4.05</v>
      </c>
      <c r="D3210" s="3">
        <v>1</v>
      </c>
    </row>
    <row r="3211" spans="1:4" ht="12.75" x14ac:dyDescent="0.35">
      <c r="A3211" s="5">
        <v>44733</v>
      </c>
      <c r="B3211" s="3" t="s">
        <v>1399</v>
      </c>
      <c r="C3211" s="3">
        <v>4.05</v>
      </c>
      <c r="D3211" s="3">
        <v>1</v>
      </c>
    </row>
    <row r="3212" spans="1:4" ht="12.75" x14ac:dyDescent="0.35">
      <c r="A3212" s="5">
        <v>44763</v>
      </c>
      <c r="B3212" s="3" t="s">
        <v>1500</v>
      </c>
      <c r="C3212" s="3">
        <v>4.0199999999999996</v>
      </c>
      <c r="D3212" s="3">
        <v>1</v>
      </c>
    </row>
    <row r="3213" spans="1:4" ht="12.75" x14ac:dyDescent="0.35">
      <c r="A3213" s="4">
        <v>44702</v>
      </c>
      <c r="B3213" s="3" t="s">
        <v>1008</v>
      </c>
      <c r="C3213" s="3">
        <v>4.01</v>
      </c>
      <c r="D3213" s="3">
        <v>1</v>
      </c>
    </row>
    <row r="3214" spans="1:4" ht="12.75" x14ac:dyDescent="0.35">
      <c r="A3214" s="4">
        <v>44886</v>
      </c>
      <c r="B3214" s="3" t="s">
        <v>46</v>
      </c>
      <c r="C3214" s="3">
        <v>4.01</v>
      </c>
      <c r="D3214" s="3">
        <v>1</v>
      </c>
    </row>
    <row r="3215" spans="1:4" ht="12.75" x14ac:dyDescent="0.35">
      <c r="A3215" s="4">
        <v>44641</v>
      </c>
      <c r="B3215" s="3" t="s">
        <v>615</v>
      </c>
      <c r="C3215" s="3">
        <v>4</v>
      </c>
      <c r="D3215" s="3">
        <v>1</v>
      </c>
    </row>
    <row r="3216" spans="1:4" ht="12.75" x14ac:dyDescent="0.35">
      <c r="A3216" s="4">
        <v>44672</v>
      </c>
      <c r="B3216" s="3" t="s">
        <v>615</v>
      </c>
      <c r="C3216" s="3">
        <v>4</v>
      </c>
      <c r="D3216" s="3">
        <v>1</v>
      </c>
    </row>
    <row r="3217" spans="1:4" ht="12.75" x14ac:dyDescent="0.35">
      <c r="A3217" s="4">
        <v>44825</v>
      </c>
      <c r="B3217" s="3" t="s">
        <v>104</v>
      </c>
      <c r="C3217" s="3">
        <v>4</v>
      </c>
      <c r="D3217" s="3">
        <v>1</v>
      </c>
    </row>
    <row r="3218" spans="1:4" ht="12.75" x14ac:dyDescent="0.35">
      <c r="A3218" s="4">
        <v>44855</v>
      </c>
      <c r="B3218" s="3" t="s">
        <v>785</v>
      </c>
      <c r="C3218" s="3">
        <v>4</v>
      </c>
      <c r="D3218" s="3">
        <v>1</v>
      </c>
    </row>
    <row r="3219" spans="1:4" ht="12.75" x14ac:dyDescent="0.35">
      <c r="A3219" s="4">
        <v>44916</v>
      </c>
      <c r="B3219" s="3" t="s">
        <v>1918</v>
      </c>
      <c r="C3219" s="3">
        <v>4</v>
      </c>
      <c r="D3219" s="3">
        <v>4</v>
      </c>
    </row>
    <row r="3220" spans="1:4" ht="12.75" x14ac:dyDescent="0.35">
      <c r="A3220" s="4">
        <v>44916</v>
      </c>
      <c r="B3220" s="3" t="s">
        <v>19</v>
      </c>
      <c r="C3220" s="3">
        <v>4</v>
      </c>
      <c r="D3220" s="3">
        <v>1</v>
      </c>
    </row>
    <row r="3221" spans="1:4" ht="12.75" x14ac:dyDescent="0.35">
      <c r="A3221" s="4">
        <v>44702</v>
      </c>
      <c r="B3221" s="3" t="s">
        <v>344</v>
      </c>
      <c r="C3221" s="3">
        <v>3.98</v>
      </c>
      <c r="D3221" s="3">
        <v>3</v>
      </c>
    </row>
    <row r="3222" spans="1:4" ht="12.75" x14ac:dyDescent="0.35">
      <c r="A3222" s="4">
        <v>44916</v>
      </c>
      <c r="B3222" s="3" t="s">
        <v>1895</v>
      </c>
      <c r="C3222" s="3">
        <v>3.98</v>
      </c>
      <c r="D3222" s="3">
        <v>1</v>
      </c>
    </row>
    <row r="3223" spans="1:4" ht="12.75" x14ac:dyDescent="0.35">
      <c r="A3223" s="4">
        <v>44855</v>
      </c>
      <c r="B3223" s="3" t="s">
        <v>1057</v>
      </c>
      <c r="C3223" s="3">
        <v>3.96</v>
      </c>
      <c r="D3223" s="3">
        <v>1</v>
      </c>
    </row>
    <row r="3224" spans="1:4" ht="12.75" x14ac:dyDescent="0.35">
      <c r="A3224" s="4">
        <v>44794</v>
      </c>
      <c r="B3224" s="3" t="s">
        <v>1577</v>
      </c>
      <c r="C3224" s="3">
        <v>3.95</v>
      </c>
      <c r="D3224" s="3">
        <v>1</v>
      </c>
    </row>
    <row r="3225" spans="1:4" ht="12.75" x14ac:dyDescent="0.35">
      <c r="A3225" s="5">
        <v>44733</v>
      </c>
      <c r="B3225" s="3" t="s">
        <v>1332</v>
      </c>
      <c r="C3225" s="3">
        <v>3.93</v>
      </c>
      <c r="D3225" s="3">
        <v>1</v>
      </c>
    </row>
    <row r="3226" spans="1:4" ht="12.75" x14ac:dyDescent="0.35">
      <c r="A3226" s="4">
        <v>44855</v>
      </c>
      <c r="B3226" s="3" t="s">
        <v>470</v>
      </c>
      <c r="C3226" s="3">
        <v>3.93</v>
      </c>
      <c r="D3226" s="3">
        <v>1</v>
      </c>
    </row>
    <row r="3227" spans="1:4" ht="12.75" x14ac:dyDescent="0.35">
      <c r="A3227" s="4">
        <v>44855</v>
      </c>
      <c r="B3227" s="3" t="s">
        <v>1810</v>
      </c>
      <c r="C3227" s="3">
        <v>3.93</v>
      </c>
      <c r="D3227" s="3">
        <v>1</v>
      </c>
    </row>
    <row r="3228" spans="1:4" ht="12.75" x14ac:dyDescent="0.35">
      <c r="A3228" s="4">
        <v>44886</v>
      </c>
      <c r="B3228" s="3" t="s">
        <v>1594</v>
      </c>
      <c r="C3228" s="3">
        <v>3.93</v>
      </c>
      <c r="D3228" s="3">
        <v>2</v>
      </c>
    </row>
    <row r="3229" spans="1:4" ht="12.75" x14ac:dyDescent="0.35">
      <c r="A3229" s="4">
        <v>44582</v>
      </c>
      <c r="B3229" s="3" t="s">
        <v>140</v>
      </c>
      <c r="C3229" s="3">
        <v>3.92</v>
      </c>
      <c r="D3229" s="3">
        <v>1</v>
      </c>
    </row>
    <row r="3230" spans="1:4" ht="12.75" x14ac:dyDescent="0.35">
      <c r="A3230" s="4">
        <v>44641</v>
      </c>
      <c r="B3230" s="3" t="s">
        <v>70</v>
      </c>
      <c r="C3230" s="3">
        <v>3.92</v>
      </c>
      <c r="D3230" s="3">
        <v>1</v>
      </c>
    </row>
    <row r="3231" spans="1:4" ht="12.75" x14ac:dyDescent="0.35">
      <c r="A3231" s="4">
        <v>44672</v>
      </c>
      <c r="B3231" s="3" t="s">
        <v>784</v>
      </c>
      <c r="C3231" s="3">
        <v>3.92</v>
      </c>
      <c r="D3231" s="3">
        <v>1</v>
      </c>
    </row>
    <row r="3232" spans="1:4" ht="12.75" x14ac:dyDescent="0.35">
      <c r="A3232" s="5">
        <v>44733</v>
      </c>
      <c r="B3232" s="3" t="s">
        <v>1323</v>
      </c>
      <c r="C3232" s="3">
        <v>3.92</v>
      </c>
      <c r="D3232" s="3">
        <v>1</v>
      </c>
    </row>
    <row r="3233" spans="1:4" ht="12.75" x14ac:dyDescent="0.35">
      <c r="A3233" s="5">
        <v>44733</v>
      </c>
      <c r="B3233" s="3" t="s">
        <v>1376</v>
      </c>
      <c r="C3233" s="3">
        <v>3.92</v>
      </c>
      <c r="D3233" s="3">
        <v>1</v>
      </c>
    </row>
    <row r="3234" spans="1:4" ht="12.75" x14ac:dyDescent="0.35">
      <c r="A3234" s="5">
        <v>44763</v>
      </c>
      <c r="B3234" s="3" t="s">
        <v>1005</v>
      </c>
      <c r="C3234" s="3">
        <v>3.92</v>
      </c>
      <c r="D3234" s="3">
        <v>2</v>
      </c>
    </row>
    <row r="3235" spans="1:4" ht="12.75" x14ac:dyDescent="0.35">
      <c r="A3235" s="4">
        <v>44855</v>
      </c>
      <c r="B3235" s="3" t="s">
        <v>1695</v>
      </c>
      <c r="C3235" s="3">
        <v>3.91</v>
      </c>
      <c r="D3235" s="3">
        <v>2</v>
      </c>
    </row>
    <row r="3236" spans="1:4" ht="12.75" x14ac:dyDescent="0.35">
      <c r="A3236" s="5">
        <v>44733</v>
      </c>
      <c r="B3236" s="3" t="s">
        <v>222</v>
      </c>
      <c r="C3236" s="3">
        <v>3.89</v>
      </c>
      <c r="D3236" s="3">
        <v>1</v>
      </c>
    </row>
    <row r="3237" spans="1:4" ht="12.75" x14ac:dyDescent="0.35">
      <c r="A3237" s="5">
        <v>44733</v>
      </c>
      <c r="B3237" s="3" t="s">
        <v>1319</v>
      </c>
      <c r="C3237" s="3">
        <v>3.89</v>
      </c>
      <c r="D3237" s="3">
        <v>1</v>
      </c>
    </row>
    <row r="3238" spans="1:4" ht="12.75" x14ac:dyDescent="0.35">
      <c r="A3238" s="4">
        <v>44672</v>
      </c>
      <c r="B3238" s="3" t="s">
        <v>985</v>
      </c>
      <c r="C3238" s="3">
        <v>3.87</v>
      </c>
      <c r="D3238" s="3">
        <v>1</v>
      </c>
    </row>
    <row r="3239" spans="1:4" ht="12.75" x14ac:dyDescent="0.35">
      <c r="A3239" s="5">
        <v>44733</v>
      </c>
      <c r="B3239" s="3" t="s">
        <v>1179</v>
      </c>
      <c r="C3239" s="3">
        <v>3.87</v>
      </c>
      <c r="D3239" s="3">
        <v>1</v>
      </c>
    </row>
    <row r="3240" spans="1:4" ht="12.75" x14ac:dyDescent="0.35">
      <c r="A3240" s="5">
        <v>44733</v>
      </c>
      <c r="B3240" s="3" t="s">
        <v>1279</v>
      </c>
      <c r="C3240" s="3">
        <v>3.86</v>
      </c>
      <c r="D3240" s="3">
        <v>1</v>
      </c>
    </row>
    <row r="3241" spans="1:4" ht="12.75" x14ac:dyDescent="0.35">
      <c r="A3241" s="4">
        <v>44855</v>
      </c>
      <c r="B3241" s="3" t="s">
        <v>307</v>
      </c>
      <c r="C3241" s="3">
        <v>3.85</v>
      </c>
      <c r="D3241" s="3">
        <v>5</v>
      </c>
    </row>
    <row r="3242" spans="1:4" ht="12.75" x14ac:dyDescent="0.35">
      <c r="A3242" s="4">
        <v>44916</v>
      </c>
      <c r="B3242" s="3" t="s">
        <v>1878</v>
      </c>
      <c r="C3242" s="3">
        <v>3.85</v>
      </c>
      <c r="D3242" s="3">
        <v>1</v>
      </c>
    </row>
    <row r="3243" spans="1:4" ht="12.75" x14ac:dyDescent="0.35">
      <c r="A3243" s="4">
        <v>44916</v>
      </c>
      <c r="B3243" s="3" t="s">
        <v>1760</v>
      </c>
      <c r="C3243" s="3">
        <v>3.85</v>
      </c>
      <c r="D3243" s="3">
        <v>1</v>
      </c>
    </row>
    <row r="3244" spans="1:4" ht="12.75" x14ac:dyDescent="0.35">
      <c r="A3244" s="5">
        <v>44733</v>
      </c>
      <c r="B3244" s="3" t="s">
        <v>1253</v>
      </c>
      <c r="C3244" s="3">
        <v>3.84</v>
      </c>
      <c r="D3244" s="3">
        <v>1</v>
      </c>
    </row>
    <row r="3245" spans="1:4" ht="12.75" x14ac:dyDescent="0.35">
      <c r="A3245" s="4">
        <v>44825</v>
      </c>
      <c r="B3245" s="3" t="s">
        <v>1764</v>
      </c>
      <c r="C3245" s="3">
        <v>3.84</v>
      </c>
      <c r="D3245" s="3">
        <v>1</v>
      </c>
    </row>
    <row r="3246" spans="1:4" ht="12.75" x14ac:dyDescent="0.35">
      <c r="A3246" s="4">
        <v>44582</v>
      </c>
      <c r="B3246" s="3" t="s">
        <v>78</v>
      </c>
      <c r="C3246" s="3">
        <v>3.83</v>
      </c>
      <c r="D3246" s="3">
        <v>1</v>
      </c>
    </row>
    <row r="3247" spans="1:4" ht="12.75" x14ac:dyDescent="0.35">
      <c r="A3247" s="4">
        <v>44886</v>
      </c>
      <c r="B3247" s="3" t="s">
        <v>1823</v>
      </c>
      <c r="C3247" s="3">
        <v>3.83</v>
      </c>
      <c r="D3247" s="3">
        <v>2</v>
      </c>
    </row>
    <row r="3248" spans="1:4" ht="12.75" x14ac:dyDescent="0.35">
      <c r="A3248" s="5">
        <v>44733</v>
      </c>
      <c r="B3248" s="3" t="s">
        <v>1260</v>
      </c>
      <c r="C3248" s="3">
        <v>3.82</v>
      </c>
      <c r="D3248" s="3">
        <v>1</v>
      </c>
    </row>
    <row r="3249" spans="1:4" ht="12.75" x14ac:dyDescent="0.35">
      <c r="A3249" s="5">
        <v>44733</v>
      </c>
      <c r="B3249" s="3" t="s">
        <v>1384</v>
      </c>
      <c r="C3249" s="3">
        <v>3.8</v>
      </c>
      <c r="D3249" s="3">
        <v>1</v>
      </c>
    </row>
    <row r="3250" spans="1:4" ht="12.75" x14ac:dyDescent="0.35">
      <c r="A3250" s="4">
        <v>44794</v>
      </c>
      <c r="B3250" s="3" t="s">
        <v>1563</v>
      </c>
      <c r="C3250" s="3">
        <v>3.79</v>
      </c>
      <c r="D3250" s="3">
        <v>2</v>
      </c>
    </row>
    <row r="3251" spans="1:4" ht="12.75" x14ac:dyDescent="0.35">
      <c r="A3251" s="5">
        <v>44733</v>
      </c>
      <c r="B3251" s="3" t="s">
        <v>1119</v>
      </c>
      <c r="C3251" s="3">
        <v>3.77</v>
      </c>
      <c r="D3251" s="3">
        <v>1</v>
      </c>
    </row>
    <row r="3252" spans="1:4" ht="12.75" x14ac:dyDescent="0.35">
      <c r="A3252" s="5">
        <v>44733</v>
      </c>
      <c r="B3252" s="3" t="s">
        <v>1326</v>
      </c>
      <c r="C3252" s="3">
        <v>3.77</v>
      </c>
      <c r="D3252" s="3">
        <v>1</v>
      </c>
    </row>
    <row r="3253" spans="1:4" ht="12.75" x14ac:dyDescent="0.35">
      <c r="A3253" s="4">
        <v>44582</v>
      </c>
      <c r="B3253" s="3" t="s">
        <v>399</v>
      </c>
      <c r="C3253" s="3">
        <v>3.75</v>
      </c>
      <c r="D3253" s="3">
        <v>1</v>
      </c>
    </row>
    <row r="3254" spans="1:4" ht="12.75" x14ac:dyDescent="0.35">
      <c r="A3254" s="4">
        <v>44613</v>
      </c>
      <c r="B3254" s="3" t="s">
        <v>522</v>
      </c>
      <c r="C3254" s="3">
        <v>3.75</v>
      </c>
      <c r="D3254" s="3">
        <v>2</v>
      </c>
    </row>
    <row r="3255" spans="1:4" ht="12.75" x14ac:dyDescent="0.35">
      <c r="A3255" s="4">
        <v>44582</v>
      </c>
      <c r="B3255" s="3" t="s">
        <v>100</v>
      </c>
      <c r="C3255" s="3">
        <v>3.73</v>
      </c>
      <c r="D3255" s="3">
        <v>1</v>
      </c>
    </row>
    <row r="3256" spans="1:4" ht="12.75" x14ac:dyDescent="0.35">
      <c r="A3256" s="5">
        <v>44733</v>
      </c>
      <c r="B3256" s="3" t="s">
        <v>1015</v>
      </c>
      <c r="C3256" s="3">
        <v>3.73</v>
      </c>
      <c r="D3256" s="3">
        <v>1</v>
      </c>
    </row>
    <row r="3257" spans="1:4" ht="12.75" x14ac:dyDescent="0.35">
      <c r="A3257" s="4">
        <v>44672</v>
      </c>
      <c r="B3257" s="3" t="s">
        <v>840</v>
      </c>
      <c r="C3257" s="3">
        <v>3.72</v>
      </c>
      <c r="D3257" s="3">
        <v>1</v>
      </c>
    </row>
    <row r="3258" spans="1:4" ht="12.75" x14ac:dyDescent="0.35">
      <c r="A3258" s="4">
        <v>44825</v>
      </c>
      <c r="B3258" s="3" t="s">
        <v>258</v>
      </c>
      <c r="C3258" s="3">
        <v>3.72</v>
      </c>
      <c r="D3258" s="3">
        <v>2</v>
      </c>
    </row>
    <row r="3259" spans="1:4" ht="12.75" x14ac:dyDescent="0.35">
      <c r="A3259" s="4">
        <v>44855</v>
      </c>
      <c r="B3259" s="3" t="s">
        <v>1812</v>
      </c>
      <c r="C3259" s="3">
        <v>3.72</v>
      </c>
      <c r="D3259" s="3">
        <v>1</v>
      </c>
    </row>
    <row r="3260" spans="1:4" ht="12.75" x14ac:dyDescent="0.35">
      <c r="A3260" s="4">
        <v>44886</v>
      </c>
      <c r="B3260" s="3" t="s">
        <v>1563</v>
      </c>
      <c r="C3260" s="3">
        <v>3.72</v>
      </c>
      <c r="D3260" s="3">
        <v>2</v>
      </c>
    </row>
    <row r="3261" spans="1:4" ht="12.75" x14ac:dyDescent="0.35">
      <c r="A3261" s="4">
        <v>44702</v>
      </c>
      <c r="B3261" s="3" t="s">
        <v>1094</v>
      </c>
      <c r="C3261" s="3">
        <v>3.71</v>
      </c>
      <c r="D3261" s="3">
        <v>1</v>
      </c>
    </row>
    <row r="3262" spans="1:4" ht="12.75" x14ac:dyDescent="0.35">
      <c r="A3262" s="5">
        <v>44733</v>
      </c>
      <c r="B3262" s="3" t="s">
        <v>856</v>
      </c>
      <c r="C3262" s="3">
        <v>3.71</v>
      </c>
      <c r="D3262" s="3">
        <v>1</v>
      </c>
    </row>
    <row r="3263" spans="1:4" ht="12.75" x14ac:dyDescent="0.35">
      <c r="A3263" s="5">
        <v>44733</v>
      </c>
      <c r="B3263" s="3" t="s">
        <v>1348</v>
      </c>
      <c r="C3263" s="3">
        <v>3.71</v>
      </c>
      <c r="D3263" s="3">
        <v>1</v>
      </c>
    </row>
    <row r="3264" spans="1:4" ht="12.75" x14ac:dyDescent="0.35">
      <c r="A3264" s="4">
        <v>44641</v>
      </c>
      <c r="B3264" s="3" t="s">
        <v>765</v>
      </c>
      <c r="C3264" s="3">
        <v>3.7</v>
      </c>
      <c r="D3264" s="3">
        <v>2</v>
      </c>
    </row>
    <row r="3265" spans="1:4" ht="12.75" x14ac:dyDescent="0.35">
      <c r="A3265" s="5">
        <v>44763</v>
      </c>
      <c r="B3265" s="3" t="s">
        <v>390</v>
      </c>
      <c r="C3265" s="3">
        <v>3.69</v>
      </c>
      <c r="D3265" s="3">
        <v>1</v>
      </c>
    </row>
    <row r="3266" spans="1:4" ht="12.75" x14ac:dyDescent="0.35">
      <c r="A3266" s="5">
        <v>44733</v>
      </c>
      <c r="B3266" s="3" t="s">
        <v>540</v>
      </c>
      <c r="C3266" s="3">
        <v>3.68</v>
      </c>
      <c r="D3266" s="3">
        <v>5</v>
      </c>
    </row>
    <row r="3267" spans="1:4" ht="12.75" x14ac:dyDescent="0.35">
      <c r="A3267" s="4">
        <v>44794</v>
      </c>
      <c r="B3267" s="3" t="s">
        <v>755</v>
      </c>
      <c r="C3267" s="3">
        <v>3.68</v>
      </c>
      <c r="D3267" s="3">
        <v>2</v>
      </c>
    </row>
    <row r="3268" spans="1:4" ht="12.75" x14ac:dyDescent="0.35">
      <c r="A3268" s="5">
        <v>44733</v>
      </c>
      <c r="B3268" s="3" t="s">
        <v>833</v>
      </c>
      <c r="C3268" s="3">
        <v>3.67</v>
      </c>
      <c r="D3268" s="3">
        <v>1</v>
      </c>
    </row>
    <row r="3269" spans="1:4" ht="12.75" x14ac:dyDescent="0.35">
      <c r="A3269" s="4">
        <v>44582</v>
      </c>
      <c r="B3269" s="3" t="s">
        <v>101</v>
      </c>
      <c r="C3269" s="3">
        <v>3.66</v>
      </c>
      <c r="D3269" s="3">
        <v>1</v>
      </c>
    </row>
    <row r="3270" spans="1:4" ht="12.75" x14ac:dyDescent="0.35">
      <c r="A3270" s="4">
        <v>44672</v>
      </c>
      <c r="B3270" s="3" t="s">
        <v>956</v>
      </c>
      <c r="C3270" s="3">
        <v>3.66</v>
      </c>
      <c r="D3270" s="3">
        <v>1</v>
      </c>
    </row>
    <row r="3271" spans="1:4" ht="12.75" x14ac:dyDescent="0.35">
      <c r="A3271" s="5">
        <v>44733</v>
      </c>
      <c r="B3271" s="3" t="s">
        <v>1396</v>
      </c>
      <c r="C3271" s="3">
        <v>3.66</v>
      </c>
      <c r="D3271" s="3">
        <v>1</v>
      </c>
    </row>
    <row r="3272" spans="1:4" ht="12.75" x14ac:dyDescent="0.35">
      <c r="A3272" s="4">
        <v>44702</v>
      </c>
      <c r="B3272" s="3" t="s">
        <v>1074</v>
      </c>
      <c r="C3272" s="3">
        <v>3.65</v>
      </c>
      <c r="D3272" s="3">
        <v>1</v>
      </c>
    </row>
    <row r="3273" spans="1:4" ht="12.75" x14ac:dyDescent="0.35">
      <c r="A3273" s="4">
        <v>44825</v>
      </c>
      <c r="B3273" s="3" t="s">
        <v>1778</v>
      </c>
      <c r="C3273" s="3">
        <v>3.65</v>
      </c>
      <c r="D3273" s="3">
        <v>1</v>
      </c>
    </row>
    <row r="3274" spans="1:4" ht="12.75" x14ac:dyDescent="0.35">
      <c r="A3274" s="4">
        <v>44886</v>
      </c>
      <c r="B3274" s="3" t="s">
        <v>503</v>
      </c>
      <c r="C3274" s="3">
        <v>3.65</v>
      </c>
      <c r="D3274" s="3">
        <v>1</v>
      </c>
    </row>
    <row r="3275" spans="1:4" ht="12.75" x14ac:dyDescent="0.35">
      <c r="A3275" s="4">
        <v>44613</v>
      </c>
      <c r="B3275" s="3" t="s">
        <v>82</v>
      </c>
      <c r="C3275" s="3">
        <v>3.63</v>
      </c>
      <c r="D3275" s="3">
        <v>3</v>
      </c>
    </row>
    <row r="3276" spans="1:4" ht="12.75" x14ac:dyDescent="0.35">
      <c r="A3276" s="4">
        <v>44672</v>
      </c>
      <c r="B3276" s="3" t="s">
        <v>391</v>
      </c>
      <c r="C3276" s="3">
        <v>3.63</v>
      </c>
      <c r="D3276" s="3">
        <v>1</v>
      </c>
    </row>
    <row r="3277" spans="1:4" ht="12.75" x14ac:dyDescent="0.35">
      <c r="A3277" s="4">
        <v>44794</v>
      </c>
      <c r="B3277" s="3" t="s">
        <v>1655</v>
      </c>
      <c r="C3277" s="3">
        <v>3.63</v>
      </c>
      <c r="D3277" s="3">
        <v>1</v>
      </c>
    </row>
    <row r="3278" spans="1:4" ht="12.75" x14ac:dyDescent="0.35">
      <c r="A3278" s="4">
        <v>44855</v>
      </c>
      <c r="B3278" s="3" t="s">
        <v>1420</v>
      </c>
      <c r="C3278" s="3">
        <v>3.63</v>
      </c>
      <c r="D3278" s="3">
        <v>1</v>
      </c>
    </row>
    <row r="3279" spans="1:4" ht="12.75" x14ac:dyDescent="0.35">
      <c r="A3279" s="4">
        <v>44672</v>
      </c>
      <c r="B3279" s="3" t="s">
        <v>963</v>
      </c>
      <c r="C3279" s="3">
        <v>3.61</v>
      </c>
      <c r="D3279" s="3">
        <v>2</v>
      </c>
    </row>
    <row r="3280" spans="1:4" ht="12.75" x14ac:dyDescent="0.35">
      <c r="A3280" s="4">
        <v>44855</v>
      </c>
      <c r="B3280" s="3" t="s">
        <v>1577</v>
      </c>
      <c r="C3280" s="3">
        <v>3.61</v>
      </c>
      <c r="D3280" s="3">
        <v>1</v>
      </c>
    </row>
    <row r="3281" spans="1:4" ht="12.75" x14ac:dyDescent="0.35">
      <c r="A3281" s="5">
        <v>44733</v>
      </c>
      <c r="B3281" s="3" t="s">
        <v>1236</v>
      </c>
      <c r="C3281" s="3">
        <v>3.6</v>
      </c>
      <c r="D3281" s="3">
        <v>1</v>
      </c>
    </row>
    <row r="3282" spans="1:4" ht="12.75" x14ac:dyDescent="0.35">
      <c r="A3282" s="5">
        <v>44763</v>
      </c>
      <c r="B3282" s="3" t="s">
        <v>1498</v>
      </c>
      <c r="C3282" s="3">
        <v>3.6</v>
      </c>
      <c r="D3282" s="3">
        <v>1</v>
      </c>
    </row>
    <row r="3283" spans="1:4" ht="12.75" x14ac:dyDescent="0.35">
      <c r="A3283" s="4">
        <v>44855</v>
      </c>
      <c r="B3283" s="3" t="s">
        <v>227</v>
      </c>
      <c r="C3283" s="3">
        <v>3.6</v>
      </c>
      <c r="D3283" s="3">
        <v>3</v>
      </c>
    </row>
    <row r="3284" spans="1:4" ht="12.75" x14ac:dyDescent="0.35">
      <c r="A3284" s="4">
        <v>44886</v>
      </c>
      <c r="B3284" s="3" t="s">
        <v>1795</v>
      </c>
      <c r="C3284" s="3">
        <v>3.6</v>
      </c>
      <c r="D3284" s="3">
        <v>1</v>
      </c>
    </row>
    <row r="3285" spans="1:4" ht="12.75" x14ac:dyDescent="0.35">
      <c r="A3285" s="4">
        <v>44916</v>
      </c>
      <c r="B3285" s="3" t="s">
        <v>1965</v>
      </c>
      <c r="C3285" s="3">
        <v>3.6</v>
      </c>
      <c r="D3285" s="3">
        <v>1</v>
      </c>
    </row>
    <row r="3286" spans="1:4" ht="12.75" x14ac:dyDescent="0.35">
      <c r="A3286" s="4">
        <v>44582</v>
      </c>
      <c r="B3286" s="3" t="s">
        <v>200</v>
      </c>
      <c r="C3286" s="3">
        <v>3.59</v>
      </c>
      <c r="D3286" s="3">
        <v>1</v>
      </c>
    </row>
    <row r="3287" spans="1:4" ht="12.75" x14ac:dyDescent="0.35">
      <c r="A3287" s="4">
        <v>44702</v>
      </c>
      <c r="B3287" s="3" t="s">
        <v>1124</v>
      </c>
      <c r="C3287" s="3">
        <v>3.59</v>
      </c>
      <c r="D3287" s="3">
        <v>1</v>
      </c>
    </row>
    <row r="3288" spans="1:4" ht="12.75" x14ac:dyDescent="0.35">
      <c r="A3288" s="4">
        <v>44582</v>
      </c>
      <c r="B3288" s="3" t="s">
        <v>13</v>
      </c>
      <c r="C3288" s="3">
        <v>3.58</v>
      </c>
      <c r="D3288" s="3">
        <v>1</v>
      </c>
    </row>
    <row r="3289" spans="1:4" ht="12.75" x14ac:dyDescent="0.35">
      <c r="A3289" s="5">
        <v>44733</v>
      </c>
      <c r="B3289" s="3" t="s">
        <v>1333</v>
      </c>
      <c r="C3289" s="3">
        <v>3.58</v>
      </c>
      <c r="D3289" s="3">
        <v>1</v>
      </c>
    </row>
    <row r="3290" spans="1:4" ht="12.75" x14ac:dyDescent="0.35">
      <c r="A3290" s="4">
        <v>44916</v>
      </c>
      <c r="B3290" s="3" t="s">
        <v>1055</v>
      </c>
      <c r="C3290" s="3">
        <v>3.58</v>
      </c>
      <c r="D3290" s="3">
        <v>1</v>
      </c>
    </row>
    <row r="3291" spans="1:4" ht="12.75" x14ac:dyDescent="0.35">
      <c r="A3291" s="5">
        <v>44733</v>
      </c>
      <c r="B3291" s="3" t="s">
        <v>1448</v>
      </c>
      <c r="C3291" s="3">
        <v>3.57</v>
      </c>
      <c r="D3291" s="3">
        <v>1</v>
      </c>
    </row>
    <row r="3292" spans="1:4" ht="12.75" x14ac:dyDescent="0.35">
      <c r="A3292" s="4">
        <v>44672</v>
      </c>
      <c r="B3292" s="3" t="s">
        <v>474</v>
      </c>
      <c r="C3292" s="3">
        <v>3.56</v>
      </c>
      <c r="D3292" s="3">
        <v>2</v>
      </c>
    </row>
    <row r="3293" spans="1:4" ht="12.75" x14ac:dyDescent="0.35">
      <c r="A3293" s="5">
        <v>44733</v>
      </c>
      <c r="B3293" s="3" t="s">
        <v>1308</v>
      </c>
      <c r="C3293" s="3">
        <v>3.56</v>
      </c>
      <c r="D3293" s="3">
        <v>1</v>
      </c>
    </row>
    <row r="3294" spans="1:4" ht="12.75" x14ac:dyDescent="0.35">
      <c r="A3294" s="4">
        <v>44825</v>
      </c>
      <c r="B3294" s="3" t="s">
        <v>1484</v>
      </c>
      <c r="C3294" s="3">
        <v>3.56</v>
      </c>
      <c r="D3294" s="3">
        <v>1</v>
      </c>
    </row>
    <row r="3295" spans="1:4" ht="12.75" x14ac:dyDescent="0.35">
      <c r="A3295" s="4">
        <v>44855</v>
      </c>
      <c r="B3295" s="3" t="s">
        <v>1809</v>
      </c>
      <c r="C3295" s="3">
        <v>3.56</v>
      </c>
      <c r="D3295" s="3">
        <v>1</v>
      </c>
    </row>
    <row r="3296" spans="1:4" ht="12.75" x14ac:dyDescent="0.35">
      <c r="A3296" s="5">
        <v>44733</v>
      </c>
      <c r="B3296" s="3" t="s">
        <v>1321</v>
      </c>
      <c r="C3296" s="3">
        <v>3.54</v>
      </c>
      <c r="D3296" s="3">
        <v>1</v>
      </c>
    </row>
    <row r="3297" spans="1:4" ht="12.75" x14ac:dyDescent="0.35">
      <c r="A3297" s="5">
        <v>44733</v>
      </c>
      <c r="B3297" s="3" t="s">
        <v>1173</v>
      </c>
      <c r="C3297" s="3">
        <v>3.53</v>
      </c>
      <c r="D3297" s="3">
        <v>1</v>
      </c>
    </row>
    <row r="3298" spans="1:4" ht="12.75" x14ac:dyDescent="0.35">
      <c r="A3298" s="5">
        <v>44733</v>
      </c>
      <c r="B3298" s="3" t="s">
        <v>1191</v>
      </c>
      <c r="C3298" s="3">
        <v>3.53</v>
      </c>
      <c r="D3298" s="3">
        <v>1</v>
      </c>
    </row>
    <row r="3299" spans="1:4" ht="12.75" x14ac:dyDescent="0.35">
      <c r="A3299" s="5">
        <v>44733</v>
      </c>
      <c r="B3299" s="3" t="s">
        <v>1210</v>
      </c>
      <c r="C3299" s="3">
        <v>3.53</v>
      </c>
      <c r="D3299" s="3">
        <v>1</v>
      </c>
    </row>
    <row r="3300" spans="1:4" ht="12.75" x14ac:dyDescent="0.35">
      <c r="A3300" s="5">
        <v>44733</v>
      </c>
      <c r="B3300" s="3" t="s">
        <v>1222</v>
      </c>
      <c r="C3300" s="3">
        <v>3.53</v>
      </c>
      <c r="D3300" s="3">
        <v>1</v>
      </c>
    </row>
    <row r="3301" spans="1:4" ht="12.75" x14ac:dyDescent="0.35">
      <c r="A3301" s="5">
        <v>44733</v>
      </c>
      <c r="B3301" s="3" t="s">
        <v>1247</v>
      </c>
      <c r="C3301" s="3">
        <v>3.53</v>
      </c>
      <c r="D3301" s="3">
        <v>1</v>
      </c>
    </row>
    <row r="3302" spans="1:4" ht="12.75" x14ac:dyDescent="0.35">
      <c r="A3302" s="5">
        <v>44733</v>
      </c>
      <c r="B3302" s="3" t="s">
        <v>1267</v>
      </c>
      <c r="C3302" s="3">
        <v>3.53</v>
      </c>
      <c r="D3302" s="3">
        <v>1</v>
      </c>
    </row>
    <row r="3303" spans="1:4" ht="12.75" x14ac:dyDescent="0.35">
      <c r="A3303" s="5">
        <v>44733</v>
      </c>
      <c r="B3303" s="3" t="s">
        <v>1316</v>
      </c>
      <c r="C3303" s="3">
        <v>3.53</v>
      </c>
      <c r="D3303" s="3">
        <v>1</v>
      </c>
    </row>
    <row r="3304" spans="1:4" ht="12.75" x14ac:dyDescent="0.35">
      <c r="A3304" s="5">
        <v>44733</v>
      </c>
      <c r="B3304" s="3" t="s">
        <v>1367</v>
      </c>
      <c r="C3304" s="3">
        <v>3.53</v>
      </c>
      <c r="D3304" s="3">
        <v>1</v>
      </c>
    </row>
    <row r="3305" spans="1:4" ht="12.75" x14ac:dyDescent="0.35">
      <c r="A3305" s="5">
        <v>44733</v>
      </c>
      <c r="B3305" s="3" t="s">
        <v>1423</v>
      </c>
      <c r="C3305" s="3">
        <v>3.53</v>
      </c>
      <c r="D3305" s="3">
        <v>1</v>
      </c>
    </row>
    <row r="3306" spans="1:4" ht="12.75" x14ac:dyDescent="0.35">
      <c r="A3306" s="5">
        <v>44733</v>
      </c>
      <c r="B3306" s="3" t="s">
        <v>1443</v>
      </c>
      <c r="C3306" s="3">
        <v>3.53</v>
      </c>
      <c r="D3306" s="3">
        <v>1</v>
      </c>
    </row>
    <row r="3307" spans="1:4" ht="12.75" x14ac:dyDescent="0.35">
      <c r="A3307" s="4">
        <v>44855</v>
      </c>
      <c r="B3307" s="3" t="s">
        <v>451</v>
      </c>
      <c r="C3307" s="3">
        <v>3.52</v>
      </c>
      <c r="D3307" s="3">
        <v>1</v>
      </c>
    </row>
    <row r="3308" spans="1:4" ht="12.75" x14ac:dyDescent="0.35">
      <c r="A3308" s="5">
        <v>44733</v>
      </c>
      <c r="B3308" s="3" t="s">
        <v>1165</v>
      </c>
      <c r="C3308" s="3">
        <v>3.51</v>
      </c>
      <c r="D3308" s="3">
        <v>1</v>
      </c>
    </row>
    <row r="3309" spans="1:4" ht="12.75" x14ac:dyDescent="0.35">
      <c r="A3309" s="4">
        <v>44886</v>
      </c>
      <c r="B3309" s="3" t="s">
        <v>1698</v>
      </c>
      <c r="C3309" s="3">
        <v>3.5</v>
      </c>
      <c r="D3309" s="3">
        <v>5</v>
      </c>
    </row>
    <row r="3310" spans="1:4" ht="12.75" x14ac:dyDescent="0.35">
      <c r="A3310" s="4">
        <v>44702</v>
      </c>
      <c r="B3310" s="3" t="s">
        <v>1088</v>
      </c>
      <c r="C3310" s="3">
        <v>3.49</v>
      </c>
      <c r="D3310" s="3">
        <v>1</v>
      </c>
    </row>
    <row r="3311" spans="1:4" ht="12.75" x14ac:dyDescent="0.35">
      <c r="A3311" s="4">
        <v>44702</v>
      </c>
      <c r="B3311" s="3" t="s">
        <v>1155</v>
      </c>
      <c r="C3311" s="3">
        <v>3.49</v>
      </c>
      <c r="D3311" s="3">
        <v>1</v>
      </c>
    </row>
    <row r="3312" spans="1:4" ht="12.75" x14ac:dyDescent="0.35">
      <c r="A3312" s="5">
        <v>44733</v>
      </c>
      <c r="B3312" s="3" t="s">
        <v>468</v>
      </c>
      <c r="C3312" s="3">
        <v>3.49</v>
      </c>
      <c r="D3312" s="3">
        <v>1</v>
      </c>
    </row>
    <row r="3313" spans="1:4" ht="12.75" x14ac:dyDescent="0.35">
      <c r="A3313" s="5">
        <v>44763</v>
      </c>
      <c r="B3313" s="3" t="s">
        <v>323</v>
      </c>
      <c r="C3313" s="3">
        <v>3.49</v>
      </c>
      <c r="D3313" s="3">
        <v>1</v>
      </c>
    </row>
    <row r="3314" spans="1:4" ht="12.75" x14ac:dyDescent="0.35">
      <c r="A3314" s="4">
        <v>44794</v>
      </c>
      <c r="B3314" s="3" t="s">
        <v>1473</v>
      </c>
      <c r="C3314" s="3">
        <v>3.49</v>
      </c>
      <c r="D3314" s="3">
        <v>1</v>
      </c>
    </row>
    <row r="3315" spans="1:4" ht="12.75" x14ac:dyDescent="0.35">
      <c r="A3315" s="5">
        <v>44733</v>
      </c>
      <c r="B3315" s="3" t="s">
        <v>1217</v>
      </c>
      <c r="C3315" s="3">
        <v>3.48</v>
      </c>
      <c r="D3315" s="3">
        <v>1</v>
      </c>
    </row>
    <row r="3316" spans="1:4" ht="12.75" x14ac:dyDescent="0.35">
      <c r="A3316" s="4">
        <v>44672</v>
      </c>
      <c r="B3316" s="3" t="s">
        <v>291</v>
      </c>
      <c r="C3316" s="3">
        <v>3.46</v>
      </c>
      <c r="D3316" s="3">
        <v>2</v>
      </c>
    </row>
    <row r="3317" spans="1:4" ht="12.75" x14ac:dyDescent="0.35">
      <c r="A3317" s="5">
        <v>44733</v>
      </c>
      <c r="B3317" s="3" t="s">
        <v>1201</v>
      </c>
      <c r="C3317" s="3">
        <v>3.46</v>
      </c>
      <c r="D3317" s="3">
        <v>1</v>
      </c>
    </row>
    <row r="3318" spans="1:4" ht="12.75" x14ac:dyDescent="0.35">
      <c r="A3318" s="4">
        <v>44916</v>
      </c>
      <c r="B3318" s="3" t="s">
        <v>1866</v>
      </c>
      <c r="C3318" s="3">
        <v>3.46</v>
      </c>
      <c r="D3318" s="3">
        <v>1</v>
      </c>
    </row>
    <row r="3319" spans="1:4" ht="12.75" x14ac:dyDescent="0.35">
      <c r="A3319" s="5">
        <v>44733</v>
      </c>
      <c r="B3319" s="3" t="s">
        <v>1259</v>
      </c>
      <c r="C3319" s="3">
        <v>3.44</v>
      </c>
      <c r="D3319" s="3">
        <v>1</v>
      </c>
    </row>
    <row r="3320" spans="1:4" ht="12.75" x14ac:dyDescent="0.35">
      <c r="A3320" s="4">
        <v>44916</v>
      </c>
      <c r="B3320" s="3" t="s">
        <v>1909</v>
      </c>
      <c r="C3320" s="3">
        <v>3.44</v>
      </c>
      <c r="D3320" s="3">
        <v>1</v>
      </c>
    </row>
    <row r="3321" spans="1:4" ht="12.75" x14ac:dyDescent="0.35">
      <c r="A3321" s="5">
        <v>44733</v>
      </c>
      <c r="B3321" s="3" t="s">
        <v>559</v>
      </c>
      <c r="C3321" s="3">
        <v>3.42</v>
      </c>
      <c r="D3321" s="3">
        <v>2</v>
      </c>
    </row>
    <row r="3322" spans="1:4" ht="12.75" x14ac:dyDescent="0.35">
      <c r="A3322" s="5">
        <v>44733</v>
      </c>
      <c r="B3322" s="3" t="s">
        <v>994</v>
      </c>
      <c r="C3322" s="3">
        <v>3.42</v>
      </c>
      <c r="D3322" s="3">
        <v>2</v>
      </c>
    </row>
    <row r="3323" spans="1:4" ht="12.75" x14ac:dyDescent="0.35">
      <c r="A3323" s="4">
        <v>44794</v>
      </c>
      <c r="B3323" s="3" t="s">
        <v>1697</v>
      </c>
      <c r="C3323" s="3">
        <v>3.42</v>
      </c>
      <c r="D3323" s="3">
        <v>1</v>
      </c>
    </row>
    <row r="3324" spans="1:4" ht="12.75" x14ac:dyDescent="0.35">
      <c r="A3324" s="5">
        <v>44733</v>
      </c>
      <c r="B3324" s="3" t="s">
        <v>1263</v>
      </c>
      <c r="C3324" s="3">
        <v>3.41</v>
      </c>
      <c r="D3324" s="3">
        <v>1</v>
      </c>
    </row>
    <row r="3325" spans="1:4" ht="12.75" x14ac:dyDescent="0.35">
      <c r="A3325" s="4">
        <v>44702</v>
      </c>
      <c r="B3325" s="3" t="s">
        <v>848</v>
      </c>
      <c r="C3325" s="3">
        <v>3.4</v>
      </c>
      <c r="D3325" s="3">
        <v>1</v>
      </c>
    </row>
    <row r="3326" spans="1:4" ht="12.75" x14ac:dyDescent="0.35">
      <c r="A3326" s="5">
        <v>44733</v>
      </c>
      <c r="B3326" s="3" t="s">
        <v>1264</v>
      </c>
      <c r="C3326" s="3">
        <v>3.4</v>
      </c>
      <c r="D3326" s="3">
        <v>1</v>
      </c>
    </row>
    <row r="3327" spans="1:4" ht="12.75" x14ac:dyDescent="0.35">
      <c r="A3327" s="4">
        <v>44825</v>
      </c>
      <c r="B3327" s="3" t="s">
        <v>570</v>
      </c>
      <c r="C3327" s="3">
        <v>3.4</v>
      </c>
      <c r="D3327" s="3">
        <v>1</v>
      </c>
    </row>
    <row r="3328" spans="1:4" ht="12.75" x14ac:dyDescent="0.35">
      <c r="A3328" s="4">
        <v>44702</v>
      </c>
      <c r="B3328" s="3" t="s">
        <v>1133</v>
      </c>
      <c r="C3328" s="3">
        <v>3.39</v>
      </c>
      <c r="D3328" s="3">
        <v>1</v>
      </c>
    </row>
    <row r="3329" spans="1:4" ht="12.75" x14ac:dyDescent="0.35">
      <c r="A3329" s="5">
        <v>44733</v>
      </c>
      <c r="B3329" s="3" t="s">
        <v>1324</v>
      </c>
      <c r="C3329" s="3">
        <v>3.38</v>
      </c>
      <c r="D3329" s="3">
        <v>1</v>
      </c>
    </row>
    <row r="3330" spans="1:4" ht="12.75" x14ac:dyDescent="0.35">
      <c r="A3330" s="4">
        <v>44825</v>
      </c>
      <c r="B3330" s="3" t="s">
        <v>1625</v>
      </c>
      <c r="C3330" s="3">
        <v>3.37</v>
      </c>
      <c r="D3330" s="3">
        <v>1</v>
      </c>
    </row>
    <row r="3331" spans="1:4" ht="12.75" x14ac:dyDescent="0.35">
      <c r="A3331" s="5">
        <v>44763</v>
      </c>
      <c r="B3331" s="3" t="s">
        <v>220</v>
      </c>
      <c r="C3331" s="3">
        <v>3.36</v>
      </c>
      <c r="D3331" s="3">
        <v>3</v>
      </c>
    </row>
    <row r="3332" spans="1:4" ht="12.75" x14ac:dyDescent="0.35">
      <c r="A3332" s="5">
        <v>44733</v>
      </c>
      <c r="B3332" s="3" t="s">
        <v>1422</v>
      </c>
      <c r="C3332" s="3">
        <v>3.35</v>
      </c>
      <c r="D3332" s="3">
        <v>1</v>
      </c>
    </row>
    <row r="3333" spans="1:4" ht="12.75" x14ac:dyDescent="0.35">
      <c r="A3333" s="4">
        <v>44641</v>
      </c>
      <c r="B3333" s="3" t="s">
        <v>184</v>
      </c>
      <c r="C3333" s="3">
        <v>3.34</v>
      </c>
      <c r="D3333" s="3">
        <v>2</v>
      </c>
    </row>
    <row r="3334" spans="1:4" ht="12.75" x14ac:dyDescent="0.35">
      <c r="A3334" s="4">
        <v>44702</v>
      </c>
      <c r="B3334" s="3" t="s">
        <v>1037</v>
      </c>
      <c r="C3334" s="3">
        <v>3.34</v>
      </c>
      <c r="D3334" s="3">
        <v>1</v>
      </c>
    </row>
    <row r="3335" spans="1:4" ht="12.75" x14ac:dyDescent="0.35">
      <c r="A3335" s="4">
        <v>44916</v>
      </c>
      <c r="B3335" s="3" t="s">
        <v>583</v>
      </c>
      <c r="C3335" s="3">
        <v>3.34</v>
      </c>
      <c r="D3335" s="3">
        <v>1</v>
      </c>
    </row>
    <row r="3336" spans="1:4" ht="12.75" x14ac:dyDescent="0.35">
      <c r="A3336" s="5">
        <v>44733</v>
      </c>
      <c r="B3336" s="3" t="s">
        <v>1190</v>
      </c>
      <c r="C3336" s="3">
        <v>3.33</v>
      </c>
      <c r="D3336" s="3">
        <v>1</v>
      </c>
    </row>
    <row r="3337" spans="1:4" ht="12.75" x14ac:dyDescent="0.35">
      <c r="A3337" s="4">
        <v>44855</v>
      </c>
      <c r="B3337" s="3" t="s">
        <v>1750</v>
      </c>
      <c r="C3337" s="3">
        <v>3.33</v>
      </c>
      <c r="D3337" s="3">
        <v>2</v>
      </c>
    </row>
    <row r="3338" spans="1:4" ht="12.75" x14ac:dyDescent="0.35">
      <c r="A3338" s="4">
        <v>44886</v>
      </c>
      <c r="B3338" s="3" t="s">
        <v>608</v>
      </c>
      <c r="C3338" s="3">
        <v>3.32</v>
      </c>
      <c r="D3338" s="3">
        <v>1</v>
      </c>
    </row>
    <row r="3339" spans="1:4" ht="12.75" x14ac:dyDescent="0.35">
      <c r="A3339" s="4">
        <v>44613</v>
      </c>
      <c r="B3339" s="3" t="s">
        <v>452</v>
      </c>
      <c r="C3339" s="3">
        <v>3.3</v>
      </c>
      <c r="D3339" s="3">
        <v>1</v>
      </c>
    </row>
    <row r="3340" spans="1:4" ht="12.75" x14ac:dyDescent="0.35">
      <c r="A3340" s="5">
        <v>44733</v>
      </c>
      <c r="B3340" s="3" t="s">
        <v>184</v>
      </c>
      <c r="C3340" s="3">
        <v>3.3</v>
      </c>
      <c r="D3340" s="3">
        <v>2</v>
      </c>
    </row>
    <row r="3341" spans="1:4" ht="12.75" x14ac:dyDescent="0.35">
      <c r="A3341" s="5">
        <v>44733</v>
      </c>
      <c r="B3341" s="3" t="s">
        <v>1238</v>
      </c>
      <c r="C3341" s="3">
        <v>3.29</v>
      </c>
      <c r="D3341" s="3">
        <v>1</v>
      </c>
    </row>
    <row r="3342" spans="1:4" ht="12.75" x14ac:dyDescent="0.35">
      <c r="A3342" s="4">
        <v>44794</v>
      </c>
      <c r="B3342" s="3" t="s">
        <v>1570</v>
      </c>
      <c r="C3342" s="3">
        <v>3.29</v>
      </c>
      <c r="D3342" s="3">
        <v>1</v>
      </c>
    </row>
    <row r="3343" spans="1:4" ht="12.75" x14ac:dyDescent="0.35">
      <c r="A3343" s="4">
        <v>44916</v>
      </c>
      <c r="B3343" s="3" t="s">
        <v>1900</v>
      </c>
      <c r="C3343" s="3">
        <v>3.29</v>
      </c>
      <c r="D3343" s="3">
        <v>1</v>
      </c>
    </row>
    <row r="3344" spans="1:4" ht="12.75" x14ac:dyDescent="0.35">
      <c r="A3344" s="4">
        <v>44672</v>
      </c>
      <c r="B3344" s="3" t="s">
        <v>920</v>
      </c>
      <c r="C3344" s="3">
        <v>3.28</v>
      </c>
      <c r="D3344" s="3">
        <v>1</v>
      </c>
    </row>
    <row r="3345" spans="1:4" ht="12.75" x14ac:dyDescent="0.35">
      <c r="A3345" s="5">
        <v>44763</v>
      </c>
      <c r="B3345" s="3" t="s">
        <v>841</v>
      </c>
      <c r="C3345" s="3">
        <v>3.27</v>
      </c>
      <c r="D3345" s="3">
        <v>1</v>
      </c>
    </row>
    <row r="3346" spans="1:4" ht="12.75" x14ac:dyDescent="0.35">
      <c r="A3346" s="4">
        <v>44886</v>
      </c>
      <c r="B3346" s="3" t="s">
        <v>1724</v>
      </c>
      <c r="C3346" s="3">
        <v>3.27</v>
      </c>
      <c r="D3346" s="3">
        <v>1</v>
      </c>
    </row>
    <row r="3347" spans="1:4" ht="12.75" x14ac:dyDescent="0.35">
      <c r="A3347" s="4">
        <v>44641</v>
      </c>
      <c r="B3347" s="3" t="s">
        <v>307</v>
      </c>
      <c r="C3347" s="3">
        <v>3.26</v>
      </c>
      <c r="D3347" s="3">
        <v>5</v>
      </c>
    </row>
    <row r="3348" spans="1:4" ht="12.75" x14ac:dyDescent="0.35">
      <c r="A3348" s="4">
        <v>44855</v>
      </c>
      <c r="B3348" s="3" t="s">
        <v>1578</v>
      </c>
      <c r="C3348" s="3">
        <v>3.25</v>
      </c>
      <c r="D3348" s="3">
        <v>1</v>
      </c>
    </row>
    <row r="3349" spans="1:4" ht="12.75" x14ac:dyDescent="0.35">
      <c r="A3349" s="5">
        <v>44733</v>
      </c>
      <c r="B3349" s="3" t="s">
        <v>1206</v>
      </c>
      <c r="C3349" s="3">
        <v>3.24</v>
      </c>
      <c r="D3349" s="3">
        <v>1</v>
      </c>
    </row>
    <row r="3350" spans="1:4" ht="12.75" x14ac:dyDescent="0.35">
      <c r="A3350" s="4">
        <v>44702</v>
      </c>
      <c r="B3350" s="3" t="s">
        <v>102</v>
      </c>
      <c r="C3350" s="3">
        <v>3.22</v>
      </c>
      <c r="D3350" s="3">
        <v>3</v>
      </c>
    </row>
    <row r="3351" spans="1:4" ht="12.75" x14ac:dyDescent="0.35">
      <c r="A3351" s="4">
        <v>44672</v>
      </c>
      <c r="B3351" s="3" t="s">
        <v>571</v>
      </c>
      <c r="C3351" s="3">
        <v>3.21</v>
      </c>
      <c r="D3351" s="3">
        <v>2</v>
      </c>
    </row>
    <row r="3352" spans="1:4" ht="12.75" x14ac:dyDescent="0.35">
      <c r="A3352" s="5">
        <v>44733</v>
      </c>
      <c r="B3352" s="3" t="s">
        <v>1168</v>
      </c>
      <c r="C3352" s="3">
        <v>3.21</v>
      </c>
      <c r="D3352" s="3">
        <v>1</v>
      </c>
    </row>
    <row r="3353" spans="1:4" ht="12.75" x14ac:dyDescent="0.35">
      <c r="A3353" s="4">
        <v>44794</v>
      </c>
      <c r="B3353" s="3" t="s">
        <v>611</v>
      </c>
      <c r="C3353" s="3">
        <v>3.21</v>
      </c>
      <c r="D3353" s="3">
        <v>2</v>
      </c>
    </row>
    <row r="3354" spans="1:4" ht="12.75" x14ac:dyDescent="0.35">
      <c r="A3354" s="4">
        <v>44886</v>
      </c>
      <c r="B3354" s="3" t="s">
        <v>1822</v>
      </c>
      <c r="C3354" s="3">
        <v>3.21</v>
      </c>
      <c r="D3354" s="3">
        <v>1</v>
      </c>
    </row>
    <row r="3355" spans="1:4" ht="12.75" x14ac:dyDescent="0.35">
      <c r="A3355" s="4">
        <v>44916</v>
      </c>
      <c r="B3355" s="3" t="s">
        <v>484</v>
      </c>
      <c r="C3355" s="3">
        <v>3.2</v>
      </c>
      <c r="D3355" s="3">
        <v>1</v>
      </c>
    </row>
    <row r="3356" spans="1:4" ht="12.75" x14ac:dyDescent="0.35">
      <c r="A3356" s="5">
        <v>44733</v>
      </c>
      <c r="B3356" s="3" t="s">
        <v>1282</v>
      </c>
      <c r="C3356" s="3">
        <v>3.18</v>
      </c>
      <c r="D3356" s="3">
        <v>1</v>
      </c>
    </row>
    <row r="3357" spans="1:4" ht="12.75" x14ac:dyDescent="0.35">
      <c r="A3357" s="4">
        <v>44582</v>
      </c>
      <c r="B3357" s="3" t="s">
        <v>153</v>
      </c>
      <c r="C3357" s="3">
        <v>3.17</v>
      </c>
      <c r="D3357" s="3">
        <v>1</v>
      </c>
    </row>
    <row r="3358" spans="1:4" ht="12.75" x14ac:dyDescent="0.35">
      <c r="A3358" s="4">
        <v>44702</v>
      </c>
      <c r="B3358" s="3" t="s">
        <v>1093</v>
      </c>
      <c r="C3358" s="3">
        <v>3.17</v>
      </c>
      <c r="D3358" s="3">
        <v>1</v>
      </c>
    </row>
    <row r="3359" spans="1:4" ht="12.75" x14ac:dyDescent="0.35">
      <c r="A3359" s="5">
        <v>44733</v>
      </c>
      <c r="B3359" s="3" t="s">
        <v>1177</v>
      </c>
      <c r="C3359" s="3">
        <v>3.17</v>
      </c>
      <c r="D3359" s="3">
        <v>1</v>
      </c>
    </row>
    <row r="3360" spans="1:4" ht="12.75" x14ac:dyDescent="0.35">
      <c r="A3360" s="4">
        <v>44582</v>
      </c>
      <c r="B3360" s="3" t="s">
        <v>104</v>
      </c>
      <c r="C3360" s="3">
        <v>3.15</v>
      </c>
      <c r="D3360" s="3">
        <v>1</v>
      </c>
    </row>
    <row r="3361" spans="1:4" ht="12.75" x14ac:dyDescent="0.35">
      <c r="A3361" s="5">
        <v>44733</v>
      </c>
      <c r="B3361" s="3" t="s">
        <v>1306</v>
      </c>
      <c r="C3361" s="3">
        <v>3.15</v>
      </c>
      <c r="D3361" s="3">
        <v>1</v>
      </c>
    </row>
    <row r="3362" spans="1:4" ht="12.75" x14ac:dyDescent="0.35">
      <c r="A3362" s="4">
        <v>44613</v>
      </c>
      <c r="B3362" s="3" t="s">
        <v>469</v>
      </c>
      <c r="C3362" s="3">
        <v>3.14</v>
      </c>
      <c r="D3362" s="3">
        <v>1</v>
      </c>
    </row>
    <row r="3363" spans="1:4" ht="12.75" x14ac:dyDescent="0.35">
      <c r="A3363" s="5">
        <v>44733</v>
      </c>
      <c r="B3363" s="3" t="s">
        <v>1273</v>
      </c>
      <c r="C3363" s="3">
        <v>3.14</v>
      </c>
      <c r="D3363" s="3">
        <v>1</v>
      </c>
    </row>
    <row r="3364" spans="1:4" ht="12.75" x14ac:dyDescent="0.35">
      <c r="A3364" s="4">
        <v>44794</v>
      </c>
      <c r="B3364" s="3" t="s">
        <v>1573</v>
      </c>
      <c r="C3364" s="3">
        <v>3.13</v>
      </c>
      <c r="D3364" s="3">
        <v>1</v>
      </c>
    </row>
    <row r="3365" spans="1:4" ht="12.75" x14ac:dyDescent="0.35">
      <c r="A3365" s="4">
        <v>44672</v>
      </c>
      <c r="B3365" s="3" t="s">
        <v>869</v>
      </c>
      <c r="C3365" s="3">
        <v>3.12</v>
      </c>
      <c r="D3365" s="3">
        <v>1</v>
      </c>
    </row>
    <row r="3366" spans="1:4" ht="12.75" x14ac:dyDescent="0.35">
      <c r="A3366" s="4">
        <v>44702</v>
      </c>
      <c r="B3366" s="3" t="s">
        <v>1147</v>
      </c>
      <c r="C3366" s="3">
        <v>3.12</v>
      </c>
      <c r="D3366" s="3">
        <v>1</v>
      </c>
    </row>
    <row r="3367" spans="1:4" ht="12.75" x14ac:dyDescent="0.35">
      <c r="A3367" s="4">
        <v>44916</v>
      </c>
      <c r="B3367" s="3" t="s">
        <v>1859</v>
      </c>
      <c r="C3367" s="3">
        <v>3.1</v>
      </c>
      <c r="D3367" s="3">
        <v>1</v>
      </c>
    </row>
    <row r="3368" spans="1:4" ht="12.75" x14ac:dyDescent="0.35">
      <c r="A3368" s="4">
        <v>44641</v>
      </c>
      <c r="B3368" s="3" t="s">
        <v>732</v>
      </c>
      <c r="C3368" s="3">
        <v>3.09</v>
      </c>
      <c r="D3368" s="3">
        <v>1</v>
      </c>
    </row>
    <row r="3369" spans="1:4" ht="12.75" x14ac:dyDescent="0.35">
      <c r="A3369" s="4">
        <v>44825</v>
      </c>
      <c r="B3369" s="3" t="s">
        <v>141</v>
      </c>
      <c r="C3369" s="3">
        <v>3.09</v>
      </c>
      <c r="D3369" s="3">
        <v>3</v>
      </c>
    </row>
    <row r="3370" spans="1:4" ht="12.75" x14ac:dyDescent="0.35">
      <c r="A3370" s="4">
        <v>44855</v>
      </c>
      <c r="B3370" s="3" t="s">
        <v>961</v>
      </c>
      <c r="C3370" s="3">
        <v>3.08</v>
      </c>
      <c r="D3370" s="3">
        <v>2</v>
      </c>
    </row>
    <row r="3371" spans="1:4" ht="12.75" x14ac:dyDescent="0.35">
      <c r="A3371" s="4">
        <v>44886</v>
      </c>
      <c r="B3371" s="3" t="s">
        <v>1029</v>
      </c>
      <c r="C3371" s="3">
        <v>3.07</v>
      </c>
      <c r="D3371" s="3">
        <v>1</v>
      </c>
    </row>
    <row r="3372" spans="1:4" ht="12.75" x14ac:dyDescent="0.35">
      <c r="A3372" s="4">
        <v>44613</v>
      </c>
      <c r="B3372" s="3" t="s">
        <v>238</v>
      </c>
      <c r="C3372" s="3">
        <v>3.06</v>
      </c>
      <c r="D3372" s="3">
        <v>1</v>
      </c>
    </row>
    <row r="3373" spans="1:4" ht="12.75" x14ac:dyDescent="0.35">
      <c r="A3373" s="5">
        <v>44733</v>
      </c>
      <c r="B3373" s="3" t="s">
        <v>1254</v>
      </c>
      <c r="C3373" s="3">
        <v>3.06</v>
      </c>
      <c r="D3373" s="3">
        <v>1</v>
      </c>
    </row>
    <row r="3374" spans="1:4" ht="12.75" x14ac:dyDescent="0.35">
      <c r="A3374" s="4">
        <v>44702</v>
      </c>
      <c r="B3374" s="3" t="s">
        <v>503</v>
      </c>
      <c r="C3374" s="3">
        <v>3.05</v>
      </c>
      <c r="D3374" s="3">
        <v>1</v>
      </c>
    </row>
    <row r="3375" spans="1:4" ht="12.75" x14ac:dyDescent="0.35">
      <c r="A3375" s="5">
        <v>44733</v>
      </c>
      <c r="B3375" s="3" t="s">
        <v>1419</v>
      </c>
      <c r="C3375" s="3">
        <v>3.05</v>
      </c>
      <c r="D3375" s="3">
        <v>1</v>
      </c>
    </row>
    <row r="3376" spans="1:4" ht="12.75" x14ac:dyDescent="0.35">
      <c r="A3376" s="4">
        <v>44582</v>
      </c>
      <c r="B3376" s="3" t="s">
        <v>157</v>
      </c>
      <c r="C3376" s="3">
        <v>3.04</v>
      </c>
      <c r="D3376" s="3">
        <v>2</v>
      </c>
    </row>
    <row r="3377" spans="1:4" ht="12.75" x14ac:dyDescent="0.35">
      <c r="A3377" s="4">
        <v>44702</v>
      </c>
      <c r="B3377" s="3" t="s">
        <v>54</v>
      </c>
      <c r="C3377" s="3">
        <v>3.04</v>
      </c>
      <c r="D3377" s="3">
        <v>1</v>
      </c>
    </row>
    <row r="3378" spans="1:4" ht="12.75" x14ac:dyDescent="0.35">
      <c r="A3378" s="4">
        <v>44794</v>
      </c>
      <c r="B3378" s="3" t="s">
        <v>197</v>
      </c>
      <c r="C3378" s="3">
        <v>3.04</v>
      </c>
      <c r="D3378" s="3">
        <v>1</v>
      </c>
    </row>
    <row r="3379" spans="1:4" ht="12.75" x14ac:dyDescent="0.35">
      <c r="A3379" s="4">
        <v>44672</v>
      </c>
      <c r="B3379" s="3" t="s">
        <v>805</v>
      </c>
      <c r="C3379" s="3">
        <v>3.01</v>
      </c>
      <c r="D3379" s="3">
        <v>1</v>
      </c>
    </row>
    <row r="3380" spans="1:4" ht="12.75" x14ac:dyDescent="0.35">
      <c r="A3380" s="4">
        <v>44886</v>
      </c>
      <c r="B3380" s="3" t="s">
        <v>280</v>
      </c>
      <c r="C3380" s="3">
        <v>3.01</v>
      </c>
      <c r="D3380" s="3">
        <v>1</v>
      </c>
    </row>
    <row r="3381" spans="1:4" ht="12.75" x14ac:dyDescent="0.35">
      <c r="A3381" s="5">
        <v>44733</v>
      </c>
      <c r="B3381" s="3" t="s">
        <v>1171</v>
      </c>
      <c r="C3381" s="3">
        <v>3</v>
      </c>
      <c r="D3381" s="3">
        <v>1</v>
      </c>
    </row>
    <row r="3382" spans="1:4" ht="12.75" x14ac:dyDescent="0.35">
      <c r="A3382" s="5">
        <v>44733</v>
      </c>
      <c r="B3382" s="3" t="s">
        <v>1188</v>
      </c>
      <c r="C3382" s="3">
        <v>3</v>
      </c>
      <c r="D3382" s="3">
        <v>1</v>
      </c>
    </row>
    <row r="3383" spans="1:4" ht="12.75" x14ac:dyDescent="0.35">
      <c r="A3383" s="5">
        <v>44733</v>
      </c>
      <c r="B3383" s="3" t="s">
        <v>1223</v>
      </c>
      <c r="C3383" s="3">
        <v>3</v>
      </c>
      <c r="D3383" s="3">
        <v>1</v>
      </c>
    </row>
    <row r="3384" spans="1:4" ht="12.75" x14ac:dyDescent="0.35">
      <c r="A3384" s="5">
        <v>44733</v>
      </c>
      <c r="B3384" s="3" t="s">
        <v>1225</v>
      </c>
      <c r="C3384" s="3">
        <v>3</v>
      </c>
      <c r="D3384" s="3">
        <v>1</v>
      </c>
    </row>
    <row r="3385" spans="1:4" ht="12.75" x14ac:dyDescent="0.35">
      <c r="A3385" s="5">
        <v>44733</v>
      </c>
      <c r="B3385" s="3" t="s">
        <v>1233</v>
      </c>
      <c r="C3385" s="3">
        <v>3</v>
      </c>
      <c r="D3385" s="3">
        <v>1</v>
      </c>
    </row>
    <row r="3386" spans="1:4" ht="12.75" x14ac:dyDescent="0.35">
      <c r="A3386" s="5">
        <v>44733</v>
      </c>
      <c r="B3386" s="3" t="s">
        <v>1255</v>
      </c>
      <c r="C3386" s="3">
        <v>3</v>
      </c>
      <c r="D3386" s="3">
        <v>1</v>
      </c>
    </row>
    <row r="3387" spans="1:4" ht="12.75" x14ac:dyDescent="0.35">
      <c r="A3387" s="5">
        <v>44733</v>
      </c>
      <c r="B3387" s="3" t="s">
        <v>1304</v>
      </c>
      <c r="C3387" s="3">
        <v>3</v>
      </c>
      <c r="D3387" s="3">
        <v>1</v>
      </c>
    </row>
    <row r="3388" spans="1:4" ht="12.75" x14ac:dyDescent="0.35">
      <c r="A3388" s="5">
        <v>44733</v>
      </c>
      <c r="B3388" s="3" t="s">
        <v>1305</v>
      </c>
      <c r="C3388" s="3">
        <v>3</v>
      </c>
      <c r="D3388" s="3">
        <v>1</v>
      </c>
    </row>
    <row r="3389" spans="1:4" ht="12.75" x14ac:dyDescent="0.35">
      <c r="A3389" s="5">
        <v>44733</v>
      </c>
      <c r="B3389" s="3" t="s">
        <v>1327</v>
      </c>
      <c r="C3389" s="3">
        <v>3</v>
      </c>
      <c r="D3389" s="3">
        <v>1</v>
      </c>
    </row>
    <row r="3390" spans="1:4" ht="12.75" x14ac:dyDescent="0.35">
      <c r="A3390" s="5">
        <v>44733</v>
      </c>
      <c r="B3390" s="3" t="s">
        <v>1338</v>
      </c>
      <c r="C3390" s="3">
        <v>3</v>
      </c>
      <c r="D3390" s="3">
        <v>1</v>
      </c>
    </row>
    <row r="3391" spans="1:4" ht="12.75" x14ac:dyDescent="0.35">
      <c r="A3391" s="5">
        <v>44733</v>
      </c>
      <c r="B3391" s="3" t="s">
        <v>1354</v>
      </c>
      <c r="C3391" s="3">
        <v>3</v>
      </c>
      <c r="D3391" s="3">
        <v>1</v>
      </c>
    </row>
    <row r="3392" spans="1:4" ht="12.75" x14ac:dyDescent="0.35">
      <c r="A3392" s="5">
        <v>44733</v>
      </c>
      <c r="B3392" s="3" t="s">
        <v>1365</v>
      </c>
      <c r="C3392" s="3">
        <v>3</v>
      </c>
      <c r="D3392" s="3">
        <v>1</v>
      </c>
    </row>
    <row r="3393" spans="1:4" ht="12.75" x14ac:dyDescent="0.35">
      <c r="A3393" s="5">
        <v>44733</v>
      </c>
      <c r="B3393" s="3" t="s">
        <v>1372</v>
      </c>
      <c r="C3393" s="3">
        <v>3</v>
      </c>
      <c r="D3393" s="3">
        <v>1</v>
      </c>
    </row>
    <row r="3394" spans="1:4" ht="12.75" x14ac:dyDescent="0.35">
      <c r="A3394" s="5">
        <v>44733</v>
      </c>
      <c r="B3394" s="3" t="s">
        <v>1405</v>
      </c>
      <c r="C3394" s="3">
        <v>3</v>
      </c>
      <c r="D3394" s="3">
        <v>1</v>
      </c>
    </row>
    <row r="3395" spans="1:4" ht="12.75" x14ac:dyDescent="0.35">
      <c r="A3395" s="5">
        <v>44733</v>
      </c>
      <c r="B3395" s="3" t="s">
        <v>1417</v>
      </c>
      <c r="C3395" s="3">
        <v>3</v>
      </c>
      <c r="D3395" s="3">
        <v>1</v>
      </c>
    </row>
    <row r="3396" spans="1:4" ht="12.75" x14ac:dyDescent="0.35">
      <c r="A3396" s="5">
        <v>44733</v>
      </c>
      <c r="B3396" s="3" t="s">
        <v>1420</v>
      </c>
      <c r="C3396" s="3">
        <v>3</v>
      </c>
      <c r="D3396" s="3">
        <v>1</v>
      </c>
    </row>
    <row r="3397" spans="1:4" ht="12.75" x14ac:dyDescent="0.35">
      <c r="A3397" s="5">
        <v>44733</v>
      </c>
      <c r="B3397" s="3" t="s">
        <v>1429</v>
      </c>
      <c r="C3397" s="3">
        <v>3</v>
      </c>
      <c r="D3397" s="3">
        <v>1</v>
      </c>
    </row>
    <row r="3398" spans="1:4" ht="12.75" x14ac:dyDescent="0.35">
      <c r="A3398" s="5">
        <v>44733</v>
      </c>
      <c r="B3398" s="3" t="s">
        <v>1430</v>
      </c>
      <c r="C3398" s="3">
        <v>3</v>
      </c>
      <c r="D3398" s="3">
        <v>1</v>
      </c>
    </row>
    <row r="3399" spans="1:4" ht="12.75" x14ac:dyDescent="0.35">
      <c r="A3399" s="5">
        <v>44733</v>
      </c>
      <c r="B3399" s="3" t="s">
        <v>1446</v>
      </c>
      <c r="C3399" s="3">
        <v>3</v>
      </c>
      <c r="D3399" s="3">
        <v>1</v>
      </c>
    </row>
    <row r="3400" spans="1:4" ht="12.75" x14ac:dyDescent="0.35">
      <c r="A3400" s="5">
        <v>44733</v>
      </c>
      <c r="B3400" s="3" t="s">
        <v>1456</v>
      </c>
      <c r="C3400" s="3">
        <v>3</v>
      </c>
      <c r="D3400" s="3">
        <v>1</v>
      </c>
    </row>
    <row r="3401" spans="1:4" ht="12.75" x14ac:dyDescent="0.35">
      <c r="A3401" s="5">
        <v>44733</v>
      </c>
      <c r="B3401" s="3" t="s">
        <v>1461</v>
      </c>
      <c r="C3401" s="3">
        <v>3</v>
      </c>
      <c r="D3401" s="3">
        <v>1</v>
      </c>
    </row>
    <row r="3402" spans="1:4" ht="12.75" x14ac:dyDescent="0.35">
      <c r="A3402" s="5">
        <v>44733</v>
      </c>
      <c r="B3402" s="3" t="s">
        <v>1465</v>
      </c>
      <c r="C3402" s="3">
        <v>3</v>
      </c>
      <c r="D3402" s="3">
        <v>1</v>
      </c>
    </row>
    <row r="3403" spans="1:4" ht="12.75" x14ac:dyDescent="0.35">
      <c r="A3403" s="5">
        <v>44763</v>
      </c>
      <c r="B3403" s="3" t="s">
        <v>1285</v>
      </c>
      <c r="C3403" s="3">
        <v>3</v>
      </c>
      <c r="D3403" s="3">
        <v>1</v>
      </c>
    </row>
    <row r="3404" spans="1:4" ht="12.75" x14ac:dyDescent="0.35">
      <c r="A3404" s="4">
        <v>44825</v>
      </c>
      <c r="B3404" s="3" t="s">
        <v>1757</v>
      </c>
      <c r="C3404" s="3">
        <v>3</v>
      </c>
      <c r="D3404" s="3">
        <v>1</v>
      </c>
    </row>
    <row r="3405" spans="1:4" ht="12.75" x14ac:dyDescent="0.35">
      <c r="A3405" s="4">
        <v>44825</v>
      </c>
      <c r="B3405" s="3" t="s">
        <v>921</v>
      </c>
      <c r="C3405" s="3">
        <v>3</v>
      </c>
      <c r="D3405" s="3">
        <v>1</v>
      </c>
    </row>
    <row r="3406" spans="1:4" ht="12.75" x14ac:dyDescent="0.35">
      <c r="A3406" s="4">
        <v>44916</v>
      </c>
      <c r="B3406" s="3" t="s">
        <v>1920</v>
      </c>
      <c r="C3406" s="3">
        <v>3</v>
      </c>
      <c r="D3406" s="3">
        <v>3</v>
      </c>
    </row>
    <row r="3407" spans="1:4" ht="12.75" x14ac:dyDescent="0.35">
      <c r="A3407" s="4">
        <v>44916</v>
      </c>
      <c r="B3407" s="3" t="s">
        <v>155</v>
      </c>
      <c r="C3407" s="3">
        <v>3</v>
      </c>
      <c r="D3407" s="3">
        <v>1</v>
      </c>
    </row>
    <row r="3408" spans="1:4" ht="12.75" x14ac:dyDescent="0.35">
      <c r="A3408" s="4">
        <v>44855</v>
      </c>
      <c r="B3408" s="3" t="s">
        <v>939</v>
      </c>
      <c r="C3408" s="3">
        <v>2.99</v>
      </c>
      <c r="D3408" s="3">
        <v>2</v>
      </c>
    </row>
    <row r="3409" spans="1:4" ht="12.75" x14ac:dyDescent="0.35">
      <c r="A3409" s="4">
        <v>44672</v>
      </c>
      <c r="B3409" s="3" t="s">
        <v>875</v>
      </c>
      <c r="C3409" s="3">
        <v>2.98</v>
      </c>
      <c r="D3409" s="3">
        <v>1</v>
      </c>
    </row>
    <row r="3410" spans="1:4" ht="12.75" x14ac:dyDescent="0.35">
      <c r="A3410" s="4">
        <v>44794</v>
      </c>
      <c r="B3410" s="3" t="s">
        <v>1732</v>
      </c>
      <c r="C3410" s="3">
        <v>2.98</v>
      </c>
      <c r="D3410" s="3">
        <v>1</v>
      </c>
    </row>
    <row r="3411" spans="1:4" ht="12.75" x14ac:dyDescent="0.35">
      <c r="A3411" s="5">
        <v>44733</v>
      </c>
      <c r="B3411" s="3" t="s">
        <v>1362</v>
      </c>
      <c r="C3411" s="3">
        <v>2.96</v>
      </c>
      <c r="D3411" s="3">
        <v>1</v>
      </c>
    </row>
    <row r="3412" spans="1:4" ht="12.75" x14ac:dyDescent="0.35">
      <c r="A3412" s="4">
        <v>44613</v>
      </c>
      <c r="B3412" s="3" t="s">
        <v>471</v>
      </c>
      <c r="C3412" s="3">
        <v>2.95</v>
      </c>
      <c r="D3412" s="3">
        <v>1</v>
      </c>
    </row>
    <row r="3413" spans="1:4" ht="12.75" x14ac:dyDescent="0.35">
      <c r="A3413" s="4">
        <v>44672</v>
      </c>
      <c r="B3413" s="3" t="s">
        <v>82</v>
      </c>
      <c r="C3413" s="3">
        <v>2.95</v>
      </c>
      <c r="D3413" s="3">
        <v>3</v>
      </c>
    </row>
    <row r="3414" spans="1:4" ht="12.75" x14ac:dyDescent="0.35">
      <c r="A3414" s="5">
        <v>44733</v>
      </c>
      <c r="B3414" s="3" t="s">
        <v>1286</v>
      </c>
      <c r="C3414" s="3">
        <v>2.94</v>
      </c>
      <c r="D3414" s="3">
        <v>1</v>
      </c>
    </row>
    <row r="3415" spans="1:4" ht="12.75" x14ac:dyDescent="0.35">
      <c r="A3415" s="4">
        <v>44825</v>
      </c>
      <c r="B3415" s="3" t="s">
        <v>102</v>
      </c>
      <c r="C3415" s="3">
        <v>2.94</v>
      </c>
      <c r="D3415" s="3">
        <v>3</v>
      </c>
    </row>
    <row r="3416" spans="1:4" ht="12.75" x14ac:dyDescent="0.35">
      <c r="A3416" s="4">
        <v>44886</v>
      </c>
      <c r="B3416" s="3" t="s">
        <v>1821</v>
      </c>
      <c r="C3416" s="3">
        <v>2.94</v>
      </c>
      <c r="D3416" s="3">
        <v>1</v>
      </c>
    </row>
    <row r="3417" spans="1:4" ht="12.75" x14ac:dyDescent="0.35">
      <c r="A3417" s="4">
        <v>44916</v>
      </c>
      <c r="B3417" s="3" t="s">
        <v>298</v>
      </c>
      <c r="C3417" s="3">
        <v>2.94</v>
      </c>
      <c r="D3417" s="3">
        <v>1</v>
      </c>
    </row>
    <row r="3418" spans="1:4" ht="12.75" x14ac:dyDescent="0.35">
      <c r="A3418" s="4">
        <v>44702</v>
      </c>
      <c r="B3418" s="3" t="s">
        <v>742</v>
      </c>
      <c r="C3418" s="3">
        <v>2.93</v>
      </c>
      <c r="D3418" s="3">
        <v>1</v>
      </c>
    </row>
    <row r="3419" spans="1:4" ht="12.75" x14ac:dyDescent="0.35">
      <c r="A3419" s="4">
        <v>44916</v>
      </c>
      <c r="B3419" s="3" t="s">
        <v>1873</v>
      </c>
      <c r="C3419" s="3">
        <v>2.92</v>
      </c>
      <c r="D3419" s="3">
        <v>1</v>
      </c>
    </row>
    <row r="3420" spans="1:4" ht="12.75" x14ac:dyDescent="0.35">
      <c r="A3420" s="4">
        <v>44582</v>
      </c>
      <c r="B3420" s="3" t="s">
        <v>375</v>
      </c>
      <c r="C3420" s="3">
        <v>2.91</v>
      </c>
      <c r="D3420" s="3">
        <v>1</v>
      </c>
    </row>
    <row r="3421" spans="1:4" ht="12.75" x14ac:dyDescent="0.35">
      <c r="A3421" s="4">
        <v>44794</v>
      </c>
      <c r="B3421" s="3" t="s">
        <v>681</v>
      </c>
      <c r="C3421" s="3">
        <v>2.9</v>
      </c>
      <c r="D3421" s="3">
        <v>1</v>
      </c>
    </row>
    <row r="3422" spans="1:4" ht="12.75" x14ac:dyDescent="0.35">
      <c r="A3422" s="4">
        <v>44702</v>
      </c>
      <c r="B3422" s="3" t="s">
        <v>1067</v>
      </c>
      <c r="C3422" s="3">
        <v>2.87</v>
      </c>
      <c r="D3422" s="3">
        <v>2</v>
      </c>
    </row>
    <row r="3423" spans="1:4" ht="12.75" x14ac:dyDescent="0.35">
      <c r="A3423" s="5">
        <v>44763</v>
      </c>
      <c r="B3423" s="3" t="s">
        <v>375</v>
      </c>
      <c r="C3423" s="3">
        <v>2.87</v>
      </c>
      <c r="D3423" s="3">
        <v>1</v>
      </c>
    </row>
    <row r="3424" spans="1:4" ht="12.75" x14ac:dyDescent="0.35">
      <c r="A3424" s="4">
        <v>44794</v>
      </c>
      <c r="B3424" s="3" t="s">
        <v>1729</v>
      </c>
      <c r="C3424" s="3">
        <v>2.86</v>
      </c>
      <c r="D3424" s="3">
        <v>1</v>
      </c>
    </row>
    <row r="3425" spans="1:4" ht="12.75" x14ac:dyDescent="0.35">
      <c r="A3425" s="4">
        <v>44825</v>
      </c>
      <c r="B3425" s="3" t="s">
        <v>1734</v>
      </c>
      <c r="C3425" s="3">
        <v>2.86</v>
      </c>
      <c r="D3425" s="3">
        <v>1</v>
      </c>
    </row>
    <row r="3426" spans="1:4" ht="12.75" x14ac:dyDescent="0.35">
      <c r="A3426" s="5">
        <v>44733</v>
      </c>
      <c r="B3426" s="3" t="s">
        <v>1445</v>
      </c>
      <c r="C3426" s="3">
        <v>2.85</v>
      </c>
      <c r="D3426" s="3">
        <v>1</v>
      </c>
    </row>
    <row r="3427" spans="1:4" ht="12.75" x14ac:dyDescent="0.35">
      <c r="A3427" s="4">
        <v>44886</v>
      </c>
      <c r="B3427" s="3" t="s">
        <v>1516</v>
      </c>
      <c r="C3427" s="3">
        <v>2.85</v>
      </c>
      <c r="D3427" s="3">
        <v>1</v>
      </c>
    </row>
    <row r="3428" spans="1:4" ht="12.75" x14ac:dyDescent="0.35">
      <c r="A3428" s="4">
        <v>44825</v>
      </c>
      <c r="B3428" s="3" t="s">
        <v>1057</v>
      </c>
      <c r="C3428" s="3">
        <v>2.83</v>
      </c>
      <c r="D3428" s="3">
        <v>1</v>
      </c>
    </row>
    <row r="3429" spans="1:4" ht="12.75" x14ac:dyDescent="0.35">
      <c r="A3429" s="4">
        <v>44582</v>
      </c>
      <c r="B3429" s="3" t="s">
        <v>114</v>
      </c>
      <c r="C3429" s="3">
        <v>2.82</v>
      </c>
      <c r="D3429" s="3">
        <v>1</v>
      </c>
    </row>
    <row r="3430" spans="1:4" ht="12.75" x14ac:dyDescent="0.35">
      <c r="A3430" s="4">
        <v>44613</v>
      </c>
      <c r="B3430" s="3" t="s">
        <v>526</v>
      </c>
      <c r="C3430" s="3">
        <v>2.82</v>
      </c>
      <c r="D3430" s="3">
        <v>2</v>
      </c>
    </row>
    <row r="3431" spans="1:4" ht="12.75" x14ac:dyDescent="0.35">
      <c r="A3431" s="4">
        <v>44702</v>
      </c>
      <c r="B3431" s="3" t="s">
        <v>1101</v>
      </c>
      <c r="C3431" s="3">
        <v>2.82</v>
      </c>
      <c r="D3431" s="3">
        <v>1</v>
      </c>
    </row>
    <row r="3432" spans="1:4" ht="12.75" x14ac:dyDescent="0.35">
      <c r="A3432" s="4">
        <v>44855</v>
      </c>
      <c r="B3432" s="3" t="s">
        <v>401</v>
      </c>
      <c r="C3432" s="3">
        <v>2.82</v>
      </c>
      <c r="D3432" s="3">
        <v>5</v>
      </c>
    </row>
    <row r="3433" spans="1:4" ht="12.75" x14ac:dyDescent="0.35">
      <c r="A3433" s="4">
        <v>44582</v>
      </c>
      <c r="B3433" s="3" t="s">
        <v>315</v>
      </c>
      <c r="C3433" s="3">
        <v>2.81</v>
      </c>
      <c r="D3433" s="3">
        <v>1</v>
      </c>
    </row>
    <row r="3434" spans="1:4" ht="12.75" x14ac:dyDescent="0.35">
      <c r="A3434" s="4">
        <v>44613</v>
      </c>
      <c r="B3434" s="3" t="s">
        <v>441</v>
      </c>
      <c r="C3434" s="3">
        <v>2.81</v>
      </c>
      <c r="D3434" s="3">
        <v>1</v>
      </c>
    </row>
    <row r="3435" spans="1:4" ht="12.75" x14ac:dyDescent="0.35">
      <c r="A3435" s="4">
        <v>44702</v>
      </c>
      <c r="B3435" s="3" t="s">
        <v>978</v>
      </c>
      <c r="C3435" s="3">
        <v>2.81</v>
      </c>
      <c r="D3435" s="3">
        <v>2</v>
      </c>
    </row>
    <row r="3436" spans="1:4" ht="12.75" x14ac:dyDescent="0.35">
      <c r="A3436" s="4">
        <v>44794</v>
      </c>
      <c r="B3436" s="3" t="s">
        <v>521</v>
      </c>
      <c r="C3436" s="3">
        <v>2.81</v>
      </c>
      <c r="D3436" s="3">
        <v>2</v>
      </c>
    </row>
    <row r="3437" spans="1:4" ht="12.75" x14ac:dyDescent="0.35">
      <c r="A3437" s="4">
        <v>44855</v>
      </c>
      <c r="B3437" s="3" t="s">
        <v>1134</v>
      </c>
      <c r="C3437" s="3">
        <v>2.8</v>
      </c>
      <c r="D3437" s="3">
        <v>1</v>
      </c>
    </row>
    <row r="3438" spans="1:4" ht="12.75" x14ac:dyDescent="0.35">
      <c r="A3438" s="4">
        <v>44582</v>
      </c>
      <c r="B3438" s="3" t="s">
        <v>59</v>
      </c>
      <c r="C3438" s="3">
        <v>2.79</v>
      </c>
      <c r="D3438" s="3">
        <v>1</v>
      </c>
    </row>
    <row r="3439" spans="1:4" ht="12.75" x14ac:dyDescent="0.35">
      <c r="A3439" s="4">
        <v>44855</v>
      </c>
      <c r="B3439" s="3" t="s">
        <v>33</v>
      </c>
      <c r="C3439" s="3">
        <v>2.78</v>
      </c>
      <c r="D3439" s="3">
        <v>1</v>
      </c>
    </row>
    <row r="3440" spans="1:4" ht="12.75" x14ac:dyDescent="0.35">
      <c r="A3440" s="4">
        <v>44916</v>
      </c>
      <c r="B3440" s="3" t="s">
        <v>1846</v>
      </c>
      <c r="C3440" s="3">
        <v>2.78</v>
      </c>
      <c r="D3440" s="3">
        <v>1</v>
      </c>
    </row>
    <row r="3441" spans="1:4" ht="12.75" x14ac:dyDescent="0.35">
      <c r="A3441" s="4">
        <v>44613</v>
      </c>
      <c r="B3441" s="3" t="s">
        <v>67</v>
      </c>
      <c r="C3441" s="3">
        <v>2.75</v>
      </c>
      <c r="D3441" s="3">
        <v>2</v>
      </c>
    </row>
    <row r="3442" spans="1:4" ht="12.75" x14ac:dyDescent="0.35">
      <c r="A3442" s="4">
        <v>44794</v>
      </c>
      <c r="B3442" s="3" t="s">
        <v>1164</v>
      </c>
      <c r="C3442" s="3">
        <v>2.75</v>
      </c>
      <c r="D3442" s="3">
        <v>1</v>
      </c>
    </row>
    <row r="3443" spans="1:4" ht="12.75" x14ac:dyDescent="0.35">
      <c r="A3443" s="4">
        <v>44641</v>
      </c>
      <c r="B3443" s="3" t="s">
        <v>492</v>
      </c>
      <c r="C3443" s="3">
        <v>2.73</v>
      </c>
      <c r="D3443" s="3">
        <v>1</v>
      </c>
    </row>
    <row r="3444" spans="1:4" ht="12.75" x14ac:dyDescent="0.35">
      <c r="A3444" s="4">
        <v>44641</v>
      </c>
      <c r="B3444" s="3" t="s">
        <v>442</v>
      </c>
      <c r="C3444" s="3">
        <v>2.73</v>
      </c>
      <c r="D3444" s="3">
        <v>1</v>
      </c>
    </row>
    <row r="3445" spans="1:4" ht="12.75" x14ac:dyDescent="0.35">
      <c r="A3445" s="5">
        <v>44763</v>
      </c>
      <c r="B3445" s="3" t="s">
        <v>1521</v>
      </c>
      <c r="C3445" s="3">
        <v>2.73</v>
      </c>
      <c r="D3445" s="3">
        <v>3</v>
      </c>
    </row>
    <row r="3446" spans="1:4" ht="12.75" x14ac:dyDescent="0.35">
      <c r="A3446" s="4">
        <v>44672</v>
      </c>
      <c r="B3446" s="3" t="s">
        <v>891</v>
      </c>
      <c r="C3446" s="3">
        <v>2.72</v>
      </c>
      <c r="D3446" s="3">
        <v>1</v>
      </c>
    </row>
    <row r="3447" spans="1:4" ht="12.75" x14ac:dyDescent="0.35">
      <c r="A3447" s="4">
        <v>44886</v>
      </c>
      <c r="B3447" s="3" t="s">
        <v>598</v>
      </c>
      <c r="C3447" s="3">
        <v>2.72</v>
      </c>
      <c r="D3447" s="3">
        <v>1</v>
      </c>
    </row>
    <row r="3448" spans="1:4" ht="12.75" x14ac:dyDescent="0.35">
      <c r="A3448" s="4">
        <v>44825</v>
      </c>
      <c r="B3448" s="3" t="s">
        <v>1741</v>
      </c>
      <c r="C3448" s="3">
        <v>2.71</v>
      </c>
      <c r="D3448" s="3">
        <v>2</v>
      </c>
    </row>
    <row r="3449" spans="1:4" ht="12.75" x14ac:dyDescent="0.35">
      <c r="A3449" s="4">
        <v>44916</v>
      </c>
      <c r="B3449" s="3" t="s">
        <v>676</v>
      </c>
      <c r="C3449" s="3">
        <v>2.71</v>
      </c>
      <c r="D3449" s="3">
        <v>2</v>
      </c>
    </row>
    <row r="3450" spans="1:4" ht="12.75" x14ac:dyDescent="0.35">
      <c r="A3450" s="4">
        <v>44582</v>
      </c>
      <c r="B3450" s="3" t="s">
        <v>257</v>
      </c>
      <c r="C3450" s="3">
        <v>2.69</v>
      </c>
      <c r="D3450" s="3">
        <v>1</v>
      </c>
    </row>
    <row r="3451" spans="1:4" ht="12.75" x14ac:dyDescent="0.35">
      <c r="A3451" s="4">
        <v>44613</v>
      </c>
      <c r="B3451" s="3" t="s">
        <v>582</v>
      </c>
      <c r="C3451" s="3">
        <v>2.68</v>
      </c>
      <c r="D3451" s="3">
        <v>1</v>
      </c>
    </row>
    <row r="3452" spans="1:4" ht="12.75" x14ac:dyDescent="0.35">
      <c r="A3452" s="4">
        <v>44641</v>
      </c>
      <c r="B3452" s="3" t="s">
        <v>590</v>
      </c>
      <c r="C3452" s="3">
        <v>2.67</v>
      </c>
      <c r="D3452" s="3">
        <v>1</v>
      </c>
    </row>
    <row r="3453" spans="1:4" ht="12.75" x14ac:dyDescent="0.35">
      <c r="A3453" s="4">
        <v>44702</v>
      </c>
      <c r="B3453" s="3" t="s">
        <v>1152</v>
      </c>
      <c r="C3453" s="3">
        <v>2.67</v>
      </c>
      <c r="D3453" s="3">
        <v>1</v>
      </c>
    </row>
    <row r="3454" spans="1:4" ht="12.75" x14ac:dyDescent="0.35">
      <c r="A3454" s="5">
        <v>44763</v>
      </c>
      <c r="B3454" s="3" t="s">
        <v>1506</v>
      </c>
      <c r="C3454" s="3">
        <v>2.66</v>
      </c>
      <c r="D3454" s="3">
        <v>1</v>
      </c>
    </row>
    <row r="3455" spans="1:4" ht="12.75" x14ac:dyDescent="0.35">
      <c r="A3455" s="5">
        <v>44763</v>
      </c>
      <c r="B3455" s="3" t="s">
        <v>1468</v>
      </c>
      <c r="C3455" s="3">
        <v>2.64</v>
      </c>
      <c r="D3455" s="3">
        <v>1</v>
      </c>
    </row>
    <row r="3456" spans="1:4" ht="12.75" x14ac:dyDescent="0.35">
      <c r="A3456" s="4">
        <v>44794</v>
      </c>
      <c r="B3456" s="3" t="s">
        <v>1611</v>
      </c>
      <c r="C3456" s="3">
        <v>2.64</v>
      </c>
      <c r="D3456" s="3">
        <v>1</v>
      </c>
    </row>
    <row r="3457" spans="1:4" ht="12.75" x14ac:dyDescent="0.35">
      <c r="A3457" s="4">
        <v>44582</v>
      </c>
      <c r="B3457" s="3" t="s">
        <v>236</v>
      </c>
      <c r="C3457" s="3">
        <v>2.63</v>
      </c>
      <c r="D3457" s="3">
        <v>1</v>
      </c>
    </row>
    <row r="3458" spans="1:4" ht="12.75" x14ac:dyDescent="0.35">
      <c r="A3458" s="4">
        <v>44702</v>
      </c>
      <c r="B3458" s="3" t="s">
        <v>599</v>
      </c>
      <c r="C3458" s="3">
        <v>2.63</v>
      </c>
      <c r="D3458" s="3">
        <v>1</v>
      </c>
    </row>
    <row r="3459" spans="1:4" ht="12.75" x14ac:dyDescent="0.35">
      <c r="A3459" s="4">
        <v>44641</v>
      </c>
      <c r="B3459" s="3" t="s">
        <v>416</v>
      </c>
      <c r="C3459" s="3">
        <v>2.62</v>
      </c>
      <c r="D3459" s="3">
        <v>2</v>
      </c>
    </row>
    <row r="3460" spans="1:4" ht="12.75" x14ac:dyDescent="0.35">
      <c r="A3460" s="5">
        <v>44733</v>
      </c>
      <c r="B3460" s="3" t="s">
        <v>1154</v>
      </c>
      <c r="C3460" s="3">
        <v>2.61</v>
      </c>
      <c r="D3460" s="3">
        <v>1</v>
      </c>
    </row>
    <row r="3461" spans="1:4" ht="12.75" x14ac:dyDescent="0.35">
      <c r="A3461" s="5">
        <v>44763</v>
      </c>
      <c r="B3461" s="3" t="s">
        <v>1501</v>
      </c>
      <c r="C3461" s="3">
        <v>2.61</v>
      </c>
      <c r="D3461" s="3">
        <v>1</v>
      </c>
    </row>
    <row r="3462" spans="1:4" ht="12.75" x14ac:dyDescent="0.35">
      <c r="A3462" s="4">
        <v>44855</v>
      </c>
      <c r="B3462" s="3" t="s">
        <v>1668</v>
      </c>
      <c r="C3462" s="3">
        <v>2.61</v>
      </c>
      <c r="D3462" s="3">
        <v>1</v>
      </c>
    </row>
    <row r="3463" spans="1:4" ht="12.75" x14ac:dyDescent="0.35">
      <c r="A3463" s="4">
        <v>44886</v>
      </c>
      <c r="B3463" s="3" t="s">
        <v>639</v>
      </c>
      <c r="C3463" s="3">
        <v>2.61</v>
      </c>
      <c r="D3463" s="3">
        <v>1</v>
      </c>
    </row>
    <row r="3464" spans="1:4" ht="12.75" x14ac:dyDescent="0.35">
      <c r="A3464" s="4">
        <v>44582</v>
      </c>
      <c r="B3464" s="3" t="s">
        <v>61</v>
      </c>
      <c r="C3464" s="3">
        <v>2.6</v>
      </c>
      <c r="D3464" s="3">
        <v>1</v>
      </c>
    </row>
    <row r="3465" spans="1:4" ht="12.75" x14ac:dyDescent="0.35">
      <c r="A3465" s="4">
        <v>44794</v>
      </c>
      <c r="B3465" s="3" t="s">
        <v>132</v>
      </c>
      <c r="C3465" s="3">
        <v>2.6</v>
      </c>
      <c r="D3465" s="3">
        <v>1</v>
      </c>
    </row>
    <row r="3466" spans="1:4" ht="12.75" x14ac:dyDescent="0.35">
      <c r="A3466" s="5">
        <v>44763</v>
      </c>
      <c r="B3466" s="3" t="s">
        <v>231</v>
      </c>
      <c r="C3466" s="3">
        <v>2.59</v>
      </c>
      <c r="D3466" s="3">
        <v>2</v>
      </c>
    </row>
    <row r="3467" spans="1:4" ht="12.75" x14ac:dyDescent="0.35">
      <c r="A3467" s="4">
        <v>44582</v>
      </c>
      <c r="B3467" s="3" t="s">
        <v>150</v>
      </c>
      <c r="C3467" s="3">
        <v>2.58</v>
      </c>
      <c r="D3467" s="3">
        <v>1</v>
      </c>
    </row>
    <row r="3468" spans="1:4" ht="12.75" x14ac:dyDescent="0.35">
      <c r="A3468" s="5">
        <v>44733</v>
      </c>
      <c r="B3468" s="3" t="s">
        <v>1224</v>
      </c>
      <c r="C3468" s="3">
        <v>2.56</v>
      </c>
      <c r="D3468" s="3">
        <v>1</v>
      </c>
    </row>
    <row r="3469" spans="1:4" ht="12.75" x14ac:dyDescent="0.35">
      <c r="A3469" s="4">
        <v>44825</v>
      </c>
      <c r="B3469" s="3" t="s">
        <v>1738</v>
      </c>
      <c r="C3469" s="3">
        <v>2.56</v>
      </c>
      <c r="D3469" s="3">
        <v>1</v>
      </c>
    </row>
    <row r="3470" spans="1:4" ht="12.75" x14ac:dyDescent="0.35">
      <c r="A3470" s="5">
        <v>44733</v>
      </c>
      <c r="B3470" s="3" t="s">
        <v>63</v>
      </c>
      <c r="C3470" s="3">
        <v>2.5499999999999998</v>
      </c>
      <c r="D3470" s="3">
        <v>1</v>
      </c>
    </row>
    <row r="3471" spans="1:4" ht="12.75" x14ac:dyDescent="0.35">
      <c r="A3471" s="4">
        <v>44794</v>
      </c>
      <c r="B3471" s="3" t="s">
        <v>1723</v>
      </c>
      <c r="C3471" s="3">
        <v>2.5499999999999998</v>
      </c>
      <c r="D3471" s="3">
        <v>2</v>
      </c>
    </row>
    <row r="3472" spans="1:4" ht="12.75" x14ac:dyDescent="0.35">
      <c r="A3472" s="4">
        <v>44916</v>
      </c>
      <c r="B3472" s="3" t="s">
        <v>1864</v>
      </c>
      <c r="C3472" s="3">
        <v>2.54</v>
      </c>
      <c r="D3472" s="3">
        <v>1</v>
      </c>
    </row>
    <row r="3473" spans="1:4" ht="12.75" x14ac:dyDescent="0.35">
      <c r="A3473" s="4">
        <v>44582</v>
      </c>
      <c r="B3473" s="3" t="s">
        <v>168</v>
      </c>
      <c r="C3473" s="3">
        <v>2.5299999999999998</v>
      </c>
      <c r="D3473" s="3">
        <v>1</v>
      </c>
    </row>
    <row r="3474" spans="1:4" ht="12.75" x14ac:dyDescent="0.35">
      <c r="A3474" s="4">
        <v>44582</v>
      </c>
      <c r="B3474" s="3" t="s">
        <v>182</v>
      </c>
      <c r="C3474" s="3">
        <v>2.52</v>
      </c>
      <c r="D3474" s="3">
        <v>2</v>
      </c>
    </row>
    <row r="3475" spans="1:4" ht="12.75" x14ac:dyDescent="0.35">
      <c r="A3475" s="4">
        <v>44613</v>
      </c>
      <c r="B3475" s="3" t="s">
        <v>507</v>
      </c>
      <c r="C3475" s="3">
        <v>2.52</v>
      </c>
      <c r="D3475" s="3">
        <v>1</v>
      </c>
    </row>
    <row r="3476" spans="1:4" ht="12.75" x14ac:dyDescent="0.35">
      <c r="A3476" s="4">
        <v>44672</v>
      </c>
      <c r="B3476" s="3" t="s">
        <v>510</v>
      </c>
      <c r="C3476" s="3">
        <v>2.52</v>
      </c>
      <c r="D3476" s="3">
        <v>3</v>
      </c>
    </row>
    <row r="3477" spans="1:4" ht="12.75" x14ac:dyDescent="0.35">
      <c r="A3477" s="4">
        <v>44702</v>
      </c>
      <c r="B3477" s="3" t="s">
        <v>622</v>
      </c>
      <c r="C3477" s="3">
        <v>2.52</v>
      </c>
      <c r="D3477" s="3">
        <v>4</v>
      </c>
    </row>
    <row r="3478" spans="1:4" ht="12.75" x14ac:dyDescent="0.35">
      <c r="A3478" s="4">
        <v>44582</v>
      </c>
      <c r="B3478" s="3" t="s">
        <v>402</v>
      </c>
      <c r="C3478" s="3">
        <v>2.5099999999999998</v>
      </c>
      <c r="D3478" s="3">
        <v>1</v>
      </c>
    </row>
    <row r="3479" spans="1:4" ht="12.75" x14ac:dyDescent="0.35">
      <c r="A3479" s="5">
        <v>44733</v>
      </c>
      <c r="B3479" s="3" t="s">
        <v>109</v>
      </c>
      <c r="C3479" s="3">
        <v>2.5099999999999998</v>
      </c>
      <c r="D3479" s="3">
        <v>1</v>
      </c>
    </row>
    <row r="3480" spans="1:4" ht="12.75" x14ac:dyDescent="0.35">
      <c r="A3480" s="4">
        <v>44672</v>
      </c>
      <c r="B3480" s="3" t="s">
        <v>789</v>
      </c>
      <c r="C3480" s="3">
        <v>2.5</v>
      </c>
      <c r="D3480" s="3">
        <v>3</v>
      </c>
    </row>
    <row r="3481" spans="1:4" ht="12.75" x14ac:dyDescent="0.35">
      <c r="A3481" s="4">
        <v>44825</v>
      </c>
      <c r="B3481" s="3" t="s">
        <v>1737</v>
      </c>
      <c r="C3481" s="3">
        <v>2.5</v>
      </c>
      <c r="D3481" s="3">
        <v>1</v>
      </c>
    </row>
    <row r="3482" spans="1:4" ht="12.75" x14ac:dyDescent="0.35">
      <c r="A3482" s="4">
        <v>44825</v>
      </c>
      <c r="B3482" s="3" t="s">
        <v>308</v>
      </c>
      <c r="C3482" s="3">
        <v>2.5</v>
      </c>
      <c r="D3482" s="3">
        <v>4</v>
      </c>
    </row>
    <row r="3483" spans="1:4" ht="12.75" x14ac:dyDescent="0.35">
      <c r="A3483" s="4">
        <v>44825</v>
      </c>
      <c r="B3483" s="3" t="s">
        <v>1784</v>
      </c>
      <c r="C3483" s="3">
        <v>2.5</v>
      </c>
      <c r="D3483" s="3">
        <v>1</v>
      </c>
    </row>
    <row r="3484" spans="1:4" ht="12.75" x14ac:dyDescent="0.35">
      <c r="A3484" s="4">
        <v>44855</v>
      </c>
      <c r="B3484" s="3" t="s">
        <v>301</v>
      </c>
      <c r="C3484" s="3">
        <v>2.5</v>
      </c>
      <c r="D3484" s="3">
        <v>2</v>
      </c>
    </row>
    <row r="3485" spans="1:4" ht="12.75" x14ac:dyDescent="0.35">
      <c r="A3485" s="4">
        <v>44613</v>
      </c>
      <c r="B3485" s="3" t="s">
        <v>267</v>
      </c>
      <c r="C3485" s="3">
        <v>2.4900000000000002</v>
      </c>
      <c r="D3485" s="3">
        <v>2</v>
      </c>
    </row>
    <row r="3486" spans="1:4" ht="12.75" x14ac:dyDescent="0.35">
      <c r="A3486" s="4">
        <v>44672</v>
      </c>
      <c r="B3486" s="3" t="s">
        <v>808</v>
      </c>
      <c r="C3486" s="3">
        <v>2.4900000000000002</v>
      </c>
      <c r="D3486" s="3">
        <v>1</v>
      </c>
    </row>
    <row r="3487" spans="1:4" ht="12.75" x14ac:dyDescent="0.35">
      <c r="A3487" s="4">
        <v>44702</v>
      </c>
      <c r="B3487" s="3" t="s">
        <v>1121</v>
      </c>
      <c r="C3487" s="3">
        <v>2.4900000000000002</v>
      </c>
      <c r="D3487" s="3">
        <v>1</v>
      </c>
    </row>
    <row r="3488" spans="1:4" ht="12.75" x14ac:dyDescent="0.35">
      <c r="A3488" s="5">
        <v>44733</v>
      </c>
      <c r="B3488" s="3" t="s">
        <v>1380</v>
      </c>
      <c r="C3488" s="3">
        <v>2.4900000000000002</v>
      </c>
      <c r="D3488" s="3">
        <v>2</v>
      </c>
    </row>
    <row r="3489" spans="1:4" ht="12.75" x14ac:dyDescent="0.35">
      <c r="A3489" s="4">
        <v>44641</v>
      </c>
      <c r="B3489" s="3" t="s">
        <v>156</v>
      </c>
      <c r="C3489" s="3">
        <v>2.48</v>
      </c>
      <c r="D3489" s="3">
        <v>1</v>
      </c>
    </row>
    <row r="3490" spans="1:4" ht="12.75" x14ac:dyDescent="0.35">
      <c r="A3490" s="4">
        <v>44916</v>
      </c>
      <c r="B3490" s="3" t="s">
        <v>1913</v>
      </c>
      <c r="C3490" s="3">
        <v>2.48</v>
      </c>
      <c r="D3490" s="3">
        <v>1</v>
      </c>
    </row>
    <row r="3491" spans="1:4" ht="12.75" x14ac:dyDescent="0.35">
      <c r="A3491" s="4">
        <v>44582</v>
      </c>
      <c r="B3491" s="3" t="s">
        <v>367</v>
      </c>
      <c r="C3491" s="3">
        <v>2.4700000000000002</v>
      </c>
      <c r="D3491" s="3">
        <v>1</v>
      </c>
    </row>
    <row r="3492" spans="1:4" ht="12.75" x14ac:dyDescent="0.35">
      <c r="A3492" s="4">
        <v>44886</v>
      </c>
      <c r="B3492" s="3" t="s">
        <v>1810</v>
      </c>
      <c r="C3492" s="3">
        <v>2.4700000000000002</v>
      </c>
      <c r="D3492" s="3">
        <v>1</v>
      </c>
    </row>
    <row r="3493" spans="1:4" ht="12.75" x14ac:dyDescent="0.35">
      <c r="A3493" s="4">
        <v>44672</v>
      </c>
      <c r="B3493" s="3" t="s">
        <v>829</v>
      </c>
      <c r="C3493" s="3">
        <v>2.46</v>
      </c>
      <c r="D3493" s="3">
        <v>1</v>
      </c>
    </row>
    <row r="3494" spans="1:4" ht="12.75" x14ac:dyDescent="0.35">
      <c r="A3494" s="5">
        <v>44733</v>
      </c>
      <c r="B3494" s="3" t="s">
        <v>1432</v>
      </c>
      <c r="C3494" s="3">
        <v>2.46</v>
      </c>
      <c r="D3494" s="3">
        <v>1</v>
      </c>
    </row>
    <row r="3495" spans="1:4" ht="12.75" x14ac:dyDescent="0.35">
      <c r="A3495" s="4">
        <v>44794</v>
      </c>
      <c r="B3495" s="3" t="s">
        <v>1592</v>
      </c>
      <c r="C3495" s="3">
        <v>2.46</v>
      </c>
      <c r="D3495" s="3">
        <v>2</v>
      </c>
    </row>
    <row r="3496" spans="1:4" ht="12.75" x14ac:dyDescent="0.35">
      <c r="A3496" s="4">
        <v>44702</v>
      </c>
      <c r="B3496" s="3" t="s">
        <v>1053</v>
      </c>
      <c r="C3496" s="3">
        <v>2.4500000000000002</v>
      </c>
      <c r="D3496" s="3">
        <v>1</v>
      </c>
    </row>
    <row r="3497" spans="1:4" ht="12.75" x14ac:dyDescent="0.35">
      <c r="A3497" s="5">
        <v>44763</v>
      </c>
      <c r="B3497" s="3" t="s">
        <v>486</v>
      </c>
      <c r="C3497" s="3">
        <v>2.44</v>
      </c>
      <c r="D3497" s="3">
        <v>1</v>
      </c>
    </row>
    <row r="3498" spans="1:4" ht="12.75" x14ac:dyDescent="0.35">
      <c r="A3498" s="4">
        <v>44672</v>
      </c>
      <c r="B3498" s="3" t="s">
        <v>978</v>
      </c>
      <c r="C3498" s="3">
        <v>2.42</v>
      </c>
      <c r="D3498" s="3">
        <v>2</v>
      </c>
    </row>
    <row r="3499" spans="1:4" ht="12.75" x14ac:dyDescent="0.35">
      <c r="A3499" s="5">
        <v>44733</v>
      </c>
      <c r="B3499" s="3" t="s">
        <v>1328</v>
      </c>
      <c r="C3499" s="3">
        <v>2.42</v>
      </c>
      <c r="D3499" s="3">
        <v>1</v>
      </c>
    </row>
    <row r="3500" spans="1:4" ht="12.75" x14ac:dyDescent="0.35">
      <c r="A3500" s="5">
        <v>44763</v>
      </c>
      <c r="B3500" s="3" t="s">
        <v>1542</v>
      </c>
      <c r="C3500" s="3">
        <v>2.42</v>
      </c>
      <c r="D3500" s="3">
        <v>1</v>
      </c>
    </row>
    <row r="3501" spans="1:4" ht="12.75" x14ac:dyDescent="0.35">
      <c r="A3501" s="4">
        <v>44794</v>
      </c>
      <c r="B3501" s="3" t="s">
        <v>63</v>
      </c>
      <c r="C3501" s="3">
        <v>2.42</v>
      </c>
      <c r="D3501" s="3">
        <v>1</v>
      </c>
    </row>
    <row r="3502" spans="1:4" ht="12.75" x14ac:dyDescent="0.35">
      <c r="A3502" s="4">
        <v>44916</v>
      </c>
      <c r="B3502" s="3" t="s">
        <v>61</v>
      </c>
      <c r="C3502" s="3">
        <v>2.41</v>
      </c>
      <c r="D3502" s="3">
        <v>1</v>
      </c>
    </row>
    <row r="3503" spans="1:4" ht="12.75" x14ac:dyDescent="0.35">
      <c r="A3503" s="5">
        <v>44763</v>
      </c>
      <c r="B3503" s="3" t="s">
        <v>453</v>
      </c>
      <c r="C3503" s="3">
        <v>2.4</v>
      </c>
      <c r="D3503" s="3">
        <v>1</v>
      </c>
    </row>
    <row r="3504" spans="1:4" ht="12.75" x14ac:dyDescent="0.35">
      <c r="A3504" s="4">
        <v>44794</v>
      </c>
      <c r="B3504" s="3" t="s">
        <v>1617</v>
      </c>
      <c r="C3504" s="3">
        <v>2.4</v>
      </c>
      <c r="D3504" s="3">
        <v>1</v>
      </c>
    </row>
    <row r="3505" spans="1:4" ht="12.75" x14ac:dyDescent="0.35">
      <c r="A3505" s="4">
        <v>44582</v>
      </c>
      <c r="B3505" s="3" t="s">
        <v>58</v>
      </c>
      <c r="C3505" s="3">
        <v>2.39</v>
      </c>
      <c r="D3505" s="3">
        <v>1</v>
      </c>
    </row>
    <row r="3506" spans="1:4" ht="12.75" x14ac:dyDescent="0.35">
      <c r="A3506" s="4">
        <v>44702</v>
      </c>
      <c r="B3506" s="3" t="s">
        <v>874</v>
      </c>
      <c r="C3506" s="3">
        <v>2.39</v>
      </c>
      <c r="D3506" s="3">
        <v>1</v>
      </c>
    </row>
    <row r="3507" spans="1:4" ht="12.75" x14ac:dyDescent="0.35">
      <c r="A3507" s="4">
        <v>44794</v>
      </c>
      <c r="B3507" s="3" t="s">
        <v>1657</v>
      </c>
      <c r="C3507" s="3">
        <v>2.39</v>
      </c>
      <c r="D3507" s="3">
        <v>1</v>
      </c>
    </row>
    <row r="3508" spans="1:4" ht="12.75" x14ac:dyDescent="0.35">
      <c r="A3508" s="4">
        <v>44825</v>
      </c>
      <c r="B3508" s="3" t="s">
        <v>1720</v>
      </c>
      <c r="C3508" s="3">
        <v>2.39</v>
      </c>
      <c r="D3508" s="3">
        <v>1</v>
      </c>
    </row>
    <row r="3509" spans="1:4" ht="12.75" x14ac:dyDescent="0.35">
      <c r="A3509" s="5">
        <v>44733</v>
      </c>
      <c r="B3509" s="3" t="s">
        <v>676</v>
      </c>
      <c r="C3509" s="3">
        <v>2.38</v>
      </c>
      <c r="D3509" s="3">
        <v>2</v>
      </c>
    </row>
    <row r="3510" spans="1:4" ht="12.75" x14ac:dyDescent="0.35">
      <c r="A3510" s="4">
        <v>44794</v>
      </c>
      <c r="B3510" s="3" t="s">
        <v>1668</v>
      </c>
      <c r="C3510" s="3">
        <v>2.38</v>
      </c>
      <c r="D3510" s="3">
        <v>1</v>
      </c>
    </row>
    <row r="3511" spans="1:4" ht="12.75" x14ac:dyDescent="0.35">
      <c r="A3511" s="4">
        <v>44855</v>
      </c>
      <c r="B3511" s="3" t="s">
        <v>586</v>
      </c>
      <c r="C3511" s="3">
        <v>2.37</v>
      </c>
      <c r="D3511" s="3">
        <v>1</v>
      </c>
    </row>
    <row r="3512" spans="1:4" ht="12.75" x14ac:dyDescent="0.35">
      <c r="A3512" s="4">
        <v>44613</v>
      </c>
      <c r="B3512" s="3" t="s">
        <v>150</v>
      </c>
      <c r="C3512" s="3">
        <v>2.36</v>
      </c>
      <c r="D3512" s="3">
        <v>1</v>
      </c>
    </row>
    <row r="3513" spans="1:4" ht="12.75" x14ac:dyDescent="0.35">
      <c r="A3513" s="4">
        <v>44641</v>
      </c>
      <c r="B3513" s="3" t="s">
        <v>652</v>
      </c>
      <c r="C3513" s="3">
        <v>2.36</v>
      </c>
      <c r="D3513" s="3">
        <v>1</v>
      </c>
    </row>
    <row r="3514" spans="1:4" ht="12.75" x14ac:dyDescent="0.35">
      <c r="A3514" s="5">
        <v>44733</v>
      </c>
      <c r="B3514" s="3" t="s">
        <v>726</v>
      </c>
      <c r="C3514" s="3">
        <v>2.36</v>
      </c>
      <c r="D3514" s="3">
        <v>4</v>
      </c>
    </row>
    <row r="3515" spans="1:4" ht="12.75" x14ac:dyDescent="0.35">
      <c r="A3515" s="5">
        <v>44763</v>
      </c>
      <c r="B3515" s="3" t="s">
        <v>1388</v>
      </c>
      <c r="C3515" s="3">
        <v>2.36</v>
      </c>
      <c r="D3515" s="3">
        <v>1</v>
      </c>
    </row>
    <row r="3516" spans="1:4" ht="12.75" x14ac:dyDescent="0.35">
      <c r="A3516" s="4">
        <v>44582</v>
      </c>
      <c r="B3516" s="3" t="s">
        <v>292</v>
      </c>
      <c r="C3516" s="3">
        <v>2.35</v>
      </c>
      <c r="D3516" s="3">
        <v>1</v>
      </c>
    </row>
    <row r="3517" spans="1:4" ht="12.75" x14ac:dyDescent="0.35">
      <c r="A3517" s="4">
        <v>44825</v>
      </c>
      <c r="B3517" s="3" t="s">
        <v>1570</v>
      </c>
      <c r="C3517" s="3">
        <v>2.35</v>
      </c>
      <c r="D3517" s="3">
        <v>1</v>
      </c>
    </row>
    <row r="3518" spans="1:4" ht="12.75" x14ac:dyDescent="0.35">
      <c r="A3518" s="4">
        <v>44916</v>
      </c>
      <c r="B3518" s="3" t="s">
        <v>994</v>
      </c>
      <c r="C3518" s="3">
        <v>2.35</v>
      </c>
      <c r="D3518" s="3">
        <v>2</v>
      </c>
    </row>
    <row r="3519" spans="1:4" ht="12.75" x14ac:dyDescent="0.35">
      <c r="A3519" s="5">
        <v>44763</v>
      </c>
      <c r="B3519" s="3" t="s">
        <v>1545</v>
      </c>
      <c r="C3519" s="3">
        <v>2.34</v>
      </c>
      <c r="D3519" s="3">
        <v>1</v>
      </c>
    </row>
    <row r="3520" spans="1:4" ht="12.75" x14ac:dyDescent="0.35">
      <c r="A3520" s="4">
        <v>44582</v>
      </c>
      <c r="B3520" s="3" t="s">
        <v>63</v>
      </c>
      <c r="C3520" s="3">
        <v>2.31</v>
      </c>
      <c r="D3520" s="3">
        <v>1</v>
      </c>
    </row>
    <row r="3521" spans="1:4" ht="12.75" x14ac:dyDescent="0.35">
      <c r="A3521" s="4">
        <v>44672</v>
      </c>
      <c r="B3521" s="3" t="s">
        <v>906</v>
      </c>
      <c r="C3521" s="3">
        <v>2.31</v>
      </c>
      <c r="D3521" s="3">
        <v>1</v>
      </c>
    </row>
    <row r="3522" spans="1:4" ht="12.75" x14ac:dyDescent="0.35">
      <c r="A3522" s="4">
        <v>44672</v>
      </c>
      <c r="B3522" s="3" t="s">
        <v>912</v>
      </c>
      <c r="C3522" s="3">
        <v>2.31</v>
      </c>
      <c r="D3522" s="3">
        <v>1</v>
      </c>
    </row>
    <row r="3523" spans="1:4" ht="12.75" x14ac:dyDescent="0.35">
      <c r="A3523" s="4">
        <v>44702</v>
      </c>
      <c r="B3523" s="3" t="s">
        <v>1030</v>
      </c>
      <c r="C3523" s="3">
        <v>2.31</v>
      </c>
      <c r="D3523" s="3">
        <v>1</v>
      </c>
    </row>
    <row r="3524" spans="1:4" ht="12.75" x14ac:dyDescent="0.35">
      <c r="A3524" s="5">
        <v>44733</v>
      </c>
      <c r="B3524" s="3" t="s">
        <v>486</v>
      </c>
      <c r="C3524" s="3">
        <v>2.31</v>
      </c>
      <c r="D3524" s="3">
        <v>1</v>
      </c>
    </row>
    <row r="3525" spans="1:4" ht="12.75" x14ac:dyDescent="0.35">
      <c r="A3525" s="5">
        <v>44733</v>
      </c>
      <c r="B3525" s="3" t="s">
        <v>1433</v>
      </c>
      <c r="C3525" s="3">
        <v>2.31</v>
      </c>
      <c r="D3525" s="3">
        <v>1</v>
      </c>
    </row>
    <row r="3526" spans="1:4" ht="12.75" x14ac:dyDescent="0.35">
      <c r="A3526" s="4">
        <v>44582</v>
      </c>
      <c r="B3526" s="3" t="s">
        <v>280</v>
      </c>
      <c r="C3526" s="3">
        <v>2.2999999999999998</v>
      </c>
      <c r="D3526" s="3">
        <v>1</v>
      </c>
    </row>
    <row r="3527" spans="1:4" ht="12.75" x14ac:dyDescent="0.35">
      <c r="A3527" s="4">
        <v>44672</v>
      </c>
      <c r="B3527" s="3" t="s">
        <v>857</v>
      </c>
      <c r="C3527" s="3">
        <v>2.2999999999999998</v>
      </c>
      <c r="D3527" s="3">
        <v>1</v>
      </c>
    </row>
    <row r="3528" spans="1:4" ht="12.75" x14ac:dyDescent="0.35">
      <c r="A3528" s="4">
        <v>44672</v>
      </c>
      <c r="B3528" s="3" t="s">
        <v>862</v>
      </c>
      <c r="C3528" s="3">
        <v>2.2999999999999998</v>
      </c>
      <c r="D3528" s="3">
        <v>1</v>
      </c>
    </row>
    <row r="3529" spans="1:4" ht="12.75" x14ac:dyDescent="0.35">
      <c r="A3529" s="4">
        <v>44672</v>
      </c>
      <c r="B3529" s="3" t="s">
        <v>674</v>
      </c>
      <c r="C3529" s="3">
        <v>2.2999999999999998</v>
      </c>
      <c r="D3529" s="3">
        <v>1</v>
      </c>
    </row>
    <row r="3530" spans="1:4" ht="12.75" x14ac:dyDescent="0.35">
      <c r="A3530" s="5">
        <v>44763</v>
      </c>
      <c r="B3530" s="3" t="s">
        <v>1378</v>
      </c>
      <c r="C3530" s="3">
        <v>2.2999999999999998</v>
      </c>
      <c r="D3530" s="3">
        <v>1</v>
      </c>
    </row>
    <row r="3531" spans="1:4" ht="12.75" x14ac:dyDescent="0.35">
      <c r="A3531" s="4">
        <v>44916</v>
      </c>
      <c r="B3531" s="3" t="s">
        <v>1197</v>
      </c>
      <c r="C3531" s="3">
        <v>2.2999999999999998</v>
      </c>
      <c r="D3531" s="3">
        <v>1</v>
      </c>
    </row>
    <row r="3532" spans="1:4" ht="12.75" x14ac:dyDescent="0.35">
      <c r="A3532" s="4">
        <v>44916</v>
      </c>
      <c r="B3532" s="3" t="s">
        <v>1896</v>
      </c>
      <c r="C3532" s="3">
        <v>2.2999999999999998</v>
      </c>
      <c r="D3532" s="3">
        <v>1</v>
      </c>
    </row>
    <row r="3533" spans="1:4" ht="12.75" x14ac:dyDescent="0.35">
      <c r="A3533" s="4">
        <v>44641</v>
      </c>
      <c r="B3533" s="3" t="s">
        <v>755</v>
      </c>
      <c r="C3533" s="3">
        <v>2.2799999999999998</v>
      </c>
      <c r="D3533" s="3">
        <v>2</v>
      </c>
    </row>
    <row r="3534" spans="1:4" ht="12.75" x14ac:dyDescent="0.35">
      <c r="A3534" s="4">
        <v>44582</v>
      </c>
      <c r="B3534" s="3" t="s">
        <v>67</v>
      </c>
      <c r="C3534" s="3">
        <v>2.27</v>
      </c>
      <c r="D3534" s="3">
        <v>2</v>
      </c>
    </row>
    <row r="3535" spans="1:4" ht="12.75" x14ac:dyDescent="0.35">
      <c r="A3535" s="4">
        <v>44672</v>
      </c>
      <c r="B3535" s="3" t="s">
        <v>943</v>
      </c>
      <c r="C3535" s="3">
        <v>2.27</v>
      </c>
      <c r="D3535" s="3">
        <v>1</v>
      </c>
    </row>
    <row r="3536" spans="1:4" ht="12.75" x14ac:dyDescent="0.35">
      <c r="A3536" s="4">
        <v>44702</v>
      </c>
      <c r="B3536" s="3" t="s">
        <v>1142</v>
      </c>
      <c r="C3536" s="3">
        <v>2.27</v>
      </c>
      <c r="D3536" s="3">
        <v>1</v>
      </c>
    </row>
    <row r="3537" spans="1:4" ht="12.75" x14ac:dyDescent="0.35">
      <c r="A3537" s="5">
        <v>44763</v>
      </c>
      <c r="B3537" s="3" t="s">
        <v>1464</v>
      </c>
      <c r="C3537" s="3">
        <v>2.27</v>
      </c>
      <c r="D3537" s="3">
        <v>1</v>
      </c>
    </row>
    <row r="3538" spans="1:4" ht="12.75" x14ac:dyDescent="0.35">
      <c r="A3538" s="4">
        <v>44582</v>
      </c>
      <c r="B3538" s="3" t="s">
        <v>117</v>
      </c>
      <c r="C3538" s="3">
        <v>2.2599999999999998</v>
      </c>
      <c r="D3538" s="3">
        <v>1</v>
      </c>
    </row>
    <row r="3539" spans="1:4" ht="12.75" x14ac:dyDescent="0.35">
      <c r="A3539" s="4">
        <v>44613</v>
      </c>
      <c r="B3539" s="3" t="s">
        <v>134</v>
      </c>
      <c r="C3539" s="3">
        <v>2.2599999999999998</v>
      </c>
      <c r="D3539" s="3">
        <v>2</v>
      </c>
    </row>
    <row r="3540" spans="1:4" ht="12.75" x14ac:dyDescent="0.35">
      <c r="A3540" s="4">
        <v>44672</v>
      </c>
      <c r="B3540" s="3" t="s">
        <v>958</v>
      </c>
      <c r="C3540" s="3">
        <v>2.25</v>
      </c>
      <c r="D3540" s="3">
        <v>1</v>
      </c>
    </row>
    <row r="3541" spans="1:4" ht="12.75" x14ac:dyDescent="0.35">
      <c r="A3541" s="5">
        <v>44733</v>
      </c>
      <c r="B3541" s="3" t="s">
        <v>1221</v>
      </c>
      <c r="C3541" s="3">
        <v>2.25</v>
      </c>
      <c r="D3541" s="3">
        <v>1</v>
      </c>
    </row>
    <row r="3542" spans="1:4" ht="12.75" x14ac:dyDescent="0.35">
      <c r="A3542" s="5">
        <v>44763</v>
      </c>
      <c r="B3542" s="3" t="s">
        <v>1479</v>
      </c>
      <c r="C3542" s="3">
        <v>2.25</v>
      </c>
      <c r="D3542" s="3">
        <v>1</v>
      </c>
    </row>
    <row r="3543" spans="1:4" ht="12.75" x14ac:dyDescent="0.35">
      <c r="A3543" s="4">
        <v>44855</v>
      </c>
      <c r="B3543" s="3" t="s">
        <v>863</v>
      </c>
      <c r="C3543" s="3">
        <v>2.25</v>
      </c>
      <c r="D3543" s="3">
        <v>1</v>
      </c>
    </row>
    <row r="3544" spans="1:4" ht="12.75" x14ac:dyDescent="0.35">
      <c r="A3544" s="4">
        <v>44641</v>
      </c>
      <c r="B3544" s="3" t="s">
        <v>681</v>
      </c>
      <c r="C3544" s="3">
        <v>2.2400000000000002</v>
      </c>
      <c r="D3544" s="3">
        <v>1</v>
      </c>
    </row>
    <row r="3545" spans="1:4" ht="12.75" x14ac:dyDescent="0.35">
      <c r="A3545" s="4">
        <v>44702</v>
      </c>
      <c r="B3545" s="3" t="s">
        <v>1080</v>
      </c>
      <c r="C3545" s="3">
        <v>2.2400000000000002</v>
      </c>
      <c r="D3545" s="3">
        <v>1</v>
      </c>
    </row>
    <row r="3546" spans="1:4" ht="12.75" x14ac:dyDescent="0.35">
      <c r="A3546" s="4">
        <v>44886</v>
      </c>
      <c r="B3546" s="3" t="s">
        <v>298</v>
      </c>
      <c r="C3546" s="3">
        <v>2.23</v>
      </c>
      <c r="D3546" s="3">
        <v>1</v>
      </c>
    </row>
    <row r="3547" spans="1:4" ht="12.75" x14ac:dyDescent="0.35">
      <c r="A3547" s="4">
        <v>44916</v>
      </c>
      <c r="B3547" s="3" t="s">
        <v>1964</v>
      </c>
      <c r="C3547" s="3">
        <v>2.23</v>
      </c>
      <c r="D3547" s="3">
        <v>2</v>
      </c>
    </row>
    <row r="3548" spans="1:4" ht="12.75" x14ac:dyDescent="0.35">
      <c r="A3548" s="4">
        <v>44794</v>
      </c>
      <c r="B3548" s="3" t="s">
        <v>1624</v>
      </c>
      <c r="C3548" s="3">
        <v>2.2200000000000002</v>
      </c>
      <c r="D3548" s="3">
        <v>1</v>
      </c>
    </row>
    <row r="3549" spans="1:4" ht="12.75" x14ac:dyDescent="0.35">
      <c r="A3549" s="4">
        <v>44613</v>
      </c>
      <c r="B3549" s="3" t="s">
        <v>542</v>
      </c>
      <c r="C3549" s="3">
        <v>2.2000000000000002</v>
      </c>
      <c r="D3549" s="3">
        <v>1</v>
      </c>
    </row>
    <row r="3550" spans="1:4" ht="12.75" x14ac:dyDescent="0.35">
      <c r="A3550" s="4">
        <v>44672</v>
      </c>
      <c r="B3550" s="3" t="s">
        <v>974</v>
      </c>
      <c r="C3550" s="3">
        <v>2.2000000000000002</v>
      </c>
      <c r="D3550" s="3">
        <v>3</v>
      </c>
    </row>
    <row r="3551" spans="1:4" ht="12.75" x14ac:dyDescent="0.35">
      <c r="A3551" s="5">
        <v>44733</v>
      </c>
      <c r="B3551" s="3" t="s">
        <v>1424</v>
      </c>
      <c r="C3551" s="3">
        <v>2.2000000000000002</v>
      </c>
      <c r="D3551" s="3">
        <v>1</v>
      </c>
    </row>
    <row r="3552" spans="1:4" ht="12.75" x14ac:dyDescent="0.35">
      <c r="A3552" s="4">
        <v>44916</v>
      </c>
      <c r="B3552" s="3" t="s">
        <v>208</v>
      </c>
      <c r="C3552" s="3">
        <v>2.2000000000000002</v>
      </c>
      <c r="D3552" s="3">
        <v>1</v>
      </c>
    </row>
    <row r="3553" spans="1:4" ht="12.75" x14ac:dyDescent="0.35">
      <c r="A3553" s="4">
        <v>44582</v>
      </c>
      <c r="B3553" s="3" t="s">
        <v>391</v>
      </c>
      <c r="C3553" s="3">
        <v>2.19</v>
      </c>
      <c r="D3553" s="3">
        <v>1</v>
      </c>
    </row>
    <row r="3554" spans="1:4" ht="12.75" x14ac:dyDescent="0.35">
      <c r="A3554" s="4">
        <v>44825</v>
      </c>
      <c r="B3554" s="3" t="s">
        <v>1746</v>
      </c>
      <c r="C3554" s="3">
        <v>2.19</v>
      </c>
      <c r="D3554" s="3">
        <v>1</v>
      </c>
    </row>
    <row r="3555" spans="1:4" ht="12.75" x14ac:dyDescent="0.35">
      <c r="A3555" s="4">
        <v>44672</v>
      </c>
      <c r="B3555" s="3" t="s">
        <v>846</v>
      </c>
      <c r="C3555" s="3">
        <v>2.1800000000000002</v>
      </c>
      <c r="D3555" s="3">
        <v>1</v>
      </c>
    </row>
    <row r="3556" spans="1:4" ht="12.75" x14ac:dyDescent="0.35">
      <c r="A3556" s="4">
        <v>44702</v>
      </c>
      <c r="B3556" s="3" t="s">
        <v>1068</v>
      </c>
      <c r="C3556" s="3">
        <v>2.1800000000000002</v>
      </c>
      <c r="D3556" s="3">
        <v>1</v>
      </c>
    </row>
    <row r="3557" spans="1:4" ht="12.75" x14ac:dyDescent="0.35">
      <c r="A3557" s="5">
        <v>44763</v>
      </c>
      <c r="B3557" s="3" t="s">
        <v>1544</v>
      </c>
      <c r="C3557" s="3">
        <v>2.1800000000000002</v>
      </c>
      <c r="D3557" s="3">
        <v>1</v>
      </c>
    </row>
    <row r="3558" spans="1:4" ht="12.75" x14ac:dyDescent="0.35">
      <c r="A3558" s="4">
        <v>44794</v>
      </c>
      <c r="B3558" s="3" t="s">
        <v>1215</v>
      </c>
      <c r="C3558" s="3">
        <v>2.1800000000000002</v>
      </c>
      <c r="D3558" s="3">
        <v>1</v>
      </c>
    </row>
    <row r="3559" spans="1:4" ht="12.75" x14ac:dyDescent="0.35">
      <c r="A3559" s="4">
        <v>44582</v>
      </c>
      <c r="B3559" s="3" t="s">
        <v>219</v>
      </c>
      <c r="C3559" s="3">
        <v>2.16</v>
      </c>
      <c r="D3559" s="3">
        <v>1</v>
      </c>
    </row>
    <row r="3560" spans="1:4" ht="12.75" x14ac:dyDescent="0.35">
      <c r="A3560" s="5">
        <v>44763</v>
      </c>
      <c r="B3560" s="3" t="s">
        <v>1116</v>
      </c>
      <c r="C3560" s="3">
        <v>2.16</v>
      </c>
      <c r="D3560" s="3">
        <v>1</v>
      </c>
    </row>
    <row r="3561" spans="1:4" ht="12.75" x14ac:dyDescent="0.35">
      <c r="A3561" s="4">
        <v>44794</v>
      </c>
      <c r="B3561" s="3" t="s">
        <v>1696</v>
      </c>
      <c r="C3561" s="3">
        <v>2.16</v>
      </c>
      <c r="D3561" s="3">
        <v>1</v>
      </c>
    </row>
    <row r="3562" spans="1:4" ht="12.75" x14ac:dyDescent="0.35">
      <c r="A3562" s="4">
        <v>44613</v>
      </c>
      <c r="B3562" s="3" t="s">
        <v>551</v>
      </c>
      <c r="C3562" s="3">
        <v>2.14</v>
      </c>
      <c r="D3562" s="3">
        <v>1</v>
      </c>
    </row>
    <row r="3563" spans="1:4" ht="12.75" x14ac:dyDescent="0.35">
      <c r="A3563" s="4">
        <v>44672</v>
      </c>
      <c r="B3563" s="3" t="s">
        <v>823</v>
      </c>
      <c r="C3563" s="3">
        <v>2.14</v>
      </c>
      <c r="D3563" s="3">
        <v>2</v>
      </c>
    </row>
    <row r="3564" spans="1:4" ht="12.75" x14ac:dyDescent="0.35">
      <c r="A3564" s="4">
        <v>44794</v>
      </c>
      <c r="B3564" s="3" t="s">
        <v>1574</v>
      </c>
      <c r="C3564" s="3">
        <v>2.14</v>
      </c>
      <c r="D3564" s="3">
        <v>1</v>
      </c>
    </row>
    <row r="3565" spans="1:4" ht="12.75" x14ac:dyDescent="0.35">
      <c r="A3565" s="5">
        <v>44733</v>
      </c>
      <c r="B3565" s="3" t="s">
        <v>1318</v>
      </c>
      <c r="C3565" s="3">
        <v>2.13</v>
      </c>
      <c r="D3565" s="3">
        <v>2</v>
      </c>
    </row>
    <row r="3566" spans="1:4" ht="12.75" x14ac:dyDescent="0.35">
      <c r="A3566" s="5">
        <v>44763</v>
      </c>
      <c r="B3566" s="3" t="s">
        <v>1024</v>
      </c>
      <c r="C3566" s="3">
        <v>2.13</v>
      </c>
      <c r="D3566" s="3">
        <v>1</v>
      </c>
    </row>
    <row r="3567" spans="1:4" ht="12.75" x14ac:dyDescent="0.35">
      <c r="A3567" s="4">
        <v>44794</v>
      </c>
      <c r="B3567" s="3" t="s">
        <v>1636</v>
      </c>
      <c r="C3567" s="3">
        <v>2.13</v>
      </c>
      <c r="D3567" s="3">
        <v>1</v>
      </c>
    </row>
    <row r="3568" spans="1:4" ht="12.75" x14ac:dyDescent="0.35">
      <c r="A3568" s="4">
        <v>44794</v>
      </c>
      <c r="B3568" s="3" t="s">
        <v>1678</v>
      </c>
      <c r="C3568" s="3">
        <v>2.13</v>
      </c>
      <c r="D3568" s="3">
        <v>1</v>
      </c>
    </row>
    <row r="3569" spans="1:4" ht="12.75" x14ac:dyDescent="0.35">
      <c r="A3569" s="4">
        <v>44825</v>
      </c>
      <c r="B3569" s="3" t="s">
        <v>1755</v>
      </c>
      <c r="C3569" s="3">
        <v>2.12</v>
      </c>
      <c r="D3569" s="3">
        <v>1</v>
      </c>
    </row>
    <row r="3570" spans="1:4" ht="12.75" x14ac:dyDescent="0.35">
      <c r="A3570" s="4">
        <v>44916</v>
      </c>
      <c r="B3570" s="3" t="s">
        <v>1955</v>
      </c>
      <c r="C3570" s="3">
        <v>2.12</v>
      </c>
      <c r="D3570" s="3">
        <v>1</v>
      </c>
    </row>
    <row r="3571" spans="1:4" ht="12.75" x14ac:dyDescent="0.35">
      <c r="A3571" s="4">
        <v>44672</v>
      </c>
      <c r="B3571" s="3" t="s">
        <v>252</v>
      </c>
      <c r="C3571" s="3">
        <v>2.11</v>
      </c>
      <c r="D3571" s="3">
        <v>1</v>
      </c>
    </row>
    <row r="3572" spans="1:4" ht="12.75" x14ac:dyDescent="0.35">
      <c r="A3572" s="4">
        <v>44582</v>
      </c>
      <c r="B3572" s="3" t="s">
        <v>144</v>
      </c>
      <c r="C3572" s="3">
        <v>2.1</v>
      </c>
      <c r="D3572" s="3">
        <v>1</v>
      </c>
    </row>
    <row r="3573" spans="1:4" ht="12.75" x14ac:dyDescent="0.35">
      <c r="A3573" s="5">
        <v>44733</v>
      </c>
      <c r="B3573" s="3" t="s">
        <v>1277</v>
      </c>
      <c r="C3573" s="3">
        <v>2.1</v>
      </c>
      <c r="D3573" s="3">
        <v>1</v>
      </c>
    </row>
    <row r="3574" spans="1:4" ht="12.75" x14ac:dyDescent="0.35">
      <c r="A3574" s="5">
        <v>44733</v>
      </c>
      <c r="B3574" s="3" t="s">
        <v>1296</v>
      </c>
      <c r="C3574" s="3">
        <v>2.1</v>
      </c>
      <c r="D3574" s="3">
        <v>1</v>
      </c>
    </row>
    <row r="3575" spans="1:4" ht="12.75" x14ac:dyDescent="0.35">
      <c r="A3575" s="4">
        <v>44794</v>
      </c>
      <c r="B3575" s="3" t="s">
        <v>1727</v>
      </c>
      <c r="C3575" s="3">
        <v>2.1</v>
      </c>
      <c r="D3575" s="3">
        <v>1</v>
      </c>
    </row>
    <row r="3576" spans="1:4" ht="12.75" x14ac:dyDescent="0.35">
      <c r="A3576" s="4">
        <v>44672</v>
      </c>
      <c r="B3576" s="3" t="s">
        <v>904</v>
      </c>
      <c r="C3576" s="3">
        <v>2.09</v>
      </c>
      <c r="D3576" s="3">
        <v>1</v>
      </c>
    </row>
    <row r="3577" spans="1:4" ht="12.75" x14ac:dyDescent="0.35">
      <c r="A3577" s="4">
        <v>44702</v>
      </c>
      <c r="B3577" s="3" t="s">
        <v>1016</v>
      </c>
      <c r="C3577" s="3">
        <v>2.09</v>
      </c>
      <c r="D3577" s="3">
        <v>1</v>
      </c>
    </row>
    <row r="3578" spans="1:4" ht="12.75" x14ac:dyDescent="0.35">
      <c r="A3578" s="5">
        <v>44733</v>
      </c>
      <c r="B3578" s="3" t="s">
        <v>1459</v>
      </c>
      <c r="C3578" s="3">
        <v>2.09</v>
      </c>
      <c r="D3578" s="3">
        <v>1</v>
      </c>
    </row>
    <row r="3579" spans="1:4" ht="12.75" x14ac:dyDescent="0.35">
      <c r="A3579" s="5">
        <v>44763</v>
      </c>
      <c r="B3579" s="3" t="s">
        <v>1191</v>
      </c>
      <c r="C3579" s="3">
        <v>2.09</v>
      </c>
      <c r="D3579" s="3">
        <v>1</v>
      </c>
    </row>
    <row r="3580" spans="1:4" ht="12.75" x14ac:dyDescent="0.35">
      <c r="A3580" s="5">
        <v>44733</v>
      </c>
      <c r="B3580" s="3" t="s">
        <v>1157</v>
      </c>
      <c r="C3580" s="3">
        <v>2.08</v>
      </c>
      <c r="D3580" s="3">
        <v>1</v>
      </c>
    </row>
    <row r="3581" spans="1:4" ht="12.75" x14ac:dyDescent="0.35">
      <c r="A3581" s="4">
        <v>44825</v>
      </c>
      <c r="B3581" s="3" t="s">
        <v>1736</v>
      </c>
      <c r="C3581" s="3">
        <v>2.08</v>
      </c>
      <c r="D3581" s="3">
        <v>1</v>
      </c>
    </row>
    <row r="3582" spans="1:4" ht="12.75" x14ac:dyDescent="0.35">
      <c r="A3582" s="4">
        <v>44672</v>
      </c>
      <c r="B3582" s="3" t="s">
        <v>973</v>
      </c>
      <c r="C3582" s="3">
        <v>2.0699999999999998</v>
      </c>
      <c r="D3582" s="3">
        <v>1</v>
      </c>
    </row>
    <row r="3583" spans="1:4" ht="12.75" x14ac:dyDescent="0.35">
      <c r="A3583" s="4">
        <v>44855</v>
      </c>
      <c r="B3583" s="3" t="s">
        <v>63</v>
      </c>
      <c r="C3583" s="3">
        <v>2.0699999999999998</v>
      </c>
      <c r="D3583" s="3">
        <v>1</v>
      </c>
    </row>
    <row r="3584" spans="1:4" ht="12.75" x14ac:dyDescent="0.35">
      <c r="A3584" s="4">
        <v>44886</v>
      </c>
      <c r="B3584" s="3" t="s">
        <v>1558</v>
      </c>
      <c r="C3584" s="3">
        <v>2.0699999999999998</v>
      </c>
      <c r="D3584" s="3">
        <v>1</v>
      </c>
    </row>
    <row r="3585" spans="1:4" ht="12.75" x14ac:dyDescent="0.35">
      <c r="A3585" s="5">
        <v>44763</v>
      </c>
      <c r="B3585" s="3" t="s">
        <v>1179</v>
      </c>
      <c r="C3585" s="3">
        <v>2.06</v>
      </c>
      <c r="D3585" s="3">
        <v>1</v>
      </c>
    </row>
    <row r="3586" spans="1:4" ht="12.75" x14ac:dyDescent="0.35">
      <c r="A3586" s="4">
        <v>44794</v>
      </c>
      <c r="B3586" s="3" t="s">
        <v>1057</v>
      </c>
      <c r="C3586" s="3">
        <v>2.06</v>
      </c>
      <c r="D3586" s="3">
        <v>1</v>
      </c>
    </row>
    <row r="3587" spans="1:4" ht="12.75" x14ac:dyDescent="0.35">
      <c r="A3587" s="4">
        <v>44582</v>
      </c>
      <c r="B3587" s="3" t="s">
        <v>22</v>
      </c>
      <c r="C3587" s="3">
        <v>2.0499999999999998</v>
      </c>
      <c r="D3587" s="3">
        <v>1</v>
      </c>
    </row>
    <row r="3588" spans="1:4" ht="12.75" x14ac:dyDescent="0.35">
      <c r="A3588" s="4">
        <v>44641</v>
      </c>
      <c r="B3588" s="3" t="s">
        <v>177</v>
      </c>
      <c r="C3588" s="3">
        <v>2.0499999999999998</v>
      </c>
      <c r="D3588" s="3">
        <v>2</v>
      </c>
    </row>
    <row r="3589" spans="1:4" ht="12.75" x14ac:dyDescent="0.35">
      <c r="A3589" s="4">
        <v>44672</v>
      </c>
      <c r="B3589" s="3" t="s">
        <v>947</v>
      </c>
      <c r="C3589" s="3">
        <v>2.0499999999999998</v>
      </c>
      <c r="D3589" s="3">
        <v>1</v>
      </c>
    </row>
    <row r="3590" spans="1:4" ht="12.75" x14ac:dyDescent="0.35">
      <c r="A3590" s="4">
        <v>44613</v>
      </c>
      <c r="B3590" s="3" t="s">
        <v>537</v>
      </c>
      <c r="C3590" s="3">
        <v>2.04</v>
      </c>
      <c r="D3590" s="3">
        <v>1</v>
      </c>
    </row>
    <row r="3591" spans="1:4" ht="12.75" x14ac:dyDescent="0.35">
      <c r="A3591" s="4">
        <v>44794</v>
      </c>
      <c r="B3591" s="3" t="s">
        <v>933</v>
      </c>
      <c r="C3591" s="3">
        <v>2.04</v>
      </c>
      <c r="D3591" s="3">
        <v>1</v>
      </c>
    </row>
    <row r="3592" spans="1:4" ht="12.75" x14ac:dyDescent="0.35">
      <c r="A3592" s="4">
        <v>44916</v>
      </c>
      <c r="B3592" s="3" t="s">
        <v>141</v>
      </c>
      <c r="C3592" s="3">
        <v>2.04</v>
      </c>
      <c r="D3592" s="3">
        <v>3</v>
      </c>
    </row>
    <row r="3593" spans="1:4" ht="12.75" x14ac:dyDescent="0.35">
      <c r="A3593" s="4">
        <v>44672</v>
      </c>
      <c r="B3593" s="3" t="s">
        <v>54</v>
      </c>
      <c r="C3593" s="3">
        <v>2.0299999999999998</v>
      </c>
      <c r="D3593" s="3">
        <v>1</v>
      </c>
    </row>
    <row r="3594" spans="1:4" ht="12.75" x14ac:dyDescent="0.35">
      <c r="A3594" s="5">
        <v>44733</v>
      </c>
      <c r="B3594" s="3" t="s">
        <v>1386</v>
      </c>
      <c r="C3594" s="3">
        <v>2.0299999999999998</v>
      </c>
      <c r="D3594" s="3">
        <v>1</v>
      </c>
    </row>
    <row r="3595" spans="1:4" ht="12.75" x14ac:dyDescent="0.35">
      <c r="A3595" s="4">
        <v>44794</v>
      </c>
      <c r="B3595" s="3" t="s">
        <v>1710</v>
      </c>
      <c r="C3595" s="3">
        <v>2.0299999999999998</v>
      </c>
      <c r="D3595" s="3">
        <v>1</v>
      </c>
    </row>
    <row r="3596" spans="1:4" ht="12.75" x14ac:dyDescent="0.35">
      <c r="A3596" s="5">
        <v>44763</v>
      </c>
      <c r="B3596" s="3" t="s">
        <v>1553</v>
      </c>
      <c r="C3596" s="3">
        <v>2.02</v>
      </c>
      <c r="D3596" s="3">
        <v>2</v>
      </c>
    </row>
    <row r="3597" spans="1:4" ht="12.75" x14ac:dyDescent="0.35">
      <c r="A3597" s="4">
        <v>44672</v>
      </c>
      <c r="B3597" s="3" t="s">
        <v>798</v>
      </c>
      <c r="C3597" s="3">
        <v>2.0099999999999998</v>
      </c>
      <c r="D3597" s="3">
        <v>1</v>
      </c>
    </row>
    <row r="3598" spans="1:4" ht="12.75" x14ac:dyDescent="0.35">
      <c r="A3598" s="4">
        <v>44672</v>
      </c>
      <c r="B3598" s="3" t="s">
        <v>526</v>
      </c>
      <c r="C3598" s="3">
        <v>2.0099999999999998</v>
      </c>
      <c r="D3598" s="3">
        <v>2</v>
      </c>
    </row>
    <row r="3599" spans="1:4" ht="12.75" x14ac:dyDescent="0.35">
      <c r="A3599" s="5">
        <v>44733</v>
      </c>
      <c r="B3599" s="3" t="s">
        <v>1383</v>
      </c>
      <c r="C3599" s="3">
        <v>2.0099999999999998</v>
      </c>
      <c r="D3599" s="3">
        <v>1</v>
      </c>
    </row>
    <row r="3600" spans="1:4" ht="12.75" x14ac:dyDescent="0.35">
      <c r="A3600" s="4">
        <v>44641</v>
      </c>
      <c r="B3600" s="3" t="s">
        <v>616</v>
      </c>
      <c r="C3600" s="3">
        <v>2</v>
      </c>
      <c r="D3600" s="3">
        <v>1</v>
      </c>
    </row>
    <row r="3601" spans="1:4" ht="12.75" x14ac:dyDescent="0.35">
      <c r="A3601" s="4">
        <v>44641</v>
      </c>
      <c r="B3601" s="3" t="s">
        <v>624</v>
      </c>
      <c r="C3601" s="3">
        <v>2</v>
      </c>
      <c r="D3601" s="3">
        <v>1</v>
      </c>
    </row>
    <row r="3602" spans="1:4" ht="12.75" x14ac:dyDescent="0.35">
      <c r="A3602" s="4">
        <v>44641</v>
      </c>
      <c r="B3602" s="3" t="s">
        <v>639</v>
      </c>
      <c r="C3602" s="3">
        <v>2</v>
      </c>
      <c r="D3602" s="3">
        <v>1</v>
      </c>
    </row>
    <row r="3603" spans="1:4" ht="12.75" x14ac:dyDescent="0.35">
      <c r="A3603" s="4">
        <v>44641</v>
      </c>
      <c r="B3603" s="3" t="s">
        <v>580</v>
      </c>
      <c r="C3603" s="3">
        <v>2</v>
      </c>
      <c r="D3603" s="3">
        <v>1</v>
      </c>
    </row>
    <row r="3604" spans="1:4" ht="12.75" x14ac:dyDescent="0.35">
      <c r="A3604" s="4">
        <v>44641</v>
      </c>
      <c r="B3604" s="3" t="s">
        <v>695</v>
      </c>
      <c r="C3604" s="3">
        <v>2</v>
      </c>
      <c r="D3604" s="3">
        <v>1</v>
      </c>
    </row>
    <row r="3605" spans="1:4" ht="12.75" x14ac:dyDescent="0.35">
      <c r="A3605" s="4">
        <v>44641</v>
      </c>
      <c r="B3605" s="3" t="s">
        <v>699</v>
      </c>
      <c r="C3605" s="3">
        <v>2</v>
      </c>
      <c r="D3605" s="3">
        <v>1</v>
      </c>
    </row>
    <row r="3606" spans="1:4" ht="12.75" x14ac:dyDescent="0.35">
      <c r="A3606" s="4">
        <v>44641</v>
      </c>
      <c r="B3606" s="3" t="s">
        <v>725</v>
      </c>
      <c r="C3606" s="3">
        <v>2</v>
      </c>
      <c r="D3606" s="3">
        <v>1</v>
      </c>
    </row>
    <row r="3607" spans="1:4" ht="12.75" x14ac:dyDescent="0.35">
      <c r="A3607" s="4">
        <v>44641</v>
      </c>
      <c r="B3607" s="3" t="s">
        <v>733</v>
      </c>
      <c r="C3607" s="3">
        <v>2</v>
      </c>
      <c r="D3607" s="3">
        <v>1</v>
      </c>
    </row>
    <row r="3608" spans="1:4" ht="12.75" x14ac:dyDescent="0.35">
      <c r="A3608" s="4">
        <v>44641</v>
      </c>
      <c r="B3608" s="3" t="s">
        <v>355</v>
      </c>
      <c r="C3608" s="3">
        <v>2</v>
      </c>
      <c r="D3608" s="3">
        <v>1</v>
      </c>
    </row>
    <row r="3609" spans="1:4" ht="12.75" x14ac:dyDescent="0.35">
      <c r="A3609" s="4">
        <v>44641</v>
      </c>
      <c r="B3609" s="3" t="s">
        <v>771</v>
      </c>
      <c r="C3609" s="3">
        <v>2</v>
      </c>
      <c r="D3609" s="3">
        <v>1</v>
      </c>
    </row>
    <row r="3610" spans="1:4" ht="12.75" x14ac:dyDescent="0.35">
      <c r="A3610" s="4">
        <v>44641</v>
      </c>
      <c r="B3610" s="3" t="s">
        <v>778</v>
      </c>
      <c r="C3610" s="3">
        <v>2</v>
      </c>
      <c r="D3610" s="3">
        <v>1</v>
      </c>
    </row>
    <row r="3611" spans="1:4" ht="12.75" x14ac:dyDescent="0.35">
      <c r="A3611" s="4">
        <v>44641</v>
      </c>
      <c r="B3611" s="3" t="s">
        <v>781</v>
      </c>
      <c r="C3611" s="3">
        <v>2</v>
      </c>
      <c r="D3611" s="3">
        <v>1</v>
      </c>
    </row>
    <row r="3612" spans="1:4" ht="12.75" x14ac:dyDescent="0.35">
      <c r="A3612" s="4">
        <v>44641</v>
      </c>
      <c r="B3612" s="3" t="s">
        <v>784</v>
      </c>
      <c r="C3612" s="3">
        <v>2</v>
      </c>
      <c r="D3612" s="3">
        <v>1</v>
      </c>
    </row>
    <row r="3613" spans="1:4" ht="12.75" x14ac:dyDescent="0.35">
      <c r="A3613" s="4">
        <v>44672</v>
      </c>
      <c r="B3613" s="3" t="s">
        <v>797</v>
      </c>
      <c r="C3613" s="3">
        <v>2</v>
      </c>
      <c r="D3613" s="3">
        <v>1</v>
      </c>
    </row>
    <row r="3614" spans="1:4" ht="12.75" x14ac:dyDescent="0.35">
      <c r="A3614" s="4">
        <v>44672</v>
      </c>
      <c r="B3614" s="3" t="s">
        <v>580</v>
      </c>
      <c r="C3614" s="3">
        <v>2</v>
      </c>
      <c r="D3614" s="3">
        <v>1</v>
      </c>
    </row>
    <row r="3615" spans="1:4" ht="12.75" x14ac:dyDescent="0.35">
      <c r="A3615" s="4">
        <v>44672</v>
      </c>
      <c r="B3615" s="3" t="s">
        <v>803</v>
      </c>
      <c r="C3615" s="3">
        <v>2</v>
      </c>
      <c r="D3615" s="3">
        <v>1</v>
      </c>
    </row>
    <row r="3616" spans="1:4" ht="12.75" x14ac:dyDescent="0.35">
      <c r="A3616" s="4">
        <v>44672</v>
      </c>
      <c r="B3616" s="3" t="s">
        <v>804</v>
      </c>
      <c r="C3616" s="3">
        <v>2</v>
      </c>
      <c r="D3616" s="3">
        <v>1</v>
      </c>
    </row>
    <row r="3617" spans="1:4" ht="12.75" x14ac:dyDescent="0.35">
      <c r="A3617" s="4">
        <v>44672</v>
      </c>
      <c r="B3617" s="3" t="s">
        <v>807</v>
      </c>
      <c r="C3617" s="3">
        <v>2</v>
      </c>
      <c r="D3617" s="3">
        <v>1</v>
      </c>
    </row>
    <row r="3618" spans="1:4" ht="12.75" x14ac:dyDescent="0.35">
      <c r="A3618" s="4">
        <v>44672</v>
      </c>
      <c r="B3618" s="3" t="s">
        <v>809</v>
      </c>
      <c r="C3618" s="3">
        <v>2</v>
      </c>
      <c r="D3618" s="3">
        <v>1</v>
      </c>
    </row>
    <row r="3619" spans="1:4" ht="12.75" x14ac:dyDescent="0.35">
      <c r="A3619" s="4">
        <v>44672</v>
      </c>
      <c r="B3619" s="3" t="s">
        <v>815</v>
      </c>
      <c r="C3619" s="3">
        <v>2</v>
      </c>
      <c r="D3619" s="3">
        <v>1</v>
      </c>
    </row>
    <row r="3620" spans="1:4" ht="12.75" x14ac:dyDescent="0.35">
      <c r="A3620" s="4">
        <v>44672</v>
      </c>
      <c r="B3620" s="3" t="s">
        <v>344</v>
      </c>
      <c r="C3620" s="3">
        <v>2</v>
      </c>
      <c r="D3620" s="3">
        <v>3</v>
      </c>
    </row>
    <row r="3621" spans="1:4" ht="12.75" x14ac:dyDescent="0.35">
      <c r="A3621" s="4">
        <v>44672</v>
      </c>
      <c r="B3621" s="3" t="s">
        <v>817</v>
      </c>
      <c r="C3621" s="3">
        <v>2</v>
      </c>
      <c r="D3621" s="3">
        <v>1</v>
      </c>
    </row>
    <row r="3622" spans="1:4" ht="12.75" x14ac:dyDescent="0.35">
      <c r="A3622" s="4">
        <v>44672</v>
      </c>
      <c r="B3622" s="3" t="s">
        <v>820</v>
      </c>
      <c r="C3622" s="3">
        <v>2</v>
      </c>
      <c r="D3622" s="3">
        <v>1</v>
      </c>
    </row>
    <row r="3623" spans="1:4" ht="12.75" x14ac:dyDescent="0.35">
      <c r="A3623" s="4">
        <v>44672</v>
      </c>
      <c r="B3623" s="3" t="s">
        <v>822</v>
      </c>
      <c r="C3623" s="3">
        <v>2</v>
      </c>
      <c r="D3623" s="3">
        <v>1</v>
      </c>
    </row>
    <row r="3624" spans="1:4" ht="12.75" x14ac:dyDescent="0.35">
      <c r="A3624" s="4">
        <v>44672</v>
      </c>
      <c r="B3624" s="3" t="s">
        <v>825</v>
      </c>
      <c r="C3624" s="3">
        <v>2</v>
      </c>
      <c r="D3624" s="3">
        <v>1</v>
      </c>
    </row>
    <row r="3625" spans="1:4" ht="12.75" x14ac:dyDescent="0.35">
      <c r="A3625" s="4">
        <v>44672</v>
      </c>
      <c r="B3625" s="3" t="s">
        <v>827</v>
      </c>
      <c r="C3625" s="3">
        <v>2</v>
      </c>
      <c r="D3625" s="3">
        <v>1</v>
      </c>
    </row>
    <row r="3626" spans="1:4" ht="12.75" x14ac:dyDescent="0.35">
      <c r="A3626" s="4">
        <v>44672</v>
      </c>
      <c r="B3626" s="3" t="s">
        <v>828</v>
      </c>
      <c r="C3626" s="3">
        <v>2</v>
      </c>
      <c r="D3626" s="3">
        <v>1</v>
      </c>
    </row>
    <row r="3627" spans="1:4" ht="12.75" x14ac:dyDescent="0.35">
      <c r="A3627" s="4">
        <v>44672</v>
      </c>
      <c r="B3627" s="3" t="s">
        <v>834</v>
      </c>
      <c r="C3627" s="3">
        <v>2</v>
      </c>
      <c r="D3627" s="3">
        <v>1</v>
      </c>
    </row>
    <row r="3628" spans="1:4" ht="12.75" x14ac:dyDescent="0.35">
      <c r="A3628" s="4">
        <v>44672</v>
      </c>
      <c r="B3628" s="3" t="s">
        <v>841</v>
      </c>
      <c r="C3628" s="3">
        <v>2</v>
      </c>
      <c r="D3628" s="3">
        <v>1</v>
      </c>
    </row>
    <row r="3629" spans="1:4" ht="12.75" x14ac:dyDescent="0.35">
      <c r="A3629" s="4">
        <v>44672</v>
      </c>
      <c r="B3629" s="3" t="s">
        <v>842</v>
      </c>
      <c r="C3629" s="3">
        <v>2</v>
      </c>
      <c r="D3629" s="3">
        <v>1</v>
      </c>
    </row>
    <row r="3630" spans="1:4" ht="12.75" x14ac:dyDescent="0.35">
      <c r="A3630" s="4">
        <v>44672</v>
      </c>
      <c r="B3630" s="3" t="s">
        <v>844</v>
      </c>
      <c r="C3630" s="3">
        <v>2</v>
      </c>
      <c r="D3630" s="3">
        <v>1</v>
      </c>
    </row>
    <row r="3631" spans="1:4" ht="12.75" x14ac:dyDescent="0.35">
      <c r="A3631" s="4">
        <v>44672</v>
      </c>
      <c r="B3631" s="3" t="s">
        <v>845</v>
      </c>
      <c r="C3631" s="3">
        <v>2</v>
      </c>
      <c r="D3631" s="3">
        <v>1</v>
      </c>
    </row>
    <row r="3632" spans="1:4" ht="12.75" x14ac:dyDescent="0.35">
      <c r="A3632" s="4">
        <v>44672</v>
      </c>
      <c r="B3632" s="3" t="s">
        <v>72</v>
      </c>
      <c r="C3632" s="3">
        <v>2</v>
      </c>
      <c r="D3632" s="3">
        <v>1</v>
      </c>
    </row>
    <row r="3633" spans="1:4" ht="12.75" x14ac:dyDescent="0.35">
      <c r="A3633" s="4">
        <v>44672</v>
      </c>
      <c r="B3633" s="3" t="s">
        <v>847</v>
      </c>
      <c r="C3633" s="3">
        <v>2</v>
      </c>
      <c r="D3633" s="3">
        <v>1</v>
      </c>
    </row>
    <row r="3634" spans="1:4" ht="12.75" x14ac:dyDescent="0.35">
      <c r="A3634" s="4">
        <v>44672</v>
      </c>
      <c r="B3634" s="3" t="s">
        <v>848</v>
      </c>
      <c r="C3634" s="3">
        <v>2</v>
      </c>
      <c r="D3634" s="3">
        <v>1</v>
      </c>
    </row>
    <row r="3635" spans="1:4" ht="12.75" x14ac:dyDescent="0.35">
      <c r="A3635" s="4">
        <v>44672</v>
      </c>
      <c r="B3635" s="3" t="s">
        <v>849</v>
      </c>
      <c r="C3635" s="3">
        <v>2</v>
      </c>
      <c r="D3635" s="3">
        <v>1</v>
      </c>
    </row>
    <row r="3636" spans="1:4" ht="12.75" x14ac:dyDescent="0.35">
      <c r="A3636" s="4">
        <v>44672</v>
      </c>
      <c r="B3636" s="3" t="s">
        <v>850</v>
      </c>
      <c r="C3636" s="3">
        <v>2</v>
      </c>
      <c r="D3636" s="3">
        <v>1</v>
      </c>
    </row>
    <row r="3637" spans="1:4" ht="12.75" x14ac:dyDescent="0.35">
      <c r="A3637" s="4">
        <v>44672</v>
      </c>
      <c r="B3637" s="3" t="s">
        <v>851</v>
      </c>
      <c r="C3637" s="3">
        <v>2</v>
      </c>
      <c r="D3637" s="3">
        <v>1</v>
      </c>
    </row>
    <row r="3638" spans="1:4" ht="12.75" x14ac:dyDescent="0.35">
      <c r="A3638" s="4">
        <v>44672</v>
      </c>
      <c r="B3638" s="3" t="s">
        <v>852</v>
      </c>
      <c r="C3638" s="3">
        <v>2</v>
      </c>
      <c r="D3638" s="3">
        <v>1</v>
      </c>
    </row>
    <row r="3639" spans="1:4" ht="12.75" x14ac:dyDescent="0.35">
      <c r="A3639" s="4">
        <v>44672</v>
      </c>
      <c r="B3639" s="3" t="s">
        <v>853</v>
      </c>
      <c r="C3639" s="3">
        <v>2</v>
      </c>
      <c r="D3639" s="3">
        <v>1</v>
      </c>
    </row>
    <row r="3640" spans="1:4" ht="12.75" x14ac:dyDescent="0.35">
      <c r="A3640" s="4">
        <v>44672</v>
      </c>
      <c r="B3640" s="3" t="s">
        <v>854</v>
      </c>
      <c r="C3640" s="3">
        <v>2</v>
      </c>
      <c r="D3640" s="3">
        <v>1</v>
      </c>
    </row>
    <row r="3641" spans="1:4" ht="12.75" x14ac:dyDescent="0.35">
      <c r="A3641" s="4">
        <v>44672</v>
      </c>
      <c r="B3641" s="3" t="s">
        <v>856</v>
      </c>
      <c r="C3641" s="3">
        <v>2</v>
      </c>
      <c r="D3641" s="3">
        <v>1</v>
      </c>
    </row>
    <row r="3642" spans="1:4" ht="12.75" x14ac:dyDescent="0.35">
      <c r="A3642" s="4">
        <v>44672</v>
      </c>
      <c r="B3642" s="3" t="s">
        <v>860</v>
      </c>
      <c r="C3642" s="3">
        <v>2</v>
      </c>
      <c r="D3642" s="3">
        <v>1</v>
      </c>
    </row>
    <row r="3643" spans="1:4" ht="12.75" x14ac:dyDescent="0.35">
      <c r="A3643" s="4">
        <v>44672</v>
      </c>
      <c r="B3643" s="3" t="s">
        <v>861</v>
      </c>
      <c r="C3643" s="3">
        <v>2</v>
      </c>
      <c r="D3643" s="3">
        <v>1</v>
      </c>
    </row>
    <row r="3644" spans="1:4" ht="12.75" x14ac:dyDescent="0.35">
      <c r="A3644" s="4">
        <v>44672</v>
      </c>
      <c r="B3644" s="3" t="s">
        <v>863</v>
      </c>
      <c r="C3644" s="3">
        <v>2</v>
      </c>
      <c r="D3644" s="3">
        <v>1</v>
      </c>
    </row>
    <row r="3645" spans="1:4" ht="12.75" x14ac:dyDescent="0.35">
      <c r="A3645" s="4">
        <v>44672</v>
      </c>
      <c r="B3645" s="3" t="s">
        <v>866</v>
      </c>
      <c r="C3645" s="3">
        <v>2</v>
      </c>
      <c r="D3645" s="3">
        <v>1</v>
      </c>
    </row>
    <row r="3646" spans="1:4" ht="12.75" x14ac:dyDescent="0.35">
      <c r="A3646" s="4">
        <v>44672</v>
      </c>
      <c r="B3646" s="3" t="s">
        <v>870</v>
      </c>
      <c r="C3646" s="3">
        <v>2</v>
      </c>
      <c r="D3646" s="3">
        <v>1</v>
      </c>
    </row>
    <row r="3647" spans="1:4" ht="12.75" x14ac:dyDescent="0.35">
      <c r="A3647" s="4">
        <v>44672</v>
      </c>
      <c r="B3647" s="3" t="s">
        <v>871</v>
      </c>
      <c r="C3647" s="3">
        <v>2</v>
      </c>
      <c r="D3647" s="3">
        <v>1</v>
      </c>
    </row>
    <row r="3648" spans="1:4" ht="12.75" x14ac:dyDescent="0.35">
      <c r="A3648" s="4">
        <v>44672</v>
      </c>
      <c r="B3648" s="3" t="s">
        <v>872</v>
      </c>
      <c r="C3648" s="3">
        <v>2</v>
      </c>
      <c r="D3648" s="3">
        <v>1</v>
      </c>
    </row>
    <row r="3649" spans="1:4" ht="12.75" x14ac:dyDescent="0.35">
      <c r="A3649" s="4">
        <v>44672</v>
      </c>
      <c r="B3649" s="3" t="s">
        <v>873</v>
      </c>
      <c r="C3649" s="3">
        <v>2</v>
      </c>
      <c r="D3649" s="3">
        <v>1</v>
      </c>
    </row>
    <row r="3650" spans="1:4" ht="12.75" x14ac:dyDescent="0.35">
      <c r="A3650" s="4">
        <v>44672</v>
      </c>
      <c r="B3650" s="3" t="s">
        <v>874</v>
      </c>
      <c r="C3650" s="3">
        <v>2</v>
      </c>
      <c r="D3650" s="3">
        <v>1</v>
      </c>
    </row>
    <row r="3651" spans="1:4" ht="12.75" x14ac:dyDescent="0.35">
      <c r="A3651" s="4">
        <v>44672</v>
      </c>
      <c r="B3651" s="3" t="s">
        <v>879</v>
      </c>
      <c r="C3651" s="3">
        <v>2</v>
      </c>
      <c r="D3651" s="3">
        <v>1</v>
      </c>
    </row>
    <row r="3652" spans="1:4" ht="12.75" x14ac:dyDescent="0.35">
      <c r="A3652" s="4">
        <v>44672</v>
      </c>
      <c r="B3652" s="3" t="s">
        <v>880</v>
      </c>
      <c r="C3652" s="3">
        <v>2</v>
      </c>
      <c r="D3652" s="3">
        <v>1</v>
      </c>
    </row>
    <row r="3653" spans="1:4" ht="12.75" x14ac:dyDescent="0.35">
      <c r="A3653" s="4">
        <v>44672</v>
      </c>
      <c r="B3653" s="3" t="s">
        <v>884</v>
      </c>
      <c r="C3653" s="3">
        <v>2</v>
      </c>
      <c r="D3653" s="3">
        <v>1</v>
      </c>
    </row>
    <row r="3654" spans="1:4" ht="12.75" x14ac:dyDescent="0.35">
      <c r="A3654" s="4">
        <v>44672</v>
      </c>
      <c r="B3654" s="3" t="s">
        <v>887</v>
      </c>
      <c r="C3654" s="3">
        <v>2</v>
      </c>
      <c r="D3654" s="3">
        <v>1</v>
      </c>
    </row>
    <row r="3655" spans="1:4" ht="12.75" x14ac:dyDescent="0.35">
      <c r="A3655" s="4">
        <v>44672</v>
      </c>
      <c r="B3655" s="3" t="s">
        <v>890</v>
      </c>
      <c r="C3655" s="3">
        <v>2</v>
      </c>
      <c r="D3655" s="3">
        <v>1</v>
      </c>
    </row>
    <row r="3656" spans="1:4" ht="12.75" x14ac:dyDescent="0.35">
      <c r="A3656" s="4">
        <v>44672</v>
      </c>
      <c r="B3656" s="3" t="s">
        <v>892</v>
      </c>
      <c r="C3656" s="3">
        <v>2</v>
      </c>
      <c r="D3656" s="3">
        <v>1</v>
      </c>
    </row>
    <row r="3657" spans="1:4" ht="12.75" x14ac:dyDescent="0.35">
      <c r="A3657" s="4">
        <v>44672</v>
      </c>
      <c r="B3657" s="3" t="s">
        <v>893</v>
      </c>
      <c r="C3657" s="3">
        <v>2</v>
      </c>
      <c r="D3657" s="3">
        <v>1</v>
      </c>
    </row>
    <row r="3658" spans="1:4" ht="12.75" x14ac:dyDescent="0.35">
      <c r="A3658" s="4">
        <v>44672</v>
      </c>
      <c r="B3658" s="3" t="s">
        <v>900</v>
      </c>
      <c r="C3658" s="3">
        <v>2</v>
      </c>
      <c r="D3658" s="3">
        <v>1</v>
      </c>
    </row>
    <row r="3659" spans="1:4" ht="12.75" x14ac:dyDescent="0.35">
      <c r="A3659" s="4">
        <v>44672</v>
      </c>
      <c r="B3659" s="3" t="s">
        <v>901</v>
      </c>
      <c r="C3659" s="3">
        <v>2</v>
      </c>
      <c r="D3659" s="3">
        <v>1</v>
      </c>
    </row>
    <row r="3660" spans="1:4" ht="12.75" x14ac:dyDescent="0.35">
      <c r="A3660" s="4">
        <v>44672</v>
      </c>
      <c r="B3660" s="3" t="s">
        <v>903</v>
      </c>
      <c r="C3660" s="3">
        <v>2</v>
      </c>
      <c r="D3660" s="3">
        <v>1</v>
      </c>
    </row>
    <row r="3661" spans="1:4" ht="12.75" x14ac:dyDescent="0.35">
      <c r="A3661" s="4">
        <v>44672</v>
      </c>
      <c r="B3661" s="3" t="s">
        <v>908</v>
      </c>
      <c r="C3661" s="3">
        <v>2</v>
      </c>
      <c r="D3661" s="3">
        <v>1</v>
      </c>
    </row>
    <row r="3662" spans="1:4" ht="12.75" x14ac:dyDescent="0.35">
      <c r="A3662" s="4">
        <v>44672</v>
      </c>
      <c r="B3662" s="3" t="s">
        <v>913</v>
      </c>
      <c r="C3662" s="3">
        <v>2</v>
      </c>
      <c r="D3662" s="3">
        <v>1</v>
      </c>
    </row>
    <row r="3663" spans="1:4" ht="12.75" x14ac:dyDescent="0.35">
      <c r="A3663" s="4">
        <v>44672</v>
      </c>
      <c r="B3663" s="3" t="s">
        <v>918</v>
      </c>
      <c r="C3663" s="3">
        <v>2</v>
      </c>
      <c r="D3663" s="3">
        <v>1</v>
      </c>
    </row>
    <row r="3664" spans="1:4" ht="12.75" x14ac:dyDescent="0.35">
      <c r="A3664" s="4">
        <v>44672</v>
      </c>
      <c r="B3664" s="3" t="s">
        <v>919</v>
      </c>
      <c r="C3664" s="3">
        <v>2</v>
      </c>
      <c r="D3664" s="3">
        <v>1</v>
      </c>
    </row>
    <row r="3665" spans="1:4" ht="12.75" x14ac:dyDescent="0.35">
      <c r="A3665" s="4">
        <v>44672</v>
      </c>
      <c r="B3665" s="3" t="s">
        <v>921</v>
      </c>
      <c r="C3665" s="3">
        <v>2</v>
      </c>
      <c r="D3665" s="3">
        <v>1</v>
      </c>
    </row>
    <row r="3666" spans="1:4" ht="12.75" x14ac:dyDescent="0.35">
      <c r="A3666" s="4">
        <v>44672</v>
      </c>
      <c r="B3666" s="3" t="s">
        <v>922</v>
      </c>
      <c r="C3666" s="3">
        <v>2</v>
      </c>
      <c r="D3666" s="3">
        <v>1</v>
      </c>
    </row>
    <row r="3667" spans="1:4" ht="12.75" x14ac:dyDescent="0.35">
      <c r="A3667" s="4">
        <v>44672</v>
      </c>
      <c r="B3667" s="3" t="s">
        <v>925</v>
      </c>
      <c r="C3667" s="3">
        <v>2</v>
      </c>
      <c r="D3667" s="3">
        <v>1</v>
      </c>
    </row>
    <row r="3668" spans="1:4" ht="12.75" x14ac:dyDescent="0.35">
      <c r="A3668" s="4">
        <v>44672</v>
      </c>
      <c r="B3668" s="3" t="s">
        <v>928</v>
      </c>
      <c r="C3668" s="3">
        <v>2</v>
      </c>
      <c r="D3668" s="3">
        <v>1</v>
      </c>
    </row>
    <row r="3669" spans="1:4" ht="12.75" x14ac:dyDescent="0.35">
      <c r="A3669" s="4">
        <v>44672</v>
      </c>
      <c r="B3669" s="3" t="s">
        <v>929</v>
      </c>
      <c r="C3669" s="3">
        <v>2</v>
      </c>
      <c r="D3669" s="3">
        <v>1</v>
      </c>
    </row>
    <row r="3670" spans="1:4" ht="12.75" x14ac:dyDescent="0.35">
      <c r="A3670" s="4">
        <v>44672</v>
      </c>
      <c r="B3670" s="3" t="s">
        <v>932</v>
      </c>
      <c r="C3670" s="3">
        <v>2</v>
      </c>
      <c r="D3670" s="3">
        <v>1</v>
      </c>
    </row>
    <row r="3671" spans="1:4" ht="12.75" x14ac:dyDescent="0.35">
      <c r="A3671" s="4">
        <v>44672</v>
      </c>
      <c r="B3671" s="3" t="s">
        <v>934</v>
      </c>
      <c r="C3671" s="3">
        <v>2</v>
      </c>
      <c r="D3671" s="3">
        <v>1</v>
      </c>
    </row>
    <row r="3672" spans="1:4" ht="12.75" x14ac:dyDescent="0.35">
      <c r="A3672" s="4">
        <v>44672</v>
      </c>
      <c r="B3672" s="3" t="s">
        <v>936</v>
      </c>
      <c r="C3672" s="3">
        <v>2</v>
      </c>
      <c r="D3672" s="3">
        <v>1</v>
      </c>
    </row>
    <row r="3673" spans="1:4" ht="12.75" x14ac:dyDescent="0.35">
      <c r="A3673" s="4">
        <v>44672</v>
      </c>
      <c r="B3673" s="3" t="s">
        <v>938</v>
      </c>
      <c r="C3673" s="3">
        <v>2</v>
      </c>
      <c r="D3673" s="3">
        <v>1</v>
      </c>
    </row>
    <row r="3674" spans="1:4" ht="12.75" x14ac:dyDescent="0.35">
      <c r="A3674" s="4">
        <v>44672</v>
      </c>
      <c r="B3674" s="3" t="s">
        <v>942</v>
      </c>
      <c r="C3674" s="3">
        <v>2</v>
      </c>
      <c r="D3674" s="3">
        <v>1</v>
      </c>
    </row>
    <row r="3675" spans="1:4" ht="12.75" x14ac:dyDescent="0.35">
      <c r="A3675" s="4">
        <v>44672</v>
      </c>
      <c r="B3675" s="3" t="s">
        <v>944</v>
      </c>
      <c r="C3675" s="3">
        <v>2</v>
      </c>
      <c r="D3675" s="3">
        <v>1</v>
      </c>
    </row>
    <row r="3676" spans="1:4" ht="12.75" x14ac:dyDescent="0.35">
      <c r="A3676" s="4">
        <v>44672</v>
      </c>
      <c r="B3676" s="3" t="s">
        <v>945</v>
      </c>
      <c r="C3676" s="3">
        <v>2</v>
      </c>
      <c r="D3676" s="3">
        <v>1</v>
      </c>
    </row>
    <row r="3677" spans="1:4" ht="12.75" x14ac:dyDescent="0.35">
      <c r="A3677" s="4">
        <v>44672</v>
      </c>
      <c r="B3677" s="3" t="s">
        <v>949</v>
      </c>
      <c r="C3677" s="3">
        <v>2</v>
      </c>
      <c r="D3677" s="3">
        <v>1</v>
      </c>
    </row>
    <row r="3678" spans="1:4" ht="12.75" x14ac:dyDescent="0.35">
      <c r="A3678" s="4">
        <v>44672</v>
      </c>
      <c r="B3678" s="3" t="s">
        <v>950</v>
      </c>
      <c r="C3678" s="3">
        <v>2</v>
      </c>
      <c r="D3678" s="3">
        <v>1</v>
      </c>
    </row>
    <row r="3679" spans="1:4" ht="12.75" x14ac:dyDescent="0.35">
      <c r="A3679" s="4">
        <v>44672</v>
      </c>
      <c r="B3679" s="3" t="s">
        <v>952</v>
      </c>
      <c r="C3679" s="3">
        <v>2</v>
      </c>
      <c r="D3679" s="3">
        <v>1</v>
      </c>
    </row>
    <row r="3680" spans="1:4" ht="12.75" x14ac:dyDescent="0.35">
      <c r="A3680" s="4">
        <v>44672</v>
      </c>
      <c r="B3680" s="3" t="s">
        <v>953</v>
      </c>
      <c r="C3680" s="3">
        <v>2</v>
      </c>
      <c r="D3680" s="3">
        <v>1</v>
      </c>
    </row>
    <row r="3681" spans="1:4" ht="12.75" x14ac:dyDescent="0.35">
      <c r="A3681" s="4">
        <v>44672</v>
      </c>
      <c r="B3681" s="3" t="s">
        <v>957</v>
      </c>
      <c r="C3681" s="3">
        <v>2</v>
      </c>
      <c r="D3681" s="3">
        <v>1</v>
      </c>
    </row>
    <row r="3682" spans="1:4" ht="12.75" x14ac:dyDescent="0.35">
      <c r="A3682" s="4">
        <v>44672</v>
      </c>
      <c r="B3682" s="3" t="s">
        <v>960</v>
      </c>
      <c r="C3682" s="3">
        <v>2</v>
      </c>
      <c r="D3682" s="3">
        <v>1</v>
      </c>
    </row>
    <row r="3683" spans="1:4" ht="12.75" x14ac:dyDescent="0.35">
      <c r="A3683" s="4">
        <v>44672</v>
      </c>
      <c r="B3683" s="3" t="s">
        <v>962</v>
      </c>
      <c r="C3683" s="3">
        <v>2</v>
      </c>
      <c r="D3683" s="3">
        <v>1</v>
      </c>
    </row>
    <row r="3684" spans="1:4" ht="12.75" x14ac:dyDescent="0.35">
      <c r="A3684" s="4">
        <v>44672</v>
      </c>
      <c r="B3684" s="3" t="s">
        <v>965</v>
      </c>
      <c r="C3684" s="3">
        <v>2</v>
      </c>
      <c r="D3684" s="3">
        <v>1</v>
      </c>
    </row>
    <row r="3685" spans="1:4" ht="12.75" x14ac:dyDescent="0.35">
      <c r="A3685" s="4">
        <v>44672</v>
      </c>
      <c r="B3685" s="3" t="s">
        <v>967</v>
      </c>
      <c r="C3685" s="3">
        <v>2</v>
      </c>
      <c r="D3685" s="3">
        <v>1</v>
      </c>
    </row>
    <row r="3686" spans="1:4" ht="12.75" x14ac:dyDescent="0.35">
      <c r="A3686" s="4">
        <v>44672</v>
      </c>
      <c r="B3686" s="3" t="s">
        <v>969</v>
      </c>
      <c r="C3686" s="3">
        <v>2</v>
      </c>
      <c r="D3686" s="3">
        <v>1</v>
      </c>
    </row>
    <row r="3687" spans="1:4" ht="12.75" x14ac:dyDescent="0.35">
      <c r="A3687" s="4">
        <v>44672</v>
      </c>
      <c r="B3687" s="3" t="s">
        <v>970</v>
      </c>
      <c r="C3687" s="3">
        <v>2</v>
      </c>
      <c r="D3687" s="3">
        <v>1</v>
      </c>
    </row>
    <row r="3688" spans="1:4" ht="12.75" x14ac:dyDescent="0.35">
      <c r="A3688" s="4">
        <v>44672</v>
      </c>
      <c r="B3688" s="3" t="s">
        <v>972</v>
      </c>
      <c r="C3688" s="3">
        <v>2</v>
      </c>
      <c r="D3688" s="3">
        <v>1</v>
      </c>
    </row>
    <row r="3689" spans="1:4" ht="12.75" x14ac:dyDescent="0.35">
      <c r="A3689" s="4">
        <v>44672</v>
      </c>
      <c r="B3689" s="3" t="s">
        <v>976</v>
      </c>
      <c r="C3689" s="3">
        <v>2</v>
      </c>
      <c r="D3689" s="3">
        <v>1</v>
      </c>
    </row>
    <row r="3690" spans="1:4" ht="12.75" x14ac:dyDescent="0.35">
      <c r="A3690" s="4">
        <v>44672</v>
      </c>
      <c r="B3690" s="3" t="s">
        <v>977</v>
      </c>
      <c r="C3690" s="3">
        <v>2</v>
      </c>
      <c r="D3690" s="3">
        <v>1</v>
      </c>
    </row>
    <row r="3691" spans="1:4" ht="12.75" x14ac:dyDescent="0.35">
      <c r="A3691" s="4">
        <v>44672</v>
      </c>
      <c r="B3691" s="3" t="s">
        <v>980</v>
      </c>
      <c r="C3691" s="3">
        <v>2</v>
      </c>
      <c r="D3691" s="3">
        <v>1</v>
      </c>
    </row>
    <row r="3692" spans="1:4" ht="12.75" x14ac:dyDescent="0.35">
      <c r="A3692" s="4">
        <v>44672</v>
      </c>
      <c r="B3692" s="3" t="s">
        <v>981</v>
      </c>
      <c r="C3692" s="3">
        <v>2</v>
      </c>
      <c r="D3692" s="3">
        <v>1</v>
      </c>
    </row>
    <row r="3693" spans="1:4" ht="12.75" x14ac:dyDescent="0.35">
      <c r="A3693" s="4">
        <v>44672</v>
      </c>
      <c r="B3693" s="3" t="s">
        <v>984</v>
      </c>
      <c r="C3693" s="3">
        <v>2</v>
      </c>
      <c r="D3693" s="3">
        <v>1</v>
      </c>
    </row>
    <row r="3694" spans="1:4" ht="12.75" x14ac:dyDescent="0.35">
      <c r="A3694" s="4">
        <v>44672</v>
      </c>
      <c r="B3694" s="3" t="s">
        <v>986</v>
      </c>
      <c r="C3694" s="3">
        <v>2</v>
      </c>
      <c r="D3694" s="3">
        <v>1</v>
      </c>
    </row>
    <row r="3695" spans="1:4" ht="12.75" x14ac:dyDescent="0.35">
      <c r="A3695" s="4">
        <v>44672</v>
      </c>
      <c r="B3695" s="3" t="s">
        <v>988</v>
      </c>
      <c r="C3695" s="3">
        <v>2</v>
      </c>
      <c r="D3695" s="3">
        <v>1</v>
      </c>
    </row>
    <row r="3696" spans="1:4" ht="12.75" x14ac:dyDescent="0.35">
      <c r="A3696" s="4">
        <v>44672</v>
      </c>
      <c r="B3696" s="3" t="s">
        <v>991</v>
      </c>
      <c r="C3696" s="3">
        <v>2</v>
      </c>
      <c r="D3696" s="3">
        <v>1</v>
      </c>
    </row>
    <row r="3697" spans="1:6" ht="12.75" x14ac:dyDescent="0.35">
      <c r="A3697" s="4">
        <v>44672</v>
      </c>
      <c r="B3697" s="3" t="s">
        <v>992</v>
      </c>
      <c r="C3697" s="3">
        <v>2</v>
      </c>
      <c r="D3697" s="3">
        <v>1</v>
      </c>
    </row>
    <row r="3698" spans="1:6" ht="12.75" x14ac:dyDescent="0.35">
      <c r="A3698" s="4">
        <v>44672</v>
      </c>
      <c r="B3698" s="3" t="s">
        <v>996</v>
      </c>
      <c r="C3698" s="3">
        <v>2</v>
      </c>
      <c r="D3698" s="3">
        <v>1</v>
      </c>
    </row>
    <row r="3699" spans="1:6" ht="12.75" x14ac:dyDescent="0.35">
      <c r="A3699" s="4">
        <v>44702</v>
      </c>
      <c r="B3699" s="3" t="s">
        <v>468</v>
      </c>
      <c r="C3699" s="3">
        <v>2</v>
      </c>
      <c r="D3699" s="3">
        <v>1</v>
      </c>
    </row>
    <row r="3700" spans="1:6" ht="12.75" x14ac:dyDescent="0.35">
      <c r="A3700" s="4">
        <v>44702</v>
      </c>
      <c r="B3700" s="3" t="s">
        <v>1003</v>
      </c>
      <c r="C3700" s="3">
        <v>2</v>
      </c>
      <c r="D3700" s="3">
        <v>1</v>
      </c>
    </row>
    <row r="3701" spans="1:6" ht="12.75" x14ac:dyDescent="0.35">
      <c r="A3701" s="4">
        <v>44702</v>
      </c>
      <c r="B3701" s="3" t="s">
        <v>1012</v>
      </c>
      <c r="C3701" s="3">
        <v>2</v>
      </c>
      <c r="D3701" s="3">
        <v>1</v>
      </c>
    </row>
    <row r="3702" spans="1:6" ht="12.75" x14ac:dyDescent="0.35">
      <c r="A3702" s="4">
        <v>44702</v>
      </c>
      <c r="B3702" s="3" t="s">
        <v>1019</v>
      </c>
      <c r="C3702" s="3">
        <v>2</v>
      </c>
      <c r="D3702" s="3">
        <v>1</v>
      </c>
      <c r="F3702" s="4"/>
    </row>
    <row r="3703" spans="1:6" ht="12.75" x14ac:dyDescent="0.35">
      <c r="A3703" s="4">
        <v>44702</v>
      </c>
      <c r="B3703" s="3" t="s">
        <v>1022</v>
      </c>
      <c r="C3703" s="3">
        <v>2</v>
      </c>
      <c r="D3703" s="3">
        <v>1</v>
      </c>
    </row>
    <row r="3704" spans="1:6" ht="12.75" x14ac:dyDescent="0.35">
      <c r="A3704" s="4">
        <v>44702</v>
      </c>
      <c r="B3704" s="3" t="s">
        <v>1026</v>
      </c>
      <c r="C3704" s="3">
        <v>2</v>
      </c>
      <c r="D3704" s="3">
        <v>1</v>
      </c>
    </row>
    <row r="3705" spans="1:6" ht="12.75" x14ac:dyDescent="0.35">
      <c r="A3705" s="4">
        <v>44702</v>
      </c>
      <c r="B3705" s="3" t="s">
        <v>1027</v>
      </c>
      <c r="C3705" s="3">
        <v>2</v>
      </c>
      <c r="D3705" s="3">
        <v>1</v>
      </c>
    </row>
    <row r="3706" spans="1:6" ht="12.75" x14ac:dyDescent="0.35">
      <c r="A3706" s="4">
        <v>44702</v>
      </c>
      <c r="B3706" s="3" t="s">
        <v>1038</v>
      </c>
      <c r="C3706" s="3">
        <v>2</v>
      </c>
      <c r="D3706" s="3">
        <v>1</v>
      </c>
    </row>
    <row r="3707" spans="1:6" ht="12.75" x14ac:dyDescent="0.35">
      <c r="A3707" s="4">
        <v>44702</v>
      </c>
      <c r="B3707" s="3" t="s">
        <v>1040</v>
      </c>
      <c r="C3707" s="3">
        <v>2</v>
      </c>
      <c r="D3707" s="3">
        <v>1</v>
      </c>
    </row>
    <row r="3708" spans="1:6" ht="12.75" x14ac:dyDescent="0.35">
      <c r="A3708" s="4">
        <v>44702</v>
      </c>
      <c r="B3708" s="3" t="s">
        <v>1043</v>
      </c>
      <c r="C3708" s="3">
        <v>2</v>
      </c>
      <c r="D3708" s="3">
        <v>1</v>
      </c>
    </row>
    <row r="3709" spans="1:6" ht="12.75" x14ac:dyDescent="0.35">
      <c r="A3709" s="4">
        <v>44702</v>
      </c>
      <c r="B3709" s="3" t="s">
        <v>1060</v>
      </c>
      <c r="C3709" s="3">
        <v>2</v>
      </c>
      <c r="D3709" s="3">
        <v>1</v>
      </c>
    </row>
    <row r="3710" spans="1:6" ht="12.75" x14ac:dyDescent="0.35">
      <c r="A3710" s="4">
        <v>44702</v>
      </c>
      <c r="B3710" s="3" t="s">
        <v>1065</v>
      </c>
      <c r="C3710" s="3">
        <v>2</v>
      </c>
      <c r="D3710" s="3">
        <v>1</v>
      </c>
    </row>
    <row r="3711" spans="1:6" ht="12.75" x14ac:dyDescent="0.35">
      <c r="A3711" s="4">
        <v>44702</v>
      </c>
      <c r="B3711" s="3" t="s">
        <v>1072</v>
      </c>
      <c r="C3711" s="3">
        <v>2</v>
      </c>
      <c r="D3711" s="3">
        <v>1</v>
      </c>
    </row>
    <row r="3712" spans="1:6" ht="12.75" x14ac:dyDescent="0.35">
      <c r="A3712" s="4">
        <v>44702</v>
      </c>
      <c r="B3712" s="3" t="s">
        <v>1081</v>
      </c>
      <c r="C3712" s="3">
        <v>2</v>
      </c>
      <c r="D3712" s="3">
        <v>1</v>
      </c>
    </row>
    <row r="3713" spans="1:4" ht="12.75" x14ac:dyDescent="0.35">
      <c r="A3713" s="4">
        <v>44702</v>
      </c>
      <c r="B3713" s="3" t="s">
        <v>1089</v>
      </c>
      <c r="C3713" s="3">
        <v>2</v>
      </c>
      <c r="D3713" s="3">
        <v>1</v>
      </c>
    </row>
    <row r="3714" spans="1:4" ht="12.75" x14ac:dyDescent="0.35">
      <c r="A3714" s="4">
        <v>44702</v>
      </c>
      <c r="B3714" s="3" t="s">
        <v>1090</v>
      </c>
      <c r="C3714" s="3">
        <v>2</v>
      </c>
      <c r="D3714" s="3">
        <v>1</v>
      </c>
    </row>
    <row r="3715" spans="1:4" ht="12.75" x14ac:dyDescent="0.35">
      <c r="A3715" s="4">
        <v>44702</v>
      </c>
      <c r="B3715" s="3" t="s">
        <v>1111</v>
      </c>
      <c r="C3715" s="3">
        <v>2</v>
      </c>
      <c r="D3715" s="3">
        <v>1</v>
      </c>
    </row>
    <row r="3716" spans="1:4" ht="12.75" x14ac:dyDescent="0.35">
      <c r="A3716" s="4">
        <v>44702</v>
      </c>
      <c r="B3716" s="3" t="s">
        <v>1123</v>
      </c>
      <c r="C3716" s="3">
        <v>2</v>
      </c>
      <c r="D3716" s="3">
        <v>1</v>
      </c>
    </row>
    <row r="3717" spans="1:4" ht="12.75" x14ac:dyDescent="0.35">
      <c r="A3717" s="4">
        <v>44702</v>
      </c>
      <c r="B3717" s="3" t="s">
        <v>1141</v>
      </c>
      <c r="C3717" s="3">
        <v>2</v>
      </c>
      <c r="D3717" s="3">
        <v>1</v>
      </c>
    </row>
    <row r="3718" spans="1:4" ht="12.75" x14ac:dyDescent="0.35">
      <c r="A3718" s="4">
        <v>44702</v>
      </c>
      <c r="B3718" s="3" t="s">
        <v>1148</v>
      </c>
      <c r="C3718" s="3">
        <v>2</v>
      </c>
      <c r="D3718" s="3">
        <v>1</v>
      </c>
    </row>
    <row r="3719" spans="1:4" ht="12.75" x14ac:dyDescent="0.35">
      <c r="A3719" s="4">
        <v>44794</v>
      </c>
      <c r="B3719" s="3" t="s">
        <v>1610</v>
      </c>
      <c r="C3719" s="3">
        <v>2</v>
      </c>
      <c r="D3719" s="3">
        <v>1</v>
      </c>
    </row>
    <row r="3720" spans="1:4" ht="12.75" x14ac:dyDescent="0.35">
      <c r="A3720" s="4">
        <v>44825</v>
      </c>
      <c r="B3720" s="3" t="s">
        <v>1786</v>
      </c>
      <c r="C3720" s="3">
        <v>2</v>
      </c>
      <c r="D3720" s="3">
        <v>1</v>
      </c>
    </row>
    <row r="3721" spans="1:4" ht="12.75" x14ac:dyDescent="0.35">
      <c r="A3721" s="4">
        <v>44855</v>
      </c>
      <c r="B3721" s="3" t="s">
        <v>1805</v>
      </c>
      <c r="C3721" s="3">
        <v>2</v>
      </c>
      <c r="D3721" s="3">
        <v>1</v>
      </c>
    </row>
    <row r="3722" spans="1:4" ht="12.75" x14ac:dyDescent="0.35">
      <c r="A3722" s="4">
        <v>44916</v>
      </c>
      <c r="B3722" s="3" t="s">
        <v>814</v>
      </c>
      <c r="C3722" s="3">
        <v>2</v>
      </c>
      <c r="D3722" s="3">
        <v>1</v>
      </c>
    </row>
    <row r="3723" spans="1:4" ht="12.75" x14ac:dyDescent="0.35">
      <c r="A3723" s="4">
        <v>44916</v>
      </c>
      <c r="B3723" s="3" t="s">
        <v>1906</v>
      </c>
      <c r="C3723" s="3">
        <v>1</v>
      </c>
      <c r="D3723" s="3">
        <v>1</v>
      </c>
    </row>
    <row r="3724" spans="1:4" ht="12.75" x14ac:dyDescent="0.35">
      <c r="A3724" s="4">
        <v>44916</v>
      </c>
      <c r="B3724" s="3" t="s">
        <v>1877</v>
      </c>
      <c r="C3724" s="3">
        <v>2</v>
      </c>
      <c r="D3724" s="3">
        <v>2</v>
      </c>
    </row>
    <row r="3725" spans="1:4" ht="12.75" x14ac:dyDescent="0.35">
      <c r="A3725" s="4">
        <v>44916</v>
      </c>
      <c r="B3725" s="3" t="s">
        <v>75</v>
      </c>
      <c r="C3725" s="3">
        <v>2</v>
      </c>
      <c r="D3725" s="3">
        <v>6</v>
      </c>
    </row>
    <row r="3726" spans="1:4" ht="12.75" x14ac:dyDescent="0.35">
      <c r="A3726" s="4">
        <v>44916</v>
      </c>
      <c r="B3726" s="3" t="s">
        <v>1085</v>
      </c>
      <c r="C3726" s="3">
        <v>2</v>
      </c>
      <c r="D3726" s="3">
        <v>1</v>
      </c>
    </row>
    <row r="3727" spans="1:4" ht="12.75" x14ac:dyDescent="0.35">
      <c r="A3727" s="4">
        <v>44916</v>
      </c>
      <c r="B3727" s="3" t="s">
        <v>1140</v>
      </c>
      <c r="C3727" s="3">
        <v>2</v>
      </c>
      <c r="D3727" s="3">
        <v>1</v>
      </c>
    </row>
    <row r="3728" spans="1:4" ht="12.75" x14ac:dyDescent="0.35">
      <c r="A3728" s="4">
        <v>44916</v>
      </c>
      <c r="B3728" s="3" t="s">
        <v>1919</v>
      </c>
      <c r="C3728" s="3">
        <v>2</v>
      </c>
      <c r="D3728" s="3">
        <v>2</v>
      </c>
    </row>
    <row r="3729" spans="1:4" ht="12.75" x14ac:dyDescent="0.35">
      <c r="A3729" s="4">
        <v>44916</v>
      </c>
      <c r="B3729" s="3" t="s">
        <v>1927</v>
      </c>
      <c r="C3729" s="3">
        <v>2</v>
      </c>
      <c r="D3729" s="3">
        <v>2</v>
      </c>
    </row>
    <row r="3730" spans="1:4" ht="12.75" x14ac:dyDescent="0.35">
      <c r="A3730" s="4">
        <v>44916</v>
      </c>
      <c r="B3730" s="3" t="s">
        <v>1876</v>
      </c>
      <c r="C3730" s="3">
        <v>2</v>
      </c>
      <c r="D3730" s="3">
        <v>2</v>
      </c>
    </row>
    <row r="3731" spans="1:4" ht="12.75" x14ac:dyDescent="0.35">
      <c r="A3731" s="4">
        <v>44916</v>
      </c>
      <c r="B3731" s="3" t="s">
        <v>545</v>
      </c>
      <c r="C3731" s="3">
        <v>2</v>
      </c>
      <c r="D3731" s="3">
        <v>3</v>
      </c>
    </row>
    <row r="3732" spans="1:4" ht="12.75" x14ac:dyDescent="0.35">
      <c r="A3732" s="4">
        <v>44916</v>
      </c>
      <c r="B3732" s="3" t="s">
        <v>799</v>
      </c>
      <c r="C3732" s="3">
        <v>2</v>
      </c>
      <c r="D3732" s="3">
        <v>2</v>
      </c>
    </row>
    <row r="3733" spans="1:4" ht="12.75" x14ac:dyDescent="0.35">
      <c r="A3733" s="4">
        <v>44582</v>
      </c>
      <c r="B3733" s="3" t="s">
        <v>70</v>
      </c>
      <c r="C3733" s="3">
        <v>1.98</v>
      </c>
      <c r="D3733" s="3">
        <v>1</v>
      </c>
    </row>
    <row r="3734" spans="1:4" ht="12.75" x14ac:dyDescent="0.35">
      <c r="A3734" s="4">
        <v>44794</v>
      </c>
      <c r="B3734" s="3" t="s">
        <v>1600</v>
      </c>
      <c r="C3734" s="3">
        <v>1.98</v>
      </c>
      <c r="D3734" s="3">
        <v>1</v>
      </c>
    </row>
    <row r="3735" spans="1:4" ht="12.75" x14ac:dyDescent="0.35">
      <c r="A3735" s="4">
        <v>44886</v>
      </c>
      <c r="B3735" s="3" t="s">
        <v>540</v>
      </c>
      <c r="C3735" s="3">
        <v>1.98</v>
      </c>
      <c r="D3735" s="3">
        <v>5</v>
      </c>
    </row>
    <row r="3736" spans="1:4" ht="12.75" x14ac:dyDescent="0.35">
      <c r="A3736" s="5">
        <v>44733</v>
      </c>
      <c r="B3736" s="3" t="s">
        <v>54</v>
      </c>
      <c r="C3736" s="3">
        <v>1.97</v>
      </c>
      <c r="D3736" s="3">
        <v>1</v>
      </c>
    </row>
    <row r="3737" spans="1:4" ht="12.75" x14ac:dyDescent="0.35">
      <c r="A3737" s="4">
        <v>44794</v>
      </c>
      <c r="B3737" s="3" t="s">
        <v>1621</v>
      </c>
      <c r="C3737" s="3">
        <v>1.97</v>
      </c>
      <c r="D3737" s="3">
        <v>1</v>
      </c>
    </row>
    <row r="3738" spans="1:4" ht="12.75" x14ac:dyDescent="0.35">
      <c r="A3738" s="4">
        <v>44825</v>
      </c>
      <c r="B3738" s="3" t="s">
        <v>1751</v>
      </c>
      <c r="C3738" s="3">
        <v>1.97</v>
      </c>
      <c r="D3738" s="3">
        <v>1</v>
      </c>
    </row>
    <row r="3739" spans="1:4" ht="12.75" x14ac:dyDescent="0.35">
      <c r="A3739" s="4">
        <v>44702</v>
      </c>
      <c r="B3739" s="3" t="s">
        <v>813</v>
      </c>
      <c r="C3739" s="3">
        <v>1.96</v>
      </c>
      <c r="D3739" s="3">
        <v>1</v>
      </c>
    </row>
    <row r="3740" spans="1:4" ht="12.75" x14ac:dyDescent="0.35">
      <c r="A3740" s="4">
        <v>44794</v>
      </c>
      <c r="B3740" s="3" t="s">
        <v>1305</v>
      </c>
      <c r="C3740" s="3">
        <v>1.96</v>
      </c>
      <c r="D3740" s="3">
        <v>1</v>
      </c>
    </row>
    <row r="3741" spans="1:4" ht="12.75" x14ac:dyDescent="0.35">
      <c r="A3741" s="4">
        <v>44825</v>
      </c>
      <c r="B3741" s="3" t="s">
        <v>1685</v>
      </c>
      <c r="C3741" s="3">
        <v>1.96</v>
      </c>
      <c r="D3741" s="3">
        <v>1</v>
      </c>
    </row>
    <row r="3742" spans="1:4" ht="12.75" x14ac:dyDescent="0.35">
      <c r="A3742" s="4">
        <v>44641</v>
      </c>
      <c r="B3742" s="3" t="s">
        <v>742</v>
      </c>
      <c r="C3742" s="3">
        <v>1.95</v>
      </c>
      <c r="D3742" s="3">
        <v>1</v>
      </c>
    </row>
    <row r="3743" spans="1:4" ht="12.75" x14ac:dyDescent="0.35">
      <c r="A3743" s="5">
        <v>44763</v>
      </c>
      <c r="B3743" s="3" t="s">
        <v>1098</v>
      </c>
      <c r="C3743" s="3">
        <v>1.95</v>
      </c>
      <c r="D3743" s="3">
        <v>1</v>
      </c>
    </row>
    <row r="3744" spans="1:4" ht="12.75" x14ac:dyDescent="0.35">
      <c r="A3744" s="4">
        <v>44825</v>
      </c>
      <c r="B3744" s="3" t="s">
        <v>1791</v>
      </c>
      <c r="C3744" s="3">
        <v>1.95</v>
      </c>
      <c r="D3744" s="3">
        <v>1</v>
      </c>
    </row>
    <row r="3745" spans="1:4" ht="12.75" x14ac:dyDescent="0.35">
      <c r="A3745" s="4">
        <v>44582</v>
      </c>
      <c r="B3745" s="3" t="s">
        <v>24</v>
      </c>
      <c r="C3745" s="3">
        <v>1.94</v>
      </c>
      <c r="D3745" s="3">
        <v>2</v>
      </c>
    </row>
    <row r="3746" spans="1:4" ht="12.75" x14ac:dyDescent="0.35">
      <c r="A3746" s="4">
        <v>44613</v>
      </c>
      <c r="B3746" s="3" t="s">
        <v>474</v>
      </c>
      <c r="C3746" s="3">
        <v>1.94</v>
      </c>
      <c r="D3746" s="3">
        <v>2</v>
      </c>
    </row>
    <row r="3747" spans="1:4" ht="12.75" x14ac:dyDescent="0.35">
      <c r="A3747" s="5">
        <v>44733</v>
      </c>
      <c r="B3747" s="3" t="s">
        <v>1198</v>
      </c>
      <c r="C3747" s="3">
        <v>1.94</v>
      </c>
      <c r="D3747" s="3">
        <v>1</v>
      </c>
    </row>
    <row r="3748" spans="1:4" ht="12.75" x14ac:dyDescent="0.35">
      <c r="A3748" s="4">
        <v>44825</v>
      </c>
      <c r="B3748" s="3" t="s">
        <v>1573</v>
      </c>
      <c r="C3748" s="3">
        <v>1.94</v>
      </c>
      <c r="D3748" s="3">
        <v>1</v>
      </c>
    </row>
    <row r="3749" spans="1:4" ht="12.75" x14ac:dyDescent="0.35">
      <c r="A3749" s="5">
        <v>44763</v>
      </c>
      <c r="B3749" s="3" t="s">
        <v>1377</v>
      </c>
      <c r="C3749" s="3">
        <v>1.93</v>
      </c>
      <c r="D3749" s="3">
        <v>2</v>
      </c>
    </row>
    <row r="3750" spans="1:4" ht="12.75" x14ac:dyDescent="0.35">
      <c r="A3750" s="4">
        <v>44794</v>
      </c>
      <c r="B3750" s="3" t="s">
        <v>496</v>
      </c>
      <c r="C3750" s="3">
        <v>1.93</v>
      </c>
      <c r="D3750" s="3">
        <v>4</v>
      </c>
    </row>
    <row r="3751" spans="1:4" ht="12.75" x14ac:dyDescent="0.35">
      <c r="A3751" s="4">
        <v>44794</v>
      </c>
      <c r="B3751" s="3" t="s">
        <v>302</v>
      </c>
      <c r="C3751" s="3">
        <v>1.92</v>
      </c>
      <c r="D3751" s="3">
        <v>1</v>
      </c>
    </row>
    <row r="3752" spans="1:4" ht="12.75" x14ac:dyDescent="0.35">
      <c r="A3752" s="4">
        <v>44825</v>
      </c>
      <c r="B3752" s="3" t="s">
        <v>1787</v>
      </c>
      <c r="C3752" s="3">
        <v>1.92</v>
      </c>
      <c r="D3752" s="3">
        <v>1</v>
      </c>
    </row>
    <row r="3753" spans="1:4" ht="12.75" x14ac:dyDescent="0.35">
      <c r="A3753" s="4">
        <v>44613</v>
      </c>
      <c r="B3753" s="3" t="s">
        <v>480</v>
      </c>
      <c r="C3753" s="3">
        <v>1.91</v>
      </c>
      <c r="D3753" s="3">
        <v>1</v>
      </c>
    </row>
    <row r="3754" spans="1:4" ht="12.75" x14ac:dyDescent="0.35">
      <c r="A3754" s="5">
        <v>44763</v>
      </c>
      <c r="B3754" s="3" t="s">
        <v>184</v>
      </c>
      <c r="C3754" s="3">
        <v>1.9</v>
      </c>
      <c r="D3754" s="3">
        <v>2</v>
      </c>
    </row>
    <row r="3755" spans="1:4" ht="12.75" x14ac:dyDescent="0.35">
      <c r="A3755" s="4">
        <v>44825</v>
      </c>
      <c r="B3755" s="3" t="s">
        <v>1611</v>
      </c>
      <c r="C3755" s="3">
        <v>1.9</v>
      </c>
      <c r="D3755" s="3">
        <v>1</v>
      </c>
    </row>
    <row r="3756" spans="1:4" ht="12.75" x14ac:dyDescent="0.35">
      <c r="A3756" s="4">
        <v>44702</v>
      </c>
      <c r="B3756" s="3" t="s">
        <v>956</v>
      </c>
      <c r="C3756" s="3">
        <v>1.89</v>
      </c>
      <c r="D3756" s="3">
        <v>1</v>
      </c>
    </row>
    <row r="3757" spans="1:4" ht="12.75" x14ac:dyDescent="0.35">
      <c r="A3757" s="5">
        <v>44733</v>
      </c>
      <c r="B3757" s="3" t="s">
        <v>1167</v>
      </c>
      <c r="C3757" s="3">
        <v>1.89</v>
      </c>
      <c r="D3757" s="3">
        <v>1</v>
      </c>
    </row>
    <row r="3758" spans="1:4" ht="12.75" x14ac:dyDescent="0.35">
      <c r="A3758" s="5">
        <v>44763</v>
      </c>
      <c r="B3758" s="3" t="s">
        <v>1496</v>
      </c>
      <c r="C3758" s="3">
        <v>1.89</v>
      </c>
      <c r="D3758" s="3">
        <v>1</v>
      </c>
    </row>
    <row r="3759" spans="1:4" ht="12.75" x14ac:dyDescent="0.35">
      <c r="A3759" s="4">
        <v>44794</v>
      </c>
      <c r="B3759" s="3" t="s">
        <v>1572</v>
      </c>
      <c r="C3759" s="3">
        <v>1.89</v>
      </c>
      <c r="D3759" s="3">
        <v>1</v>
      </c>
    </row>
    <row r="3760" spans="1:4" ht="12.75" x14ac:dyDescent="0.35">
      <c r="A3760" s="4">
        <v>44641</v>
      </c>
      <c r="B3760" s="3" t="s">
        <v>212</v>
      </c>
      <c r="C3760" s="3">
        <v>1.88</v>
      </c>
      <c r="D3760" s="3">
        <v>2</v>
      </c>
    </row>
    <row r="3761" spans="1:4" ht="12.75" x14ac:dyDescent="0.35">
      <c r="A3761" s="4">
        <v>44855</v>
      </c>
      <c r="B3761" s="3" t="s">
        <v>1110</v>
      </c>
      <c r="C3761" s="3">
        <v>1.88</v>
      </c>
      <c r="D3761" s="3">
        <v>1</v>
      </c>
    </row>
    <row r="3762" spans="1:4" ht="12.75" x14ac:dyDescent="0.35">
      <c r="A3762" s="5">
        <v>44733</v>
      </c>
      <c r="B3762" s="3" t="s">
        <v>966</v>
      </c>
      <c r="C3762" s="3">
        <v>1.87</v>
      </c>
      <c r="D3762" s="3">
        <v>1</v>
      </c>
    </row>
    <row r="3763" spans="1:4" ht="12.75" x14ac:dyDescent="0.35">
      <c r="A3763" s="4">
        <v>44825</v>
      </c>
      <c r="B3763" s="3" t="s">
        <v>623</v>
      </c>
      <c r="C3763" s="3">
        <v>1.87</v>
      </c>
      <c r="D3763" s="3">
        <v>1</v>
      </c>
    </row>
    <row r="3764" spans="1:4" ht="12.75" x14ac:dyDescent="0.35">
      <c r="A3764" s="4">
        <v>44794</v>
      </c>
      <c r="B3764" s="3" t="s">
        <v>1628</v>
      </c>
      <c r="C3764" s="3">
        <v>1.86</v>
      </c>
      <c r="D3764" s="3">
        <v>1</v>
      </c>
    </row>
    <row r="3765" spans="1:4" ht="12.75" x14ac:dyDescent="0.35">
      <c r="A3765" s="4">
        <v>44582</v>
      </c>
      <c r="B3765" s="3" t="s">
        <v>196</v>
      </c>
      <c r="C3765" s="3">
        <v>1.85</v>
      </c>
      <c r="D3765" s="3">
        <v>1</v>
      </c>
    </row>
    <row r="3766" spans="1:4" ht="12.75" x14ac:dyDescent="0.35">
      <c r="A3766" s="4">
        <v>44613</v>
      </c>
      <c r="B3766" s="3" t="s">
        <v>339</v>
      </c>
      <c r="C3766" s="3">
        <v>1.85</v>
      </c>
      <c r="D3766" s="3">
        <v>1</v>
      </c>
    </row>
    <row r="3767" spans="1:4" ht="12.75" x14ac:dyDescent="0.35">
      <c r="A3767" s="5">
        <v>44763</v>
      </c>
      <c r="B3767" s="3" t="s">
        <v>1550</v>
      </c>
      <c r="C3767" s="3">
        <v>1.85</v>
      </c>
      <c r="D3767" s="3">
        <v>1</v>
      </c>
    </row>
    <row r="3768" spans="1:4" ht="12.75" x14ac:dyDescent="0.35">
      <c r="A3768" s="4">
        <v>44672</v>
      </c>
      <c r="B3768" s="3" t="s">
        <v>888</v>
      </c>
      <c r="C3768" s="3">
        <v>1.84</v>
      </c>
      <c r="D3768" s="3">
        <v>1</v>
      </c>
    </row>
    <row r="3769" spans="1:4" ht="12.75" x14ac:dyDescent="0.35">
      <c r="A3769" s="4">
        <v>44794</v>
      </c>
      <c r="B3769" s="3" t="s">
        <v>351</v>
      </c>
      <c r="C3769" s="3">
        <v>1.84</v>
      </c>
      <c r="D3769" s="3">
        <v>3</v>
      </c>
    </row>
    <row r="3770" spans="1:4" ht="12.75" x14ac:dyDescent="0.35">
      <c r="A3770" s="4">
        <v>44825</v>
      </c>
      <c r="B3770" s="3" t="s">
        <v>1797</v>
      </c>
      <c r="C3770" s="3">
        <v>1.84</v>
      </c>
      <c r="D3770" s="3">
        <v>1</v>
      </c>
    </row>
    <row r="3771" spans="1:4" ht="12.75" x14ac:dyDescent="0.35">
      <c r="A3771" s="4">
        <v>44916</v>
      </c>
      <c r="B3771" s="3" t="s">
        <v>1850</v>
      </c>
      <c r="C3771" s="3">
        <v>1.84</v>
      </c>
      <c r="D3771" s="3">
        <v>1</v>
      </c>
    </row>
    <row r="3772" spans="1:4" ht="12.75" x14ac:dyDescent="0.35">
      <c r="A3772" s="4">
        <v>44702</v>
      </c>
      <c r="B3772" s="3" t="s">
        <v>922</v>
      </c>
      <c r="C3772" s="3">
        <v>1.83</v>
      </c>
      <c r="D3772" s="3">
        <v>1</v>
      </c>
    </row>
    <row r="3773" spans="1:4" ht="12.75" x14ac:dyDescent="0.35">
      <c r="A3773" s="5">
        <v>44763</v>
      </c>
      <c r="B3773" s="3" t="s">
        <v>1487</v>
      </c>
      <c r="C3773" s="3">
        <v>1.83</v>
      </c>
      <c r="D3773" s="3">
        <v>1</v>
      </c>
    </row>
    <row r="3774" spans="1:4" ht="12.75" x14ac:dyDescent="0.35">
      <c r="A3774" s="4">
        <v>44794</v>
      </c>
      <c r="B3774" s="3" t="s">
        <v>1632</v>
      </c>
      <c r="C3774" s="3">
        <v>1.83</v>
      </c>
      <c r="D3774" s="3">
        <v>1</v>
      </c>
    </row>
    <row r="3775" spans="1:4" ht="12.75" x14ac:dyDescent="0.35">
      <c r="A3775" s="4">
        <v>44886</v>
      </c>
      <c r="B3775" s="3" t="s">
        <v>927</v>
      </c>
      <c r="C3775" s="3">
        <v>1.83</v>
      </c>
      <c r="D3775" s="3">
        <v>1</v>
      </c>
    </row>
    <row r="3776" spans="1:4" ht="12.75" x14ac:dyDescent="0.35">
      <c r="A3776" s="5">
        <v>44733</v>
      </c>
      <c r="B3776" s="3" t="s">
        <v>28</v>
      </c>
      <c r="C3776" s="3">
        <v>1.82</v>
      </c>
      <c r="D3776" s="3">
        <v>1</v>
      </c>
    </row>
    <row r="3777" spans="1:4" ht="12.75" x14ac:dyDescent="0.35">
      <c r="A3777" s="5">
        <v>44763</v>
      </c>
      <c r="B3777" s="3" t="s">
        <v>1547</v>
      </c>
      <c r="C3777" s="3">
        <v>1.82</v>
      </c>
      <c r="D3777" s="3">
        <v>1</v>
      </c>
    </row>
    <row r="3778" spans="1:4" ht="12.75" x14ac:dyDescent="0.35">
      <c r="A3778" s="4">
        <v>44794</v>
      </c>
      <c r="B3778" s="3" t="s">
        <v>1652</v>
      </c>
      <c r="C3778" s="3">
        <v>1.82</v>
      </c>
      <c r="D3778" s="3">
        <v>1</v>
      </c>
    </row>
    <row r="3779" spans="1:4" ht="12.75" x14ac:dyDescent="0.35">
      <c r="A3779" s="4">
        <v>44855</v>
      </c>
      <c r="B3779" s="3" t="s">
        <v>489</v>
      </c>
      <c r="C3779" s="3">
        <v>1.82</v>
      </c>
      <c r="D3779" s="3">
        <v>2</v>
      </c>
    </row>
    <row r="3780" spans="1:4" ht="12.75" x14ac:dyDescent="0.35">
      <c r="A3780" s="4">
        <v>44582</v>
      </c>
      <c r="B3780" s="3" t="s">
        <v>186</v>
      </c>
      <c r="C3780" s="3">
        <v>1.81</v>
      </c>
      <c r="D3780" s="3">
        <v>2</v>
      </c>
    </row>
    <row r="3781" spans="1:4" ht="12.75" x14ac:dyDescent="0.35">
      <c r="A3781" s="5">
        <v>44763</v>
      </c>
      <c r="B3781" s="3" t="s">
        <v>961</v>
      </c>
      <c r="C3781" s="3">
        <v>1.81</v>
      </c>
      <c r="D3781" s="3">
        <v>2</v>
      </c>
    </row>
    <row r="3782" spans="1:4" ht="12.75" x14ac:dyDescent="0.35">
      <c r="A3782" s="4">
        <v>44613</v>
      </c>
      <c r="B3782" s="3" t="s">
        <v>527</v>
      </c>
      <c r="C3782" s="3">
        <v>1.8</v>
      </c>
      <c r="D3782" s="3">
        <v>1</v>
      </c>
    </row>
    <row r="3783" spans="1:4" ht="12.75" x14ac:dyDescent="0.35">
      <c r="A3783" s="4">
        <v>44702</v>
      </c>
      <c r="B3783" s="3" t="s">
        <v>764</v>
      </c>
      <c r="C3783" s="3">
        <v>1.8</v>
      </c>
      <c r="D3783" s="3">
        <v>1</v>
      </c>
    </row>
    <row r="3784" spans="1:4" ht="12.75" x14ac:dyDescent="0.35">
      <c r="A3784" s="5">
        <v>44733</v>
      </c>
      <c r="B3784" s="3" t="s">
        <v>1242</v>
      </c>
      <c r="C3784" s="3">
        <v>1.8</v>
      </c>
      <c r="D3784" s="3">
        <v>1</v>
      </c>
    </row>
    <row r="3785" spans="1:4" ht="12.75" x14ac:dyDescent="0.35">
      <c r="A3785" s="5">
        <v>44763</v>
      </c>
      <c r="B3785" s="3" t="s">
        <v>1485</v>
      </c>
      <c r="C3785" s="3">
        <v>1.8</v>
      </c>
      <c r="D3785" s="3">
        <v>1</v>
      </c>
    </row>
    <row r="3786" spans="1:4" ht="12.75" x14ac:dyDescent="0.35">
      <c r="A3786" s="4">
        <v>44794</v>
      </c>
      <c r="B3786" s="3" t="s">
        <v>1590</v>
      </c>
      <c r="C3786" s="3">
        <v>1.8</v>
      </c>
      <c r="D3786" s="3">
        <v>1</v>
      </c>
    </row>
    <row r="3787" spans="1:4" ht="12.75" x14ac:dyDescent="0.35">
      <c r="A3787" s="4">
        <v>44855</v>
      </c>
      <c r="B3787" s="3" t="s">
        <v>134</v>
      </c>
      <c r="C3787" s="3">
        <v>1.8</v>
      </c>
      <c r="D3787" s="3">
        <v>2</v>
      </c>
    </row>
    <row r="3788" spans="1:4" ht="12.75" x14ac:dyDescent="0.35">
      <c r="A3788" s="4">
        <v>44916</v>
      </c>
      <c r="B3788" s="3" t="s">
        <v>620</v>
      </c>
      <c r="C3788" s="3">
        <v>1.8</v>
      </c>
      <c r="D3788" s="3">
        <v>4</v>
      </c>
    </row>
    <row r="3789" spans="1:4" ht="12.75" x14ac:dyDescent="0.35">
      <c r="A3789" s="4">
        <v>44916</v>
      </c>
      <c r="B3789" s="3" t="s">
        <v>328</v>
      </c>
      <c r="C3789" s="3">
        <v>1.8</v>
      </c>
      <c r="D3789" s="3">
        <v>4</v>
      </c>
    </row>
    <row r="3790" spans="1:4" ht="12.75" x14ac:dyDescent="0.35">
      <c r="A3790" s="4">
        <v>44641</v>
      </c>
      <c r="B3790" s="3" t="s">
        <v>685</v>
      </c>
      <c r="C3790" s="3">
        <v>1.79</v>
      </c>
      <c r="D3790" s="3">
        <v>1</v>
      </c>
    </row>
    <row r="3791" spans="1:4" ht="12.75" x14ac:dyDescent="0.35">
      <c r="A3791" s="5">
        <v>44763</v>
      </c>
      <c r="B3791" s="3" t="s">
        <v>1379</v>
      </c>
      <c r="C3791" s="3">
        <v>1.79</v>
      </c>
      <c r="D3791" s="3">
        <v>1</v>
      </c>
    </row>
    <row r="3792" spans="1:4" ht="12.75" x14ac:dyDescent="0.35">
      <c r="A3792" s="5">
        <v>44763</v>
      </c>
      <c r="B3792" s="3" t="s">
        <v>1525</v>
      </c>
      <c r="C3792" s="3">
        <v>1.79</v>
      </c>
      <c r="D3792" s="3">
        <v>1</v>
      </c>
    </row>
    <row r="3793" spans="1:4" ht="12.75" x14ac:dyDescent="0.35">
      <c r="A3793" s="5">
        <v>44733</v>
      </c>
      <c r="B3793" s="3" t="s">
        <v>1451</v>
      </c>
      <c r="C3793" s="3">
        <v>1.77</v>
      </c>
      <c r="D3793" s="3">
        <v>1</v>
      </c>
    </row>
    <row r="3794" spans="1:4" ht="12.75" x14ac:dyDescent="0.35">
      <c r="A3794" s="5">
        <v>44763</v>
      </c>
      <c r="B3794" s="3" t="s">
        <v>884</v>
      </c>
      <c r="C3794" s="3">
        <v>1.77</v>
      </c>
      <c r="D3794" s="3">
        <v>1</v>
      </c>
    </row>
    <row r="3795" spans="1:4" ht="12.75" x14ac:dyDescent="0.35">
      <c r="A3795" s="4">
        <v>44582</v>
      </c>
      <c r="B3795" s="3" t="s">
        <v>25</v>
      </c>
      <c r="C3795" s="3">
        <v>1.76</v>
      </c>
      <c r="D3795" s="3">
        <v>3</v>
      </c>
    </row>
    <row r="3796" spans="1:4" ht="12.75" x14ac:dyDescent="0.35">
      <c r="A3796" s="4">
        <v>44672</v>
      </c>
      <c r="B3796" s="3" t="s">
        <v>89</v>
      </c>
      <c r="C3796" s="3">
        <v>1.76</v>
      </c>
      <c r="D3796" s="3">
        <v>1</v>
      </c>
    </row>
    <row r="3797" spans="1:4" ht="12.75" x14ac:dyDescent="0.35">
      <c r="A3797" s="5">
        <v>44763</v>
      </c>
      <c r="B3797" s="3" t="s">
        <v>1491</v>
      </c>
      <c r="C3797" s="3">
        <v>1.76</v>
      </c>
      <c r="D3797" s="3">
        <v>1</v>
      </c>
    </row>
    <row r="3798" spans="1:4" ht="12.75" x14ac:dyDescent="0.35">
      <c r="A3798" s="4">
        <v>44794</v>
      </c>
      <c r="B3798" s="3" t="s">
        <v>1680</v>
      </c>
      <c r="C3798" s="3">
        <v>1.76</v>
      </c>
      <c r="D3798" s="3">
        <v>1</v>
      </c>
    </row>
    <row r="3799" spans="1:4" ht="12.75" x14ac:dyDescent="0.35">
      <c r="A3799" s="4">
        <v>44825</v>
      </c>
      <c r="B3799" s="3" t="s">
        <v>1759</v>
      </c>
      <c r="C3799" s="3">
        <v>1.76</v>
      </c>
      <c r="D3799" s="3">
        <v>1</v>
      </c>
    </row>
    <row r="3800" spans="1:4" ht="12.75" x14ac:dyDescent="0.35">
      <c r="A3800" s="4">
        <v>44825</v>
      </c>
      <c r="B3800" s="3" t="s">
        <v>1767</v>
      </c>
      <c r="C3800" s="3">
        <v>1.75</v>
      </c>
      <c r="D3800" s="3">
        <v>1</v>
      </c>
    </row>
    <row r="3801" spans="1:4" ht="12.75" x14ac:dyDescent="0.35">
      <c r="A3801" s="4">
        <v>44886</v>
      </c>
      <c r="B3801" s="3" t="s">
        <v>783</v>
      </c>
      <c r="C3801" s="3">
        <v>1.75</v>
      </c>
      <c r="D3801" s="3">
        <v>1</v>
      </c>
    </row>
    <row r="3802" spans="1:4" ht="12.75" x14ac:dyDescent="0.35">
      <c r="A3802" s="4">
        <v>44916</v>
      </c>
      <c r="B3802" s="3" t="s">
        <v>1892</v>
      </c>
      <c r="C3802" s="3">
        <v>1.75</v>
      </c>
      <c r="D3802" s="3">
        <v>1</v>
      </c>
    </row>
    <row r="3803" spans="1:4" ht="12.75" x14ac:dyDescent="0.35">
      <c r="A3803" s="5">
        <v>44733</v>
      </c>
      <c r="B3803" s="3" t="s">
        <v>1193</v>
      </c>
      <c r="C3803" s="3">
        <v>1.74</v>
      </c>
      <c r="D3803" s="3">
        <v>1</v>
      </c>
    </row>
    <row r="3804" spans="1:4" ht="12.75" x14ac:dyDescent="0.35">
      <c r="A3804" s="5">
        <v>44763</v>
      </c>
      <c r="B3804" s="3" t="s">
        <v>1524</v>
      </c>
      <c r="C3804" s="3">
        <v>1.74</v>
      </c>
      <c r="D3804" s="3">
        <v>1</v>
      </c>
    </row>
    <row r="3805" spans="1:4" ht="12.75" x14ac:dyDescent="0.35">
      <c r="A3805" s="5">
        <v>44763</v>
      </c>
      <c r="B3805" s="3" t="s">
        <v>1540</v>
      </c>
      <c r="C3805" s="3">
        <v>1.74</v>
      </c>
      <c r="D3805" s="3">
        <v>1</v>
      </c>
    </row>
    <row r="3806" spans="1:4" ht="12.75" x14ac:dyDescent="0.35">
      <c r="A3806" s="4">
        <v>44855</v>
      </c>
      <c r="B3806" s="3" t="s">
        <v>11</v>
      </c>
      <c r="C3806" s="3">
        <v>1.74</v>
      </c>
      <c r="D3806" s="3">
        <v>2</v>
      </c>
    </row>
    <row r="3807" spans="1:4" ht="12.75" x14ac:dyDescent="0.35">
      <c r="A3807" s="4">
        <v>44613</v>
      </c>
      <c r="B3807" s="3" t="s">
        <v>552</v>
      </c>
      <c r="C3807" s="3">
        <v>1.73</v>
      </c>
      <c r="D3807" s="3">
        <v>1</v>
      </c>
    </row>
    <row r="3808" spans="1:4" ht="12.75" x14ac:dyDescent="0.35">
      <c r="A3808" s="4">
        <v>44641</v>
      </c>
      <c r="B3808" s="3" t="s">
        <v>714</v>
      </c>
      <c r="C3808" s="3">
        <v>1.73</v>
      </c>
      <c r="D3808" s="3">
        <v>1</v>
      </c>
    </row>
    <row r="3809" spans="1:4" ht="12.75" x14ac:dyDescent="0.35">
      <c r="A3809" s="4">
        <v>44702</v>
      </c>
      <c r="B3809" s="3" t="s">
        <v>53</v>
      </c>
      <c r="C3809" s="3">
        <v>1.73</v>
      </c>
      <c r="D3809" s="3">
        <v>1</v>
      </c>
    </row>
    <row r="3810" spans="1:4" ht="12.75" x14ac:dyDescent="0.35">
      <c r="A3810" s="5">
        <v>44733</v>
      </c>
      <c r="B3810" s="3" t="s">
        <v>1303</v>
      </c>
      <c r="C3810" s="3">
        <v>1.73</v>
      </c>
      <c r="D3810" s="3">
        <v>1</v>
      </c>
    </row>
    <row r="3811" spans="1:4" ht="12.75" x14ac:dyDescent="0.35">
      <c r="A3811" s="4">
        <v>44794</v>
      </c>
      <c r="B3811" s="3" t="s">
        <v>1720</v>
      </c>
      <c r="C3811" s="3">
        <v>1.73</v>
      </c>
      <c r="D3811" s="3">
        <v>1</v>
      </c>
    </row>
    <row r="3812" spans="1:4" ht="12.75" x14ac:dyDescent="0.35">
      <c r="A3812" s="4">
        <v>44825</v>
      </c>
      <c r="B3812" s="3" t="s">
        <v>1795</v>
      </c>
      <c r="C3812" s="3">
        <v>1.73</v>
      </c>
      <c r="D3812" s="3">
        <v>1</v>
      </c>
    </row>
    <row r="3813" spans="1:4" ht="12.75" x14ac:dyDescent="0.35">
      <c r="A3813" s="4">
        <v>44641</v>
      </c>
      <c r="B3813" s="3" t="s">
        <v>731</v>
      </c>
      <c r="C3813" s="3">
        <v>1.72</v>
      </c>
      <c r="D3813" s="3">
        <v>1</v>
      </c>
    </row>
    <row r="3814" spans="1:4" ht="12.75" x14ac:dyDescent="0.35">
      <c r="A3814" s="5">
        <v>44733</v>
      </c>
      <c r="B3814" s="3" t="s">
        <v>1234</v>
      </c>
      <c r="C3814" s="3">
        <v>1.71</v>
      </c>
      <c r="D3814" s="3">
        <v>1</v>
      </c>
    </row>
    <row r="3815" spans="1:4" ht="12.75" x14ac:dyDescent="0.35">
      <c r="A3815" s="4">
        <v>44794</v>
      </c>
      <c r="B3815" s="3" t="s">
        <v>1599</v>
      </c>
      <c r="C3815" s="3">
        <v>1.71</v>
      </c>
      <c r="D3815" s="3">
        <v>1</v>
      </c>
    </row>
    <row r="3816" spans="1:4" ht="12.75" x14ac:dyDescent="0.35">
      <c r="A3816" s="4">
        <v>44886</v>
      </c>
      <c r="B3816" s="3" t="s">
        <v>1008</v>
      </c>
      <c r="C3816" s="3">
        <v>1.71</v>
      </c>
      <c r="D3816" s="3">
        <v>1</v>
      </c>
    </row>
    <row r="3817" spans="1:4" ht="12.75" x14ac:dyDescent="0.35">
      <c r="A3817" s="5">
        <v>44763</v>
      </c>
      <c r="B3817" s="3" t="s">
        <v>746</v>
      </c>
      <c r="C3817" s="3">
        <v>1.7</v>
      </c>
      <c r="D3817" s="3">
        <v>1</v>
      </c>
    </row>
    <row r="3818" spans="1:4" ht="12.75" x14ac:dyDescent="0.35">
      <c r="A3818" s="4">
        <v>44794</v>
      </c>
      <c r="B3818" s="3" t="s">
        <v>1533</v>
      </c>
      <c r="C3818" s="3">
        <v>1.7</v>
      </c>
      <c r="D3818" s="3">
        <v>1</v>
      </c>
    </row>
    <row r="3819" spans="1:4" ht="12.75" x14ac:dyDescent="0.35">
      <c r="A3819" s="4">
        <v>44886</v>
      </c>
      <c r="B3819" s="3" t="s">
        <v>1613</v>
      </c>
      <c r="C3819" s="3">
        <v>1.7</v>
      </c>
      <c r="D3819" s="3">
        <v>1</v>
      </c>
    </row>
    <row r="3820" spans="1:4" ht="12.75" x14ac:dyDescent="0.35">
      <c r="A3820" s="5">
        <v>44733</v>
      </c>
      <c r="B3820" s="3" t="s">
        <v>840</v>
      </c>
      <c r="C3820" s="3">
        <v>1.69</v>
      </c>
      <c r="D3820" s="3">
        <v>1</v>
      </c>
    </row>
    <row r="3821" spans="1:4" ht="12.75" x14ac:dyDescent="0.35">
      <c r="A3821" s="5">
        <v>44763</v>
      </c>
      <c r="B3821" s="3" t="s">
        <v>704</v>
      </c>
      <c r="C3821" s="3">
        <v>1.68</v>
      </c>
      <c r="D3821" s="3">
        <v>4</v>
      </c>
    </row>
    <row r="3822" spans="1:4" ht="12.75" x14ac:dyDescent="0.35">
      <c r="A3822" s="4">
        <v>44641</v>
      </c>
      <c r="B3822" s="3" t="s">
        <v>669</v>
      </c>
      <c r="C3822" s="3">
        <v>1.67</v>
      </c>
      <c r="D3822" s="3">
        <v>1</v>
      </c>
    </row>
    <row r="3823" spans="1:4" ht="12.75" x14ac:dyDescent="0.35">
      <c r="A3823" s="5">
        <v>44733</v>
      </c>
      <c r="B3823" s="3" t="s">
        <v>1402</v>
      </c>
      <c r="C3823" s="3">
        <v>1.67</v>
      </c>
      <c r="D3823" s="3">
        <v>1</v>
      </c>
    </row>
    <row r="3824" spans="1:4" ht="12.75" x14ac:dyDescent="0.35">
      <c r="A3824" s="4">
        <v>44794</v>
      </c>
      <c r="B3824" s="3" t="s">
        <v>1688</v>
      </c>
      <c r="C3824" s="3">
        <v>1.67</v>
      </c>
      <c r="D3824" s="3">
        <v>1</v>
      </c>
    </row>
    <row r="3825" spans="1:4" ht="12.75" x14ac:dyDescent="0.35">
      <c r="A3825" s="4">
        <v>44825</v>
      </c>
      <c r="B3825" s="3" t="s">
        <v>532</v>
      </c>
      <c r="C3825" s="3">
        <v>1.67</v>
      </c>
      <c r="D3825" s="3">
        <v>1</v>
      </c>
    </row>
    <row r="3826" spans="1:4" ht="12.75" x14ac:dyDescent="0.35">
      <c r="A3826" s="4">
        <v>44916</v>
      </c>
      <c r="B3826" s="3" t="s">
        <v>1929</v>
      </c>
      <c r="C3826" s="3">
        <v>1.66</v>
      </c>
      <c r="D3826" s="3">
        <v>1</v>
      </c>
    </row>
    <row r="3827" spans="1:4" ht="12.75" x14ac:dyDescent="0.35">
      <c r="A3827" s="4">
        <v>44702</v>
      </c>
      <c r="B3827" s="3" t="s">
        <v>418</v>
      </c>
      <c r="C3827" s="3">
        <v>1.65</v>
      </c>
      <c r="D3827" s="3">
        <v>1</v>
      </c>
    </row>
    <row r="3828" spans="1:4" ht="12.75" x14ac:dyDescent="0.35">
      <c r="A3828" s="5">
        <v>44733</v>
      </c>
      <c r="B3828" s="3" t="s">
        <v>1355</v>
      </c>
      <c r="C3828" s="3">
        <v>1.65</v>
      </c>
      <c r="D3828" s="3">
        <v>1</v>
      </c>
    </row>
    <row r="3829" spans="1:4" ht="12.75" x14ac:dyDescent="0.35">
      <c r="A3829" s="5">
        <v>44763</v>
      </c>
      <c r="B3829" s="3" t="s">
        <v>768</v>
      </c>
      <c r="C3829" s="3">
        <v>1.65</v>
      </c>
      <c r="D3829" s="3">
        <v>1</v>
      </c>
    </row>
    <row r="3830" spans="1:4" ht="12.75" x14ac:dyDescent="0.35">
      <c r="A3830" s="4">
        <v>44794</v>
      </c>
      <c r="B3830" s="3" t="s">
        <v>1648</v>
      </c>
      <c r="C3830" s="3">
        <v>1.65</v>
      </c>
      <c r="D3830" s="3">
        <v>1</v>
      </c>
    </row>
    <row r="3831" spans="1:4" ht="12.75" x14ac:dyDescent="0.35">
      <c r="A3831" s="4">
        <v>44825</v>
      </c>
      <c r="B3831" s="3" t="s">
        <v>1756</v>
      </c>
      <c r="C3831" s="3">
        <v>1.65</v>
      </c>
      <c r="D3831" s="3">
        <v>1</v>
      </c>
    </row>
    <row r="3832" spans="1:4" ht="12.75" x14ac:dyDescent="0.35">
      <c r="A3832" s="5">
        <v>44733</v>
      </c>
      <c r="B3832" s="3" t="s">
        <v>1344</v>
      </c>
      <c r="C3832" s="3">
        <v>1.64</v>
      </c>
      <c r="D3832" s="3">
        <v>1</v>
      </c>
    </row>
    <row r="3833" spans="1:4" ht="12.75" x14ac:dyDescent="0.35">
      <c r="A3833" s="5">
        <v>44763</v>
      </c>
      <c r="B3833" s="3" t="s">
        <v>1480</v>
      </c>
      <c r="C3833" s="3">
        <v>1.64</v>
      </c>
      <c r="D3833" s="3">
        <v>1</v>
      </c>
    </row>
    <row r="3834" spans="1:4" ht="12.75" x14ac:dyDescent="0.35">
      <c r="A3834" s="4">
        <v>44794</v>
      </c>
      <c r="B3834" s="3" t="s">
        <v>622</v>
      </c>
      <c r="C3834" s="3">
        <v>1.64</v>
      </c>
      <c r="D3834" s="3">
        <v>4</v>
      </c>
    </row>
    <row r="3835" spans="1:4" ht="12.75" x14ac:dyDescent="0.35">
      <c r="A3835" s="4">
        <v>44916</v>
      </c>
      <c r="B3835" s="3" t="s">
        <v>1945</v>
      </c>
      <c r="C3835" s="3">
        <v>1.64</v>
      </c>
      <c r="D3835" s="3">
        <v>1</v>
      </c>
    </row>
    <row r="3836" spans="1:4" ht="12.75" x14ac:dyDescent="0.35">
      <c r="A3836" s="4">
        <v>44641</v>
      </c>
      <c r="B3836" s="3" t="s">
        <v>82</v>
      </c>
      <c r="C3836" s="3">
        <v>1.63</v>
      </c>
      <c r="D3836" s="3">
        <v>3</v>
      </c>
    </row>
    <row r="3837" spans="1:4" ht="12.75" x14ac:dyDescent="0.35">
      <c r="A3837" s="4">
        <v>44582</v>
      </c>
      <c r="B3837" s="3" t="s">
        <v>252</v>
      </c>
      <c r="C3837" s="3">
        <v>1.62</v>
      </c>
      <c r="D3837" s="3">
        <v>1</v>
      </c>
    </row>
    <row r="3838" spans="1:4" ht="12.75" x14ac:dyDescent="0.35">
      <c r="A3838" s="5">
        <v>44733</v>
      </c>
      <c r="B3838" s="3" t="s">
        <v>1122</v>
      </c>
      <c r="C3838" s="3">
        <v>1.62</v>
      </c>
      <c r="D3838" s="3">
        <v>1</v>
      </c>
    </row>
    <row r="3839" spans="1:4" ht="12.75" x14ac:dyDescent="0.35">
      <c r="A3839" s="5">
        <v>44763</v>
      </c>
      <c r="B3839" s="3" t="s">
        <v>1200</v>
      </c>
      <c r="C3839" s="3">
        <v>1.62</v>
      </c>
      <c r="D3839" s="3">
        <v>1</v>
      </c>
    </row>
    <row r="3840" spans="1:4" ht="12.75" x14ac:dyDescent="0.35">
      <c r="A3840" s="4">
        <v>44855</v>
      </c>
      <c r="B3840" s="3" t="s">
        <v>1808</v>
      </c>
      <c r="C3840" s="3">
        <v>1.62</v>
      </c>
      <c r="D3840" s="3">
        <v>1</v>
      </c>
    </row>
    <row r="3841" spans="1:4" ht="12.75" x14ac:dyDescent="0.35">
      <c r="A3841" s="4">
        <v>44672</v>
      </c>
      <c r="B3841" s="3" t="s">
        <v>859</v>
      </c>
      <c r="C3841" s="3">
        <v>1.61</v>
      </c>
      <c r="D3841" s="3">
        <v>1</v>
      </c>
    </row>
    <row r="3842" spans="1:4" ht="12.75" x14ac:dyDescent="0.35">
      <c r="A3842" s="4">
        <v>44855</v>
      </c>
      <c r="B3842" s="3" t="s">
        <v>1108</v>
      </c>
      <c r="C3842" s="3">
        <v>1.61</v>
      </c>
      <c r="D3842" s="3">
        <v>1</v>
      </c>
    </row>
    <row r="3843" spans="1:4" ht="12.75" x14ac:dyDescent="0.35">
      <c r="A3843" s="4">
        <v>44916</v>
      </c>
      <c r="B3843" s="3" t="s">
        <v>1774</v>
      </c>
      <c r="C3843" s="3">
        <v>1.61</v>
      </c>
      <c r="D3843" s="3">
        <v>2</v>
      </c>
    </row>
    <row r="3844" spans="1:4" ht="12.75" x14ac:dyDescent="0.35">
      <c r="A3844" s="4">
        <v>44613</v>
      </c>
      <c r="B3844" s="3" t="s">
        <v>346</v>
      </c>
      <c r="C3844" s="3">
        <v>1.6</v>
      </c>
      <c r="D3844" s="3">
        <v>1</v>
      </c>
    </row>
    <row r="3845" spans="1:4" ht="12.75" x14ac:dyDescent="0.35">
      <c r="A3845" s="4">
        <v>44886</v>
      </c>
      <c r="B3845" s="3" t="s">
        <v>967</v>
      </c>
      <c r="C3845" s="3">
        <v>1.6</v>
      </c>
      <c r="D3845" s="3">
        <v>1</v>
      </c>
    </row>
    <row r="3846" spans="1:4" ht="12.75" x14ac:dyDescent="0.35">
      <c r="A3846" s="4">
        <v>44916</v>
      </c>
      <c r="B3846" s="3" t="s">
        <v>559</v>
      </c>
      <c r="C3846" s="3">
        <v>1.6</v>
      </c>
      <c r="D3846" s="3">
        <v>2</v>
      </c>
    </row>
    <row r="3847" spans="1:4" ht="12.75" x14ac:dyDescent="0.35">
      <c r="A3847" s="5">
        <v>44763</v>
      </c>
      <c r="B3847" s="3" t="s">
        <v>1535</v>
      </c>
      <c r="C3847" s="3">
        <v>1.59</v>
      </c>
      <c r="D3847" s="3">
        <v>1</v>
      </c>
    </row>
    <row r="3848" spans="1:4" ht="12.75" x14ac:dyDescent="0.35">
      <c r="A3848" s="5">
        <v>44733</v>
      </c>
      <c r="B3848" s="3" t="s">
        <v>1209</v>
      </c>
      <c r="C3848" s="3">
        <v>1.58</v>
      </c>
      <c r="D3848" s="3">
        <v>1</v>
      </c>
    </row>
    <row r="3849" spans="1:4" ht="12.75" x14ac:dyDescent="0.35">
      <c r="A3849" s="5">
        <v>44733</v>
      </c>
      <c r="B3849" s="3" t="s">
        <v>1295</v>
      </c>
      <c r="C3849" s="3">
        <v>1.58</v>
      </c>
      <c r="D3849" s="3">
        <v>1</v>
      </c>
    </row>
    <row r="3850" spans="1:4" ht="12.75" x14ac:dyDescent="0.35">
      <c r="A3850" s="5">
        <v>44733</v>
      </c>
      <c r="B3850" s="3" t="s">
        <v>1457</v>
      </c>
      <c r="C3850" s="3">
        <v>1.58</v>
      </c>
      <c r="D3850" s="3">
        <v>1</v>
      </c>
    </row>
    <row r="3851" spans="1:4" ht="12.75" x14ac:dyDescent="0.35">
      <c r="A3851" s="4">
        <v>44916</v>
      </c>
      <c r="B3851" s="3" t="s">
        <v>1915</v>
      </c>
      <c r="C3851" s="3">
        <v>1.58</v>
      </c>
      <c r="D3851" s="3">
        <v>1</v>
      </c>
    </row>
    <row r="3852" spans="1:4" ht="12.75" x14ac:dyDescent="0.35">
      <c r="A3852" s="4">
        <v>44613</v>
      </c>
      <c r="B3852" s="3" t="s">
        <v>575</v>
      </c>
      <c r="C3852" s="3">
        <v>1.57</v>
      </c>
      <c r="D3852" s="3">
        <v>1</v>
      </c>
    </row>
    <row r="3853" spans="1:4" ht="12.75" x14ac:dyDescent="0.35">
      <c r="A3853" s="4">
        <v>44641</v>
      </c>
      <c r="B3853" s="3" t="s">
        <v>659</v>
      </c>
      <c r="C3853" s="3">
        <v>1.57</v>
      </c>
      <c r="D3853" s="3">
        <v>1</v>
      </c>
    </row>
    <row r="3854" spans="1:4" ht="12.75" x14ac:dyDescent="0.35">
      <c r="A3854" s="4">
        <v>44672</v>
      </c>
      <c r="B3854" s="3" t="s">
        <v>463</v>
      </c>
      <c r="C3854" s="3">
        <v>1.57</v>
      </c>
      <c r="D3854" s="3">
        <v>1</v>
      </c>
    </row>
    <row r="3855" spans="1:4" ht="12.75" x14ac:dyDescent="0.35">
      <c r="A3855" s="5">
        <v>44733</v>
      </c>
      <c r="B3855" s="3" t="s">
        <v>1298</v>
      </c>
      <c r="C3855" s="3">
        <v>1.57</v>
      </c>
      <c r="D3855" s="3">
        <v>1</v>
      </c>
    </row>
    <row r="3856" spans="1:4" ht="12.75" x14ac:dyDescent="0.35">
      <c r="A3856" s="5">
        <v>44733</v>
      </c>
      <c r="B3856" s="3" t="s">
        <v>835</v>
      </c>
      <c r="C3856" s="3">
        <v>1.57</v>
      </c>
      <c r="D3856" s="3">
        <v>2</v>
      </c>
    </row>
    <row r="3857" spans="1:4" ht="12.75" x14ac:dyDescent="0.35">
      <c r="A3857" s="4">
        <v>44886</v>
      </c>
      <c r="B3857" s="3" t="s">
        <v>1336</v>
      </c>
      <c r="C3857" s="3">
        <v>1.57</v>
      </c>
      <c r="D3857" s="3">
        <v>1</v>
      </c>
    </row>
    <row r="3858" spans="1:4" ht="12.75" x14ac:dyDescent="0.35">
      <c r="A3858" s="4">
        <v>44855</v>
      </c>
      <c r="B3858" s="3" t="s">
        <v>594</v>
      </c>
      <c r="C3858" s="3">
        <v>1.56</v>
      </c>
      <c r="D3858" s="3">
        <v>4</v>
      </c>
    </row>
    <row r="3859" spans="1:4" ht="12.75" x14ac:dyDescent="0.35">
      <c r="A3859" s="4">
        <v>44582</v>
      </c>
      <c r="B3859" s="3" t="s">
        <v>105</v>
      </c>
      <c r="C3859" s="3">
        <v>1.55</v>
      </c>
      <c r="D3859" s="3">
        <v>1</v>
      </c>
    </row>
    <row r="3860" spans="1:4" ht="12.75" x14ac:dyDescent="0.35">
      <c r="A3860" s="5">
        <v>44763</v>
      </c>
      <c r="B3860" s="3" t="s">
        <v>1522</v>
      </c>
      <c r="C3860" s="3">
        <v>1.55</v>
      </c>
      <c r="D3860" s="3">
        <v>1</v>
      </c>
    </row>
    <row r="3861" spans="1:4" ht="12.75" x14ac:dyDescent="0.35">
      <c r="A3861" s="4">
        <v>44794</v>
      </c>
      <c r="B3861" s="3" t="s">
        <v>1564</v>
      </c>
      <c r="C3861" s="3">
        <v>1.55</v>
      </c>
      <c r="D3861" s="3">
        <v>1</v>
      </c>
    </row>
    <row r="3862" spans="1:4" ht="12.75" x14ac:dyDescent="0.35">
      <c r="A3862" s="4">
        <v>44916</v>
      </c>
      <c r="B3862" s="3" t="s">
        <v>1522</v>
      </c>
      <c r="C3862" s="3">
        <v>1.55</v>
      </c>
      <c r="D3862" s="3">
        <v>1</v>
      </c>
    </row>
    <row r="3863" spans="1:4" ht="12.75" x14ac:dyDescent="0.35">
      <c r="A3863" s="4">
        <v>44613</v>
      </c>
      <c r="B3863" s="3" t="s">
        <v>476</v>
      </c>
      <c r="C3863" s="3">
        <v>1.53</v>
      </c>
      <c r="D3863" s="3">
        <v>2</v>
      </c>
    </row>
    <row r="3864" spans="1:4" ht="12.75" x14ac:dyDescent="0.35">
      <c r="A3864" s="5">
        <v>44763</v>
      </c>
      <c r="B3864" s="3" t="s">
        <v>1390</v>
      </c>
      <c r="C3864" s="3">
        <v>1.53</v>
      </c>
      <c r="D3864" s="3">
        <v>1</v>
      </c>
    </row>
    <row r="3865" spans="1:4" ht="12.75" x14ac:dyDescent="0.35">
      <c r="A3865" s="4">
        <v>44886</v>
      </c>
      <c r="B3865" s="3" t="s">
        <v>908</v>
      </c>
      <c r="C3865" s="3">
        <v>1.53</v>
      </c>
      <c r="D3865" s="3">
        <v>1</v>
      </c>
    </row>
    <row r="3866" spans="1:4" ht="12.75" x14ac:dyDescent="0.35">
      <c r="A3866" s="4">
        <v>44672</v>
      </c>
      <c r="B3866" s="3" t="s">
        <v>511</v>
      </c>
      <c r="C3866" s="3">
        <v>1.52</v>
      </c>
      <c r="D3866" s="3">
        <v>1</v>
      </c>
    </row>
    <row r="3867" spans="1:4" ht="12.75" x14ac:dyDescent="0.35">
      <c r="A3867" s="5">
        <v>44733</v>
      </c>
      <c r="B3867" s="3" t="s">
        <v>601</v>
      </c>
      <c r="C3867" s="3">
        <v>1.52</v>
      </c>
      <c r="D3867" s="3">
        <v>1</v>
      </c>
    </row>
    <row r="3868" spans="1:4" ht="12.75" x14ac:dyDescent="0.35">
      <c r="A3868" s="5">
        <v>44733</v>
      </c>
      <c r="B3868" s="3" t="s">
        <v>1397</v>
      </c>
      <c r="C3868" s="3">
        <v>1.52</v>
      </c>
      <c r="D3868" s="3">
        <v>2</v>
      </c>
    </row>
    <row r="3869" spans="1:4" ht="12.75" x14ac:dyDescent="0.35">
      <c r="A3869" s="4">
        <v>44582</v>
      </c>
      <c r="B3869" s="3" t="s">
        <v>102</v>
      </c>
      <c r="C3869" s="3">
        <v>1.51</v>
      </c>
      <c r="D3869" s="3">
        <v>3</v>
      </c>
    </row>
    <row r="3870" spans="1:4" ht="12.75" x14ac:dyDescent="0.35">
      <c r="A3870" s="5">
        <v>44733</v>
      </c>
      <c r="B3870" s="3" t="s">
        <v>186</v>
      </c>
      <c r="C3870" s="3">
        <v>1.51</v>
      </c>
      <c r="D3870" s="3">
        <v>2</v>
      </c>
    </row>
    <row r="3871" spans="1:4" ht="12.75" x14ac:dyDescent="0.35">
      <c r="A3871" s="5">
        <v>44763</v>
      </c>
      <c r="B3871" s="3" t="s">
        <v>758</v>
      </c>
      <c r="C3871" s="3">
        <v>1.51</v>
      </c>
      <c r="D3871" s="3">
        <v>1</v>
      </c>
    </row>
    <row r="3872" spans="1:4" ht="12.75" x14ac:dyDescent="0.35">
      <c r="A3872" s="4">
        <v>44641</v>
      </c>
      <c r="B3872" s="3" t="s">
        <v>670</v>
      </c>
      <c r="C3872" s="3">
        <v>1.5</v>
      </c>
      <c r="D3872" s="3">
        <v>1</v>
      </c>
    </row>
    <row r="3873" spans="1:4" ht="12.75" x14ac:dyDescent="0.35">
      <c r="A3873" s="4">
        <v>44794</v>
      </c>
      <c r="B3873" s="3" t="s">
        <v>1627</v>
      </c>
      <c r="C3873" s="3">
        <v>1.5</v>
      </c>
      <c r="D3873" s="3">
        <v>1</v>
      </c>
    </row>
    <row r="3874" spans="1:4" ht="12.75" x14ac:dyDescent="0.35">
      <c r="A3874" s="4">
        <v>44825</v>
      </c>
      <c r="B3874" s="3" t="s">
        <v>1739</v>
      </c>
      <c r="C3874" s="3">
        <v>1.5</v>
      </c>
      <c r="D3874" s="3">
        <v>1</v>
      </c>
    </row>
    <row r="3875" spans="1:4" ht="12.75" x14ac:dyDescent="0.35">
      <c r="A3875" s="4">
        <v>44825</v>
      </c>
      <c r="B3875" s="3" t="s">
        <v>1783</v>
      </c>
      <c r="C3875" s="3">
        <v>1.5</v>
      </c>
      <c r="D3875" s="3">
        <v>1</v>
      </c>
    </row>
    <row r="3876" spans="1:4" ht="12.75" x14ac:dyDescent="0.35">
      <c r="A3876" s="5">
        <v>44763</v>
      </c>
      <c r="B3876" s="3" t="s">
        <v>1539</v>
      </c>
      <c r="C3876" s="3">
        <v>1.49</v>
      </c>
      <c r="D3876" s="3">
        <v>1</v>
      </c>
    </row>
    <row r="3877" spans="1:4" ht="12.75" x14ac:dyDescent="0.35">
      <c r="A3877" s="4">
        <v>44794</v>
      </c>
      <c r="B3877" s="3" t="s">
        <v>1108</v>
      </c>
      <c r="C3877" s="3">
        <v>1.49</v>
      </c>
      <c r="D3877" s="3">
        <v>1</v>
      </c>
    </row>
    <row r="3878" spans="1:4" ht="12.75" x14ac:dyDescent="0.35">
      <c r="A3878" s="4">
        <v>44582</v>
      </c>
      <c r="B3878" s="3" t="s">
        <v>313</v>
      </c>
      <c r="C3878" s="3">
        <v>1.48</v>
      </c>
      <c r="D3878" s="3">
        <v>2</v>
      </c>
    </row>
    <row r="3879" spans="1:4" ht="12.75" x14ac:dyDescent="0.35">
      <c r="A3879" s="5">
        <v>44733</v>
      </c>
      <c r="B3879" s="3" t="s">
        <v>564</v>
      </c>
      <c r="C3879" s="3">
        <v>1.48</v>
      </c>
      <c r="D3879" s="3">
        <v>1</v>
      </c>
    </row>
    <row r="3880" spans="1:4" ht="12.75" x14ac:dyDescent="0.35">
      <c r="A3880" s="5">
        <v>44733</v>
      </c>
      <c r="B3880" s="3" t="s">
        <v>1078</v>
      </c>
      <c r="C3880" s="3">
        <v>1.46</v>
      </c>
      <c r="D3880" s="3">
        <v>2</v>
      </c>
    </row>
    <row r="3881" spans="1:4" ht="12.75" x14ac:dyDescent="0.35">
      <c r="A3881" s="5">
        <v>44763</v>
      </c>
      <c r="B3881" s="3" t="s">
        <v>1201</v>
      </c>
      <c r="C3881" s="3">
        <v>1.46</v>
      </c>
      <c r="D3881" s="3">
        <v>1</v>
      </c>
    </row>
    <row r="3882" spans="1:4" ht="12.75" x14ac:dyDescent="0.35">
      <c r="A3882" s="4">
        <v>44613</v>
      </c>
      <c r="B3882" s="3" t="s">
        <v>553</v>
      </c>
      <c r="C3882" s="3">
        <v>1.45</v>
      </c>
      <c r="D3882" s="3">
        <v>1</v>
      </c>
    </row>
    <row r="3883" spans="1:4" ht="12.75" x14ac:dyDescent="0.35">
      <c r="A3883" s="4">
        <v>44641</v>
      </c>
      <c r="B3883" s="3" t="s">
        <v>793</v>
      </c>
      <c r="C3883" s="3">
        <v>1.45</v>
      </c>
      <c r="D3883" s="3">
        <v>1</v>
      </c>
    </row>
    <row r="3884" spans="1:4" ht="12.75" x14ac:dyDescent="0.35">
      <c r="A3884" s="5">
        <v>44733</v>
      </c>
      <c r="B3884" s="3" t="s">
        <v>694</v>
      </c>
      <c r="C3884" s="3">
        <v>1.45</v>
      </c>
      <c r="D3884" s="3">
        <v>1</v>
      </c>
    </row>
    <row r="3885" spans="1:4" ht="12.75" x14ac:dyDescent="0.35">
      <c r="A3885" s="4">
        <v>44794</v>
      </c>
      <c r="B3885" s="3" t="s">
        <v>1666</v>
      </c>
      <c r="C3885" s="3">
        <v>1.45</v>
      </c>
      <c r="D3885" s="3">
        <v>1</v>
      </c>
    </row>
    <row r="3886" spans="1:4" ht="12.75" x14ac:dyDescent="0.35">
      <c r="A3886" s="4">
        <v>44702</v>
      </c>
      <c r="B3886" s="3" t="s">
        <v>1163</v>
      </c>
      <c r="C3886" s="3">
        <v>1.44</v>
      </c>
      <c r="D3886" s="3">
        <v>3</v>
      </c>
    </row>
    <row r="3887" spans="1:4" ht="12.75" x14ac:dyDescent="0.35">
      <c r="A3887" s="5">
        <v>44763</v>
      </c>
      <c r="B3887" s="3" t="s">
        <v>194</v>
      </c>
      <c r="C3887" s="3">
        <v>1.44</v>
      </c>
      <c r="D3887" s="3">
        <v>6</v>
      </c>
    </row>
    <row r="3888" spans="1:4" ht="12.75" x14ac:dyDescent="0.35">
      <c r="A3888" s="4">
        <v>44641</v>
      </c>
      <c r="B3888" s="3" t="s">
        <v>735</v>
      </c>
      <c r="C3888" s="3">
        <v>1.43</v>
      </c>
      <c r="D3888" s="3">
        <v>1</v>
      </c>
    </row>
    <row r="3889" spans="1:4" ht="12.75" x14ac:dyDescent="0.35">
      <c r="A3889" s="5">
        <v>44733</v>
      </c>
      <c r="B3889" s="3" t="s">
        <v>1249</v>
      </c>
      <c r="C3889" s="3">
        <v>1.43</v>
      </c>
      <c r="D3889" s="3">
        <v>1</v>
      </c>
    </row>
    <row r="3890" spans="1:4" ht="12.75" x14ac:dyDescent="0.35">
      <c r="A3890" s="4">
        <v>44794</v>
      </c>
      <c r="B3890" s="3" t="s">
        <v>1399</v>
      </c>
      <c r="C3890" s="3">
        <v>1.43</v>
      </c>
      <c r="D3890" s="3">
        <v>1</v>
      </c>
    </row>
    <row r="3891" spans="1:4" ht="12.75" x14ac:dyDescent="0.35">
      <c r="A3891" s="4">
        <v>44582</v>
      </c>
      <c r="B3891" s="3" t="s">
        <v>87</v>
      </c>
      <c r="C3891" s="3">
        <v>1.42</v>
      </c>
      <c r="D3891" s="3">
        <v>1</v>
      </c>
    </row>
    <row r="3892" spans="1:4" ht="12.75" x14ac:dyDescent="0.35">
      <c r="A3892" s="4">
        <v>44613</v>
      </c>
      <c r="B3892" s="3" t="s">
        <v>543</v>
      </c>
      <c r="C3892" s="3">
        <v>1.42</v>
      </c>
      <c r="D3892" s="3">
        <v>1</v>
      </c>
    </row>
    <row r="3893" spans="1:4" ht="12.75" x14ac:dyDescent="0.35">
      <c r="A3893" s="4">
        <v>44825</v>
      </c>
      <c r="B3893" s="3" t="s">
        <v>1770</v>
      </c>
      <c r="C3893" s="3">
        <v>1.42</v>
      </c>
      <c r="D3893" s="3">
        <v>1</v>
      </c>
    </row>
    <row r="3894" spans="1:4" ht="12.75" x14ac:dyDescent="0.35">
      <c r="A3894" s="4">
        <v>44702</v>
      </c>
      <c r="B3894" s="3" t="s">
        <v>815</v>
      </c>
      <c r="C3894" s="3">
        <v>1.41</v>
      </c>
      <c r="D3894" s="3">
        <v>1</v>
      </c>
    </row>
    <row r="3895" spans="1:4" ht="12.75" x14ac:dyDescent="0.35">
      <c r="A3895" s="5">
        <v>44763</v>
      </c>
      <c r="B3895" s="3" t="s">
        <v>1303</v>
      </c>
      <c r="C3895" s="3">
        <v>1.41</v>
      </c>
      <c r="D3895" s="3">
        <v>1</v>
      </c>
    </row>
    <row r="3896" spans="1:4" ht="12.75" x14ac:dyDescent="0.35">
      <c r="A3896" s="4">
        <v>44855</v>
      </c>
      <c r="B3896" s="3" t="s">
        <v>540</v>
      </c>
      <c r="C3896" s="3">
        <v>1.4</v>
      </c>
      <c r="D3896" s="3">
        <v>5</v>
      </c>
    </row>
    <row r="3897" spans="1:4" ht="12.75" x14ac:dyDescent="0.35">
      <c r="A3897" s="5">
        <v>44733</v>
      </c>
      <c r="B3897" s="3" t="s">
        <v>1083</v>
      </c>
      <c r="C3897" s="3">
        <v>1.39</v>
      </c>
      <c r="D3897" s="3">
        <v>1</v>
      </c>
    </row>
    <row r="3898" spans="1:4" ht="12.75" x14ac:dyDescent="0.35">
      <c r="A3898" s="4">
        <v>44855</v>
      </c>
      <c r="B3898" s="3" t="s">
        <v>835</v>
      </c>
      <c r="C3898" s="3">
        <v>1.39</v>
      </c>
      <c r="D3898" s="3">
        <v>2</v>
      </c>
    </row>
    <row r="3899" spans="1:4" ht="12.75" x14ac:dyDescent="0.35">
      <c r="A3899" s="4">
        <v>44886</v>
      </c>
      <c r="B3899" s="3" t="s">
        <v>93</v>
      </c>
      <c r="C3899" s="3">
        <v>1.39</v>
      </c>
      <c r="D3899" s="3">
        <v>5</v>
      </c>
    </row>
    <row r="3900" spans="1:4" ht="12.75" x14ac:dyDescent="0.35">
      <c r="A3900" s="5">
        <v>44733</v>
      </c>
      <c r="B3900" s="3" t="s">
        <v>1265</v>
      </c>
      <c r="C3900" s="3">
        <v>1.38</v>
      </c>
      <c r="D3900" s="3">
        <v>1</v>
      </c>
    </row>
    <row r="3901" spans="1:4" ht="12.75" x14ac:dyDescent="0.35">
      <c r="A3901" s="5">
        <v>44763</v>
      </c>
      <c r="B3901" s="3" t="s">
        <v>1508</v>
      </c>
      <c r="C3901" s="3">
        <v>1.38</v>
      </c>
      <c r="D3901" s="3">
        <v>1</v>
      </c>
    </row>
    <row r="3902" spans="1:4" ht="12.75" x14ac:dyDescent="0.35">
      <c r="A3902" s="4">
        <v>44794</v>
      </c>
      <c r="B3902" s="3" t="s">
        <v>1567</v>
      </c>
      <c r="C3902" s="3">
        <v>1.38</v>
      </c>
      <c r="D3902" s="3">
        <v>1</v>
      </c>
    </row>
    <row r="3903" spans="1:4" ht="12.75" x14ac:dyDescent="0.35">
      <c r="A3903" s="4">
        <v>44613</v>
      </c>
      <c r="B3903" s="3" t="s">
        <v>324</v>
      </c>
      <c r="C3903" s="3">
        <v>1.37</v>
      </c>
      <c r="D3903" s="3">
        <v>3</v>
      </c>
    </row>
    <row r="3904" spans="1:4" ht="12.75" x14ac:dyDescent="0.35">
      <c r="A3904" s="5">
        <v>44763</v>
      </c>
      <c r="B3904" s="3" t="s">
        <v>1470</v>
      </c>
      <c r="C3904" s="3">
        <v>1.37</v>
      </c>
      <c r="D3904" s="3">
        <v>1</v>
      </c>
    </row>
    <row r="3905" spans="1:4" ht="12.75" x14ac:dyDescent="0.35">
      <c r="A3905" s="5">
        <v>44763</v>
      </c>
      <c r="B3905" s="3" t="s">
        <v>1520</v>
      </c>
      <c r="C3905" s="3">
        <v>1.37</v>
      </c>
      <c r="D3905" s="3">
        <v>1</v>
      </c>
    </row>
    <row r="3906" spans="1:4" ht="12.75" x14ac:dyDescent="0.35">
      <c r="A3906" s="4">
        <v>44855</v>
      </c>
      <c r="B3906" s="3" t="s">
        <v>220</v>
      </c>
      <c r="C3906" s="3">
        <v>1.37</v>
      </c>
      <c r="D3906" s="3">
        <v>3</v>
      </c>
    </row>
    <row r="3907" spans="1:4" ht="12.75" x14ac:dyDescent="0.35">
      <c r="A3907" s="4">
        <v>44916</v>
      </c>
      <c r="B3907" s="3" t="s">
        <v>1891</v>
      </c>
      <c r="C3907" s="3">
        <v>1.37</v>
      </c>
      <c r="D3907" s="3">
        <v>1</v>
      </c>
    </row>
    <row r="3908" spans="1:4" ht="12.75" x14ac:dyDescent="0.35">
      <c r="A3908" s="4">
        <v>44825</v>
      </c>
      <c r="B3908" s="3" t="s">
        <v>760</v>
      </c>
      <c r="C3908" s="3">
        <v>1.36</v>
      </c>
      <c r="D3908" s="3">
        <v>3</v>
      </c>
    </row>
    <row r="3909" spans="1:4" ht="12.75" x14ac:dyDescent="0.35">
      <c r="A3909" s="4">
        <v>44582</v>
      </c>
      <c r="B3909" s="3" t="s">
        <v>23</v>
      </c>
      <c r="C3909" s="3">
        <v>1.35</v>
      </c>
      <c r="D3909" s="3">
        <v>1</v>
      </c>
    </row>
    <row r="3910" spans="1:4" ht="12.75" x14ac:dyDescent="0.35">
      <c r="A3910" s="4">
        <v>44702</v>
      </c>
      <c r="B3910" s="3" t="s">
        <v>183</v>
      </c>
      <c r="C3910" s="3">
        <v>1.35</v>
      </c>
      <c r="D3910" s="3">
        <v>1</v>
      </c>
    </row>
    <row r="3911" spans="1:4" ht="12.75" x14ac:dyDescent="0.35">
      <c r="A3911" s="5">
        <v>44733</v>
      </c>
      <c r="B3911" s="3" t="s">
        <v>220</v>
      </c>
      <c r="C3911" s="3">
        <v>1.35</v>
      </c>
      <c r="D3911" s="3">
        <v>3</v>
      </c>
    </row>
    <row r="3912" spans="1:4" ht="12.75" x14ac:dyDescent="0.35">
      <c r="A3912" s="4">
        <v>44794</v>
      </c>
      <c r="B3912" s="3" t="s">
        <v>1569</v>
      </c>
      <c r="C3912" s="3">
        <v>1.35</v>
      </c>
      <c r="D3912" s="3">
        <v>1</v>
      </c>
    </row>
    <row r="3913" spans="1:4" ht="12.75" x14ac:dyDescent="0.35">
      <c r="A3913" s="4">
        <v>44794</v>
      </c>
      <c r="B3913" s="3" t="s">
        <v>1187</v>
      </c>
      <c r="C3913" s="3">
        <v>1.35</v>
      </c>
      <c r="D3913" s="3">
        <v>1</v>
      </c>
    </row>
    <row r="3914" spans="1:4" ht="12.75" x14ac:dyDescent="0.35">
      <c r="A3914" s="5">
        <v>44763</v>
      </c>
      <c r="B3914" s="3" t="s">
        <v>1543</v>
      </c>
      <c r="C3914" s="3">
        <v>1.34</v>
      </c>
      <c r="D3914" s="3">
        <v>1</v>
      </c>
    </row>
    <row r="3915" spans="1:4" ht="12.75" x14ac:dyDescent="0.35">
      <c r="A3915" s="4">
        <v>44825</v>
      </c>
      <c r="B3915" s="3" t="s">
        <v>13</v>
      </c>
      <c r="C3915" s="3">
        <v>1.34</v>
      </c>
      <c r="D3915" s="3">
        <v>1</v>
      </c>
    </row>
    <row r="3916" spans="1:4" ht="12.75" x14ac:dyDescent="0.35">
      <c r="A3916" s="4">
        <v>44582</v>
      </c>
      <c r="B3916" s="3" t="s">
        <v>390</v>
      </c>
      <c r="C3916" s="3">
        <v>1.33</v>
      </c>
      <c r="D3916" s="3">
        <v>1</v>
      </c>
    </row>
    <row r="3917" spans="1:4" ht="12.75" x14ac:dyDescent="0.35">
      <c r="A3917" s="4">
        <v>44641</v>
      </c>
      <c r="B3917" s="3" t="s">
        <v>764</v>
      </c>
      <c r="C3917" s="3">
        <v>1.33</v>
      </c>
      <c r="D3917" s="3">
        <v>1</v>
      </c>
    </row>
    <row r="3918" spans="1:4" ht="12.75" x14ac:dyDescent="0.35">
      <c r="A3918" s="4">
        <v>44672</v>
      </c>
      <c r="B3918" s="3" t="s">
        <v>764</v>
      </c>
      <c r="C3918" s="3">
        <v>1.33</v>
      </c>
      <c r="D3918" s="3">
        <v>1</v>
      </c>
    </row>
    <row r="3919" spans="1:4" ht="12.75" x14ac:dyDescent="0.35">
      <c r="A3919" s="4">
        <v>44702</v>
      </c>
      <c r="B3919" s="3" t="s">
        <v>487</v>
      </c>
      <c r="C3919" s="3">
        <v>1.33</v>
      </c>
      <c r="D3919" s="3">
        <v>2</v>
      </c>
    </row>
    <row r="3920" spans="1:4" ht="12.75" x14ac:dyDescent="0.35">
      <c r="A3920" s="5">
        <v>44733</v>
      </c>
      <c r="B3920" s="3" t="s">
        <v>1239</v>
      </c>
      <c r="C3920" s="3">
        <v>1.33</v>
      </c>
      <c r="D3920" s="3">
        <v>1</v>
      </c>
    </row>
    <row r="3921" spans="1:4" ht="12.75" x14ac:dyDescent="0.35">
      <c r="A3921" s="4">
        <v>44794</v>
      </c>
      <c r="B3921" s="3" t="s">
        <v>758</v>
      </c>
      <c r="C3921" s="3">
        <v>1.33</v>
      </c>
      <c r="D3921" s="3">
        <v>1</v>
      </c>
    </row>
    <row r="3922" spans="1:4" ht="12.75" x14ac:dyDescent="0.35">
      <c r="A3922" s="4">
        <v>44916</v>
      </c>
      <c r="B3922" s="3" t="s">
        <v>1668</v>
      </c>
      <c r="C3922" s="3">
        <v>1.33</v>
      </c>
      <c r="D3922" s="3">
        <v>1</v>
      </c>
    </row>
    <row r="3923" spans="1:4" ht="12.75" x14ac:dyDescent="0.35">
      <c r="A3923" s="4">
        <v>44672</v>
      </c>
      <c r="B3923" s="3" t="s">
        <v>910</v>
      </c>
      <c r="C3923" s="3">
        <v>1.32</v>
      </c>
      <c r="D3923" s="3">
        <v>1</v>
      </c>
    </row>
    <row r="3924" spans="1:4" ht="12.75" x14ac:dyDescent="0.35">
      <c r="A3924" s="5">
        <v>44763</v>
      </c>
      <c r="B3924" s="3" t="s">
        <v>1279</v>
      </c>
      <c r="C3924" s="3">
        <v>1.32</v>
      </c>
      <c r="D3924" s="3">
        <v>1</v>
      </c>
    </row>
    <row r="3925" spans="1:4" ht="12.75" x14ac:dyDescent="0.35">
      <c r="A3925" s="4">
        <v>44794</v>
      </c>
      <c r="B3925" s="3" t="s">
        <v>1685</v>
      </c>
      <c r="C3925" s="3">
        <v>1.32</v>
      </c>
      <c r="D3925" s="3">
        <v>1</v>
      </c>
    </row>
    <row r="3926" spans="1:4" ht="12.75" x14ac:dyDescent="0.35">
      <c r="A3926" s="4">
        <v>44794</v>
      </c>
      <c r="B3926" s="3" t="s">
        <v>1706</v>
      </c>
      <c r="C3926" s="3">
        <v>1.31</v>
      </c>
      <c r="D3926" s="3">
        <v>1</v>
      </c>
    </row>
    <row r="3927" spans="1:4" ht="12.75" x14ac:dyDescent="0.35">
      <c r="A3927" s="4">
        <v>44794</v>
      </c>
      <c r="B3927" s="3" t="s">
        <v>1718</v>
      </c>
      <c r="C3927" s="3">
        <v>1.31</v>
      </c>
      <c r="D3927" s="3">
        <v>1</v>
      </c>
    </row>
    <row r="3928" spans="1:4" ht="12.75" x14ac:dyDescent="0.35">
      <c r="A3928" s="4">
        <v>44582</v>
      </c>
      <c r="B3928" s="3" t="s">
        <v>224</v>
      </c>
      <c r="C3928" s="3">
        <v>1.3</v>
      </c>
      <c r="D3928" s="3">
        <v>1</v>
      </c>
    </row>
    <row r="3929" spans="1:4" ht="12.75" x14ac:dyDescent="0.35">
      <c r="A3929" s="4">
        <v>44641</v>
      </c>
      <c r="B3929" s="3" t="s">
        <v>361</v>
      </c>
      <c r="C3929" s="3">
        <v>1.3</v>
      </c>
      <c r="D3929" s="3">
        <v>1</v>
      </c>
    </row>
    <row r="3930" spans="1:4" ht="12.75" x14ac:dyDescent="0.35">
      <c r="A3930" s="4">
        <v>44672</v>
      </c>
      <c r="B3930" s="3" t="s">
        <v>553</v>
      </c>
      <c r="C3930" s="3">
        <v>1.3</v>
      </c>
      <c r="D3930" s="3">
        <v>1</v>
      </c>
    </row>
    <row r="3931" spans="1:4" ht="12.75" x14ac:dyDescent="0.35">
      <c r="A3931" s="5">
        <v>44733</v>
      </c>
      <c r="B3931" s="3" t="s">
        <v>866</v>
      </c>
      <c r="C3931" s="3">
        <v>1.3</v>
      </c>
      <c r="D3931" s="3">
        <v>1</v>
      </c>
    </row>
    <row r="3932" spans="1:4" ht="12.75" x14ac:dyDescent="0.35">
      <c r="A3932" s="5">
        <v>44763</v>
      </c>
      <c r="B3932" s="3" t="s">
        <v>1460</v>
      </c>
      <c r="C3932" s="3">
        <v>1.3</v>
      </c>
      <c r="D3932" s="3">
        <v>1</v>
      </c>
    </row>
    <row r="3933" spans="1:4" ht="12.75" x14ac:dyDescent="0.35">
      <c r="A3933" s="4">
        <v>44794</v>
      </c>
      <c r="B3933" s="3" t="s">
        <v>480</v>
      </c>
      <c r="C3933" s="3">
        <v>1.3</v>
      </c>
      <c r="D3933" s="3">
        <v>1</v>
      </c>
    </row>
    <row r="3934" spans="1:4" ht="12.75" x14ac:dyDescent="0.35">
      <c r="A3934" s="4">
        <v>44916</v>
      </c>
      <c r="B3934" s="3" t="s">
        <v>1858</v>
      </c>
      <c r="C3934" s="3">
        <v>1.3</v>
      </c>
      <c r="D3934" s="3">
        <v>1</v>
      </c>
    </row>
    <row r="3935" spans="1:4" ht="12.75" x14ac:dyDescent="0.35">
      <c r="A3935" s="4">
        <v>44672</v>
      </c>
      <c r="B3935" s="3" t="s">
        <v>711</v>
      </c>
      <c r="C3935" s="3">
        <v>1.29</v>
      </c>
      <c r="D3935" s="3">
        <v>1</v>
      </c>
    </row>
    <row r="3936" spans="1:4" ht="12.75" x14ac:dyDescent="0.35">
      <c r="A3936" s="5">
        <v>44733</v>
      </c>
      <c r="B3936" s="3" t="s">
        <v>1278</v>
      </c>
      <c r="C3936" s="3">
        <v>1.29</v>
      </c>
      <c r="D3936" s="3">
        <v>1</v>
      </c>
    </row>
    <row r="3937" spans="1:4" ht="12.75" x14ac:dyDescent="0.35">
      <c r="A3937" s="4">
        <v>44794</v>
      </c>
      <c r="B3937" s="3" t="s">
        <v>1663</v>
      </c>
      <c r="C3937" s="3">
        <v>1.29</v>
      </c>
      <c r="D3937" s="3">
        <v>2</v>
      </c>
    </row>
    <row r="3938" spans="1:4" ht="12.75" x14ac:dyDescent="0.35">
      <c r="A3938" s="4">
        <v>44886</v>
      </c>
      <c r="B3938" s="3" t="s">
        <v>1825</v>
      </c>
      <c r="C3938" s="3">
        <v>1.29</v>
      </c>
      <c r="D3938" s="3">
        <v>1</v>
      </c>
    </row>
    <row r="3939" spans="1:4" ht="12.75" x14ac:dyDescent="0.35">
      <c r="A3939" s="4">
        <v>44613</v>
      </c>
      <c r="B3939" s="3" t="s">
        <v>269</v>
      </c>
      <c r="C3939" s="3">
        <v>1.28</v>
      </c>
      <c r="D3939" s="3">
        <v>3</v>
      </c>
    </row>
    <row r="3940" spans="1:4" ht="12.75" x14ac:dyDescent="0.35">
      <c r="A3940" s="4">
        <v>44794</v>
      </c>
      <c r="B3940" s="3" t="s">
        <v>1351</v>
      </c>
      <c r="C3940" s="3">
        <v>1.28</v>
      </c>
      <c r="D3940" s="3">
        <v>1</v>
      </c>
    </row>
    <row r="3941" spans="1:4" ht="12.75" x14ac:dyDescent="0.35">
      <c r="A3941" s="4">
        <v>44582</v>
      </c>
      <c r="B3941" s="3" t="s">
        <v>384</v>
      </c>
      <c r="C3941" s="3">
        <v>1.27</v>
      </c>
      <c r="D3941" s="3">
        <v>1</v>
      </c>
    </row>
    <row r="3942" spans="1:4" ht="12.75" x14ac:dyDescent="0.35">
      <c r="A3942" s="4">
        <v>44916</v>
      </c>
      <c r="B3942" s="3" t="s">
        <v>1863</v>
      </c>
      <c r="C3942" s="3">
        <v>1.27</v>
      </c>
      <c r="D3942" s="3">
        <v>1</v>
      </c>
    </row>
    <row r="3943" spans="1:4" ht="12.75" x14ac:dyDescent="0.35">
      <c r="A3943" s="4">
        <v>44672</v>
      </c>
      <c r="B3943" s="3" t="s">
        <v>826</v>
      </c>
      <c r="C3943" s="3">
        <v>1.26</v>
      </c>
      <c r="D3943" s="3">
        <v>1</v>
      </c>
    </row>
    <row r="3944" spans="1:4" ht="12.75" x14ac:dyDescent="0.35">
      <c r="A3944" s="4">
        <v>44702</v>
      </c>
      <c r="B3944" s="3" t="s">
        <v>33</v>
      </c>
      <c r="C3944" s="3">
        <v>1.26</v>
      </c>
      <c r="D3944" s="3">
        <v>1</v>
      </c>
    </row>
    <row r="3945" spans="1:4" ht="12.75" x14ac:dyDescent="0.35">
      <c r="A3945" s="5">
        <v>44733</v>
      </c>
      <c r="B3945" s="3" t="s">
        <v>1341</v>
      </c>
      <c r="C3945" s="3">
        <v>1.26</v>
      </c>
      <c r="D3945" s="3">
        <v>1</v>
      </c>
    </row>
    <row r="3946" spans="1:4" ht="12.75" x14ac:dyDescent="0.35">
      <c r="A3946" s="5">
        <v>44763</v>
      </c>
      <c r="B3946" s="3" t="s">
        <v>583</v>
      </c>
      <c r="C3946" s="3">
        <v>1.26</v>
      </c>
      <c r="D3946" s="3">
        <v>1</v>
      </c>
    </row>
    <row r="3947" spans="1:4" ht="12.75" x14ac:dyDescent="0.35">
      <c r="A3947" s="4">
        <v>44825</v>
      </c>
      <c r="B3947" s="3" t="s">
        <v>319</v>
      </c>
      <c r="C3947" s="3">
        <v>1.26</v>
      </c>
      <c r="D3947" s="3">
        <v>1</v>
      </c>
    </row>
    <row r="3948" spans="1:4" ht="12.75" x14ac:dyDescent="0.35">
      <c r="A3948" s="4">
        <v>44886</v>
      </c>
      <c r="B3948" s="3" t="s">
        <v>1762</v>
      </c>
      <c r="C3948" s="3">
        <v>1.26</v>
      </c>
      <c r="D3948" s="3">
        <v>1</v>
      </c>
    </row>
    <row r="3949" spans="1:4" ht="12.75" x14ac:dyDescent="0.35">
      <c r="A3949" s="4">
        <v>44702</v>
      </c>
      <c r="B3949" s="3" t="s">
        <v>834</v>
      </c>
      <c r="C3949" s="3">
        <v>1.25</v>
      </c>
      <c r="D3949" s="3">
        <v>1</v>
      </c>
    </row>
    <row r="3950" spans="1:4" ht="12.75" x14ac:dyDescent="0.35">
      <c r="A3950" s="4">
        <v>44702</v>
      </c>
      <c r="B3950" s="3" t="s">
        <v>510</v>
      </c>
      <c r="C3950" s="3">
        <v>1.24</v>
      </c>
      <c r="D3950" s="3">
        <v>3</v>
      </c>
    </row>
    <row r="3951" spans="1:4" ht="12.75" x14ac:dyDescent="0.35">
      <c r="A3951" s="5">
        <v>44733</v>
      </c>
      <c r="B3951" s="3" t="s">
        <v>999</v>
      </c>
      <c r="C3951" s="3">
        <v>1.24</v>
      </c>
      <c r="D3951" s="3">
        <v>2</v>
      </c>
    </row>
    <row r="3952" spans="1:4" ht="12.75" x14ac:dyDescent="0.35">
      <c r="A3952" s="5">
        <v>44763</v>
      </c>
      <c r="B3952" s="3" t="s">
        <v>447</v>
      </c>
      <c r="C3952" s="3">
        <v>1.24</v>
      </c>
      <c r="D3952" s="3">
        <v>1</v>
      </c>
    </row>
    <row r="3953" spans="1:4" ht="12.75" x14ac:dyDescent="0.35">
      <c r="A3953" s="5">
        <v>44733</v>
      </c>
      <c r="B3953" s="3" t="s">
        <v>1454</v>
      </c>
      <c r="C3953" s="3">
        <v>1.23</v>
      </c>
      <c r="D3953" s="3">
        <v>1</v>
      </c>
    </row>
    <row r="3954" spans="1:4" ht="12.75" x14ac:dyDescent="0.35">
      <c r="A3954" s="5">
        <v>44763</v>
      </c>
      <c r="B3954" s="3" t="s">
        <v>1478</v>
      </c>
      <c r="C3954" s="3">
        <v>1.23</v>
      </c>
      <c r="D3954" s="3">
        <v>1</v>
      </c>
    </row>
    <row r="3955" spans="1:4" ht="12.75" x14ac:dyDescent="0.35">
      <c r="A3955" s="5">
        <v>44763</v>
      </c>
      <c r="B3955" s="3" t="s">
        <v>764</v>
      </c>
      <c r="C3955" s="3">
        <v>1.23</v>
      </c>
      <c r="D3955" s="3">
        <v>1</v>
      </c>
    </row>
    <row r="3956" spans="1:4" ht="12.75" x14ac:dyDescent="0.35">
      <c r="A3956" s="4">
        <v>44794</v>
      </c>
      <c r="B3956" s="3" t="s">
        <v>1683</v>
      </c>
      <c r="C3956" s="3">
        <v>1.23</v>
      </c>
      <c r="D3956" s="3">
        <v>1</v>
      </c>
    </row>
    <row r="3957" spans="1:4" ht="12.75" x14ac:dyDescent="0.35">
      <c r="A3957" s="4">
        <v>44672</v>
      </c>
      <c r="B3957" s="3" t="s">
        <v>946</v>
      </c>
      <c r="C3957" s="3">
        <v>1.22</v>
      </c>
      <c r="D3957" s="3">
        <v>1</v>
      </c>
    </row>
    <row r="3958" spans="1:4" ht="12.75" x14ac:dyDescent="0.35">
      <c r="A3958" s="4">
        <v>44702</v>
      </c>
      <c r="B3958" s="3" t="s">
        <v>1054</v>
      </c>
      <c r="C3958" s="3">
        <v>1.22</v>
      </c>
      <c r="D3958" s="3">
        <v>1</v>
      </c>
    </row>
    <row r="3959" spans="1:4" ht="12.75" x14ac:dyDescent="0.35">
      <c r="A3959" s="5">
        <v>44733</v>
      </c>
      <c r="B3959" s="3" t="s">
        <v>1464</v>
      </c>
      <c r="C3959" s="3">
        <v>1.22</v>
      </c>
      <c r="D3959" s="3">
        <v>1</v>
      </c>
    </row>
    <row r="3960" spans="1:4" ht="12.75" x14ac:dyDescent="0.35">
      <c r="A3960" s="4">
        <v>44916</v>
      </c>
      <c r="B3960" s="3" t="s">
        <v>1944</v>
      </c>
      <c r="C3960" s="3">
        <v>1.22</v>
      </c>
      <c r="D3960" s="3">
        <v>1</v>
      </c>
    </row>
    <row r="3961" spans="1:4" ht="12.75" x14ac:dyDescent="0.35">
      <c r="A3961" s="4">
        <v>44582</v>
      </c>
      <c r="B3961" s="3" t="s">
        <v>184</v>
      </c>
      <c r="C3961" s="3">
        <v>1.21</v>
      </c>
      <c r="D3961" s="3">
        <v>2</v>
      </c>
    </row>
    <row r="3962" spans="1:4" ht="12.75" x14ac:dyDescent="0.35">
      <c r="A3962" s="5">
        <v>44733</v>
      </c>
      <c r="B3962" s="3" t="s">
        <v>192</v>
      </c>
      <c r="C3962" s="3">
        <v>1.21</v>
      </c>
      <c r="D3962" s="3">
        <v>1</v>
      </c>
    </row>
    <row r="3963" spans="1:4" ht="12.75" x14ac:dyDescent="0.35">
      <c r="A3963" s="4">
        <v>44794</v>
      </c>
      <c r="B3963" s="3" t="s">
        <v>467</v>
      </c>
      <c r="C3963" s="3">
        <v>1.21</v>
      </c>
      <c r="D3963" s="3">
        <v>1</v>
      </c>
    </row>
    <row r="3964" spans="1:4" ht="12.75" x14ac:dyDescent="0.35">
      <c r="A3964" s="4">
        <v>44886</v>
      </c>
      <c r="B3964" s="3" t="s">
        <v>102</v>
      </c>
      <c r="C3964" s="3">
        <v>1.21</v>
      </c>
      <c r="D3964" s="3">
        <v>3</v>
      </c>
    </row>
    <row r="3965" spans="1:4" ht="12.75" x14ac:dyDescent="0.35">
      <c r="A3965" s="4">
        <v>44916</v>
      </c>
      <c r="B3965" s="3" t="s">
        <v>1021</v>
      </c>
      <c r="C3965" s="3">
        <v>1.21</v>
      </c>
      <c r="D3965" s="3">
        <v>1</v>
      </c>
    </row>
    <row r="3966" spans="1:4" ht="12.75" x14ac:dyDescent="0.35">
      <c r="A3966" s="5">
        <v>44733</v>
      </c>
      <c r="B3966" s="3" t="s">
        <v>1192</v>
      </c>
      <c r="C3966" s="3">
        <v>1.2</v>
      </c>
      <c r="D3966" s="3">
        <v>1</v>
      </c>
    </row>
    <row r="3967" spans="1:4" ht="12.75" x14ac:dyDescent="0.35">
      <c r="A3967" s="5">
        <v>44733</v>
      </c>
      <c r="B3967" s="3" t="s">
        <v>1325</v>
      </c>
      <c r="C3967" s="3">
        <v>1.2</v>
      </c>
      <c r="D3967" s="3">
        <v>1</v>
      </c>
    </row>
    <row r="3968" spans="1:4" ht="12.75" x14ac:dyDescent="0.35">
      <c r="A3968" s="5">
        <v>44763</v>
      </c>
      <c r="B3968" s="3" t="s">
        <v>1335</v>
      </c>
      <c r="C3968" s="3">
        <v>1.2</v>
      </c>
      <c r="D3968" s="3">
        <v>1</v>
      </c>
    </row>
    <row r="3969" spans="1:4" ht="12.75" x14ac:dyDescent="0.35">
      <c r="A3969" s="5">
        <v>44763</v>
      </c>
      <c r="B3969" s="3" t="s">
        <v>1507</v>
      </c>
      <c r="C3969" s="3">
        <v>1.2</v>
      </c>
      <c r="D3969" s="3">
        <v>1</v>
      </c>
    </row>
    <row r="3970" spans="1:4" ht="12.75" x14ac:dyDescent="0.35">
      <c r="A3970" s="4">
        <v>44794</v>
      </c>
      <c r="B3970" s="3" t="s">
        <v>1561</v>
      </c>
      <c r="C3970" s="3">
        <v>1.2</v>
      </c>
      <c r="D3970" s="3">
        <v>1</v>
      </c>
    </row>
    <row r="3971" spans="1:4" ht="12.75" x14ac:dyDescent="0.35">
      <c r="A3971" s="4">
        <v>44582</v>
      </c>
      <c r="B3971" s="3" t="s">
        <v>266</v>
      </c>
      <c r="C3971" s="3">
        <v>1.19</v>
      </c>
      <c r="D3971" s="3">
        <v>2</v>
      </c>
    </row>
    <row r="3972" spans="1:4" ht="12.75" x14ac:dyDescent="0.35">
      <c r="A3972" s="4">
        <v>44641</v>
      </c>
      <c r="B3972" s="3" t="s">
        <v>354</v>
      </c>
      <c r="C3972" s="3">
        <v>1.18</v>
      </c>
      <c r="D3972" s="3">
        <v>2</v>
      </c>
    </row>
    <row r="3973" spans="1:4" ht="12.75" x14ac:dyDescent="0.35">
      <c r="A3973" s="4">
        <v>44672</v>
      </c>
      <c r="B3973" s="3" t="s">
        <v>867</v>
      </c>
      <c r="C3973" s="3">
        <v>1.18</v>
      </c>
      <c r="D3973" s="3">
        <v>1</v>
      </c>
    </row>
    <row r="3974" spans="1:4" ht="12.75" x14ac:dyDescent="0.35">
      <c r="A3974" s="5">
        <v>44733</v>
      </c>
      <c r="B3974" s="3" t="s">
        <v>1401</v>
      </c>
      <c r="C3974" s="3">
        <v>1.18</v>
      </c>
      <c r="D3974" s="3">
        <v>1</v>
      </c>
    </row>
    <row r="3975" spans="1:4" ht="12.75" x14ac:dyDescent="0.35">
      <c r="A3975" s="5">
        <v>44763</v>
      </c>
      <c r="B3975" s="3" t="s">
        <v>1484</v>
      </c>
      <c r="C3975" s="3">
        <v>1.18</v>
      </c>
      <c r="D3975" s="3">
        <v>1</v>
      </c>
    </row>
    <row r="3976" spans="1:4" ht="12.75" x14ac:dyDescent="0.35">
      <c r="A3976" s="4">
        <v>44886</v>
      </c>
      <c r="B3976" s="3" t="s">
        <v>323</v>
      </c>
      <c r="C3976" s="3">
        <v>1.18</v>
      </c>
      <c r="D3976" s="3">
        <v>1</v>
      </c>
    </row>
    <row r="3977" spans="1:4" ht="12.75" x14ac:dyDescent="0.35">
      <c r="A3977" s="4">
        <v>44641</v>
      </c>
      <c r="B3977" s="3" t="s">
        <v>618</v>
      </c>
      <c r="C3977" s="3">
        <v>1.17</v>
      </c>
      <c r="D3977" s="3">
        <v>1</v>
      </c>
    </row>
    <row r="3978" spans="1:4" ht="12.75" x14ac:dyDescent="0.35">
      <c r="A3978" s="5">
        <v>44733</v>
      </c>
      <c r="B3978" s="3" t="s">
        <v>304</v>
      </c>
      <c r="C3978" s="3">
        <v>1.17</v>
      </c>
      <c r="D3978" s="3">
        <v>1</v>
      </c>
    </row>
    <row r="3979" spans="1:4" ht="12.75" x14ac:dyDescent="0.35">
      <c r="A3979" s="5">
        <v>44763</v>
      </c>
      <c r="B3979" s="3" t="s">
        <v>1436</v>
      </c>
      <c r="C3979" s="3">
        <v>1.17</v>
      </c>
      <c r="D3979" s="3">
        <v>1</v>
      </c>
    </row>
    <row r="3980" spans="1:4" ht="12.75" x14ac:dyDescent="0.35">
      <c r="A3980" s="4">
        <v>44794</v>
      </c>
      <c r="B3980" s="3" t="s">
        <v>1691</v>
      </c>
      <c r="C3980" s="3">
        <v>1.17</v>
      </c>
      <c r="D3980" s="3">
        <v>1</v>
      </c>
    </row>
    <row r="3981" spans="1:4" ht="12.75" x14ac:dyDescent="0.35">
      <c r="A3981" s="4">
        <v>44855</v>
      </c>
      <c r="B3981" s="3" t="s">
        <v>1445</v>
      </c>
      <c r="C3981" s="3">
        <v>1.17</v>
      </c>
      <c r="D3981" s="3">
        <v>1</v>
      </c>
    </row>
    <row r="3982" spans="1:4" ht="12.75" x14ac:dyDescent="0.35">
      <c r="A3982" s="4">
        <v>44886</v>
      </c>
      <c r="B3982" s="3" t="s">
        <v>1536</v>
      </c>
      <c r="C3982" s="3">
        <v>1.17</v>
      </c>
      <c r="D3982" s="3">
        <v>1</v>
      </c>
    </row>
    <row r="3983" spans="1:4" ht="12.75" x14ac:dyDescent="0.35">
      <c r="A3983" s="4">
        <v>44702</v>
      </c>
      <c r="B3983" s="3" t="s">
        <v>908</v>
      </c>
      <c r="C3983" s="3">
        <v>1.1599999999999999</v>
      </c>
      <c r="D3983" s="3">
        <v>1</v>
      </c>
    </row>
    <row r="3984" spans="1:4" ht="12.75" x14ac:dyDescent="0.35">
      <c r="A3984" s="4">
        <v>44794</v>
      </c>
      <c r="B3984" s="3" t="s">
        <v>1458</v>
      </c>
      <c r="C3984" s="3">
        <v>1.1599999999999999</v>
      </c>
      <c r="D3984" s="3">
        <v>1</v>
      </c>
    </row>
    <row r="3985" spans="1:4" ht="12.75" x14ac:dyDescent="0.35">
      <c r="A3985" s="4">
        <v>44582</v>
      </c>
      <c r="B3985" s="3" t="s">
        <v>393</v>
      </c>
      <c r="C3985" s="3">
        <v>1.1499999999999999</v>
      </c>
      <c r="D3985" s="3">
        <v>1</v>
      </c>
    </row>
    <row r="3986" spans="1:4" ht="12.75" x14ac:dyDescent="0.35">
      <c r="A3986" s="4">
        <v>44794</v>
      </c>
      <c r="B3986" s="3" t="s">
        <v>1440</v>
      </c>
      <c r="C3986" s="3">
        <v>1.1399999999999999</v>
      </c>
      <c r="D3986" s="3">
        <v>1</v>
      </c>
    </row>
    <row r="3987" spans="1:4" ht="12.75" x14ac:dyDescent="0.35">
      <c r="A3987" s="4">
        <v>44582</v>
      </c>
      <c r="B3987" s="3" t="s">
        <v>71</v>
      </c>
      <c r="C3987" s="3">
        <v>1.1299999999999999</v>
      </c>
      <c r="D3987" s="3">
        <v>1</v>
      </c>
    </row>
    <row r="3988" spans="1:4" ht="12.75" x14ac:dyDescent="0.35">
      <c r="A3988" s="4">
        <v>44613</v>
      </c>
      <c r="B3988" s="3" t="s">
        <v>467</v>
      </c>
      <c r="C3988" s="3">
        <v>1.1299999999999999</v>
      </c>
      <c r="D3988" s="3">
        <v>1</v>
      </c>
    </row>
    <row r="3989" spans="1:4" ht="12.75" x14ac:dyDescent="0.35">
      <c r="A3989" s="4">
        <v>44641</v>
      </c>
      <c r="B3989" s="3" t="s">
        <v>313</v>
      </c>
      <c r="C3989" s="3">
        <v>1.1299999999999999</v>
      </c>
      <c r="D3989" s="3">
        <v>2</v>
      </c>
    </row>
    <row r="3990" spans="1:4" ht="12.75" x14ac:dyDescent="0.35">
      <c r="A3990" s="4">
        <v>44641</v>
      </c>
      <c r="B3990" s="3" t="s">
        <v>394</v>
      </c>
      <c r="C3990" s="3">
        <v>1.1299999999999999</v>
      </c>
      <c r="D3990" s="3">
        <v>4</v>
      </c>
    </row>
    <row r="3991" spans="1:4" ht="12.75" x14ac:dyDescent="0.35">
      <c r="A3991" s="4">
        <v>44672</v>
      </c>
      <c r="B3991" s="3" t="s">
        <v>26</v>
      </c>
      <c r="C3991" s="3">
        <v>1.1299999999999999</v>
      </c>
      <c r="D3991" s="3">
        <v>1</v>
      </c>
    </row>
    <row r="3992" spans="1:4" ht="12.75" x14ac:dyDescent="0.35">
      <c r="A3992" s="4">
        <v>44702</v>
      </c>
      <c r="B3992" s="3" t="s">
        <v>1127</v>
      </c>
      <c r="C3992" s="3">
        <v>1.1299999999999999</v>
      </c>
      <c r="D3992" s="3">
        <v>1</v>
      </c>
    </row>
    <row r="3993" spans="1:4" ht="12.75" x14ac:dyDescent="0.35">
      <c r="A3993" s="5">
        <v>44733</v>
      </c>
      <c r="B3993" s="3" t="s">
        <v>1370</v>
      </c>
      <c r="C3993" s="3">
        <v>1.1299999999999999</v>
      </c>
      <c r="D3993" s="3">
        <v>1</v>
      </c>
    </row>
    <row r="3994" spans="1:4" ht="12.75" x14ac:dyDescent="0.35">
      <c r="A3994" s="4">
        <v>44794</v>
      </c>
      <c r="B3994" s="3" t="s">
        <v>1623</v>
      </c>
      <c r="C3994" s="3">
        <v>1.1299999999999999</v>
      </c>
      <c r="D3994" s="3">
        <v>2</v>
      </c>
    </row>
    <row r="3995" spans="1:4" ht="12.75" x14ac:dyDescent="0.35">
      <c r="A3995" s="4">
        <v>44794</v>
      </c>
      <c r="B3995" s="3" t="s">
        <v>1715</v>
      </c>
      <c r="C3995" s="3">
        <v>1.1299999999999999</v>
      </c>
      <c r="D3995" s="3">
        <v>1</v>
      </c>
    </row>
    <row r="3996" spans="1:4" ht="12.75" x14ac:dyDescent="0.35">
      <c r="A3996" s="4">
        <v>44825</v>
      </c>
      <c r="B3996" s="3" t="s">
        <v>1678</v>
      </c>
      <c r="C3996" s="3">
        <v>1.1299999999999999</v>
      </c>
      <c r="D3996" s="3">
        <v>1</v>
      </c>
    </row>
    <row r="3997" spans="1:4" ht="12.75" x14ac:dyDescent="0.35">
      <c r="A3997" s="4">
        <v>44886</v>
      </c>
      <c r="B3997" s="3" t="s">
        <v>1197</v>
      </c>
      <c r="C3997" s="3">
        <v>1.1299999999999999</v>
      </c>
      <c r="D3997" s="3">
        <v>1</v>
      </c>
    </row>
    <row r="3998" spans="1:4" ht="12.75" x14ac:dyDescent="0.35">
      <c r="A3998" s="5">
        <v>44733</v>
      </c>
      <c r="B3998" s="3" t="s">
        <v>1359</v>
      </c>
      <c r="C3998" s="3">
        <v>1.1200000000000001</v>
      </c>
      <c r="D3998" s="3">
        <v>1</v>
      </c>
    </row>
    <row r="3999" spans="1:4" ht="12.75" x14ac:dyDescent="0.35">
      <c r="A3999" s="4">
        <v>44886</v>
      </c>
      <c r="B3999" s="3" t="s">
        <v>779</v>
      </c>
      <c r="C3999" s="3">
        <v>1.1200000000000001</v>
      </c>
      <c r="D3999" s="3">
        <v>1</v>
      </c>
    </row>
    <row r="4000" spans="1:4" ht="12.75" x14ac:dyDescent="0.35">
      <c r="A4000" s="4">
        <v>44916</v>
      </c>
      <c r="B4000" s="3" t="s">
        <v>1912</v>
      </c>
      <c r="C4000" s="3">
        <v>1.1200000000000001</v>
      </c>
      <c r="D4000" s="3">
        <v>1</v>
      </c>
    </row>
    <row r="4001" spans="1:4" ht="12.75" x14ac:dyDescent="0.35">
      <c r="A4001" s="4">
        <v>44672</v>
      </c>
      <c r="B4001" s="3" t="s">
        <v>877</v>
      </c>
      <c r="C4001" s="3">
        <v>1.1100000000000001</v>
      </c>
      <c r="D4001" s="3">
        <v>1</v>
      </c>
    </row>
    <row r="4002" spans="1:4" ht="12.75" x14ac:dyDescent="0.35">
      <c r="A4002" s="5">
        <v>44733</v>
      </c>
      <c r="B4002" s="3" t="s">
        <v>1403</v>
      </c>
      <c r="C4002" s="3">
        <v>1.1100000000000001</v>
      </c>
      <c r="D4002" s="3">
        <v>1</v>
      </c>
    </row>
    <row r="4003" spans="1:4" ht="12.75" x14ac:dyDescent="0.35">
      <c r="A4003" s="4">
        <v>44825</v>
      </c>
      <c r="B4003" s="3" t="s">
        <v>1473</v>
      </c>
      <c r="C4003" s="3">
        <v>1.1100000000000001</v>
      </c>
      <c r="D4003" s="3">
        <v>1</v>
      </c>
    </row>
    <row r="4004" spans="1:4" ht="12.75" x14ac:dyDescent="0.35">
      <c r="A4004" s="4">
        <v>44855</v>
      </c>
      <c r="B4004" s="3" t="s">
        <v>29</v>
      </c>
      <c r="C4004" s="3">
        <v>1.1100000000000001</v>
      </c>
      <c r="D4004" s="3">
        <v>1</v>
      </c>
    </row>
    <row r="4005" spans="1:4" ht="12.75" x14ac:dyDescent="0.35">
      <c r="A4005" s="4">
        <v>44613</v>
      </c>
      <c r="B4005" s="3" t="s">
        <v>599</v>
      </c>
      <c r="C4005" s="3">
        <v>1.1000000000000001</v>
      </c>
      <c r="D4005" s="3">
        <v>1</v>
      </c>
    </row>
    <row r="4006" spans="1:4" ht="12.75" x14ac:dyDescent="0.35">
      <c r="A4006" s="5">
        <v>44763</v>
      </c>
      <c r="B4006" s="3" t="s">
        <v>1389</v>
      </c>
      <c r="C4006" s="3">
        <v>1.1000000000000001</v>
      </c>
      <c r="D4006" s="3">
        <v>2</v>
      </c>
    </row>
    <row r="4007" spans="1:4" ht="12.75" x14ac:dyDescent="0.35">
      <c r="A4007" s="4">
        <v>44794</v>
      </c>
      <c r="B4007" s="3" t="s">
        <v>1475</v>
      </c>
      <c r="C4007" s="3">
        <v>1.1000000000000001</v>
      </c>
      <c r="D4007" s="3">
        <v>1</v>
      </c>
    </row>
    <row r="4008" spans="1:4" ht="12.75" x14ac:dyDescent="0.35">
      <c r="A4008" s="4">
        <v>44886</v>
      </c>
      <c r="B4008" s="3" t="s">
        <v>208</v>
      </c>
      <c r="C4008" s="3">
        <v>1.1000000000000001</v>
      </c>
      <c r="D4008" s="3">
        <v>1</v>
      </c>
    </row>
    <row r="4009" spans="1:4" ht="12.75" x14ac:dyDescent="0.35">
      <c r="A4009" s="4">
        <v>44582</v>
      </c>
      <c r="B4009" s="3" t="s">
        <v>83</v>
      </c>
      <c r="C4009" s="3">
        <v>1.0900000000000001</v>
      </c>
      <c r="D4009" s="3">
        <v>1</v>
      </c>
    </row>
    <row r="4010" spans="1:4" ht="12.75" x14ac:dyDescent="0.35">
      <c r="A4010" s="5">
        <v>44763</v>
      </c>
      <c r="B4010" s="3" t="s">
        <v>1541</v>
      </c>
      <c r="C4010" s="3">
        <v>1.0900000000000001</v>
      </c>
      <c r="D4010" s="3">
        <v>1</v>
      </c>
    </row>
    <row r="4011" spans="1:4" ht="12.75" x14ac:dyDescent="0.35">
      <c r="A4011" s="4">
        <v>44582</v>
      </c>
      <c r="B4011" s="3" t="s">
        <v>249</v>
      </c>
      <c r="C4011" s="3">
        <v>1.08</v>
      </c>
      <c r="D4011" s="3">
        <v>1</v>
      </c>
    </row>
    <row r="4012" spans="1:4" ht="12.75" x14ac:dyDescent="0.35">
      <c r="A4012" s="4">
        <v>44702</v>
      </c>
      <c r="B4012" s="3" t="s">
        <v>553</v>
      </c>
      <c r="C4012" s="3">
        <v>1.08</v>
      </c>
      <c r="D4012" s="3">
        <v>1</v>
      </c>
    </row>
    <row r="4013" spans="1:4" ht="12.75" x14ac:dyDescent="0.35">
      <c r="A4013" s="5">
        <v>44763</v>
      </c>
      <c r="B4013" s="3" t="s">
        <v>1513</v>
      </c>
      <c r="C4013" s="3">
        <v>1.08</v>
      </c>
      <c r="D4013" s="3">
        <v>1</v>
      </c>
    </row>
    <row r="4014" spans="1:4" ht="12.75" x14ac:dyDescent="0.35">
      <c r="A4014" s="4">
        <v>44794</v>
      </c>
      <c r="B4014" s="3" t="s">
        <v>1382</v>
      </c>
      <c r="C4014" s="3">
        <v>1.08</v>
      </c>
      <c r="D4014" s="3">
        <v>1</v>
      </c>
    </row>
    <row r="4015" spans="1:4" ht="12.75" x14ac:dyDescent="0.35">
      <c r="A4015" s="4">
        <v>44886</v>
      </c>
      <c r="B4015" s="3" t="s">
        <v>1834</v>
      </c>
      <c r="C4015" s="3">
        <v>1.08</v>
      </c>
      <c r="D4015" s="3">
        <v>1</v>
      </c>
    </row>
    <row r="4016" spans="1:4" ht="12.75" x14ac:dyDescent="0.35">
      <c r="A4016" s="4">
        <v>44582</v>
      </c>
      <c r="B4016" s="3" t="s">
        <v>60</v>
      </c>
      <c r="C4016" s="3">
        <v>1.07</v>
      </c>
      <c r="D4016" s="3">
        <v>1</v>
      </c>
    </row>
    <row r="4017" spans="1:4" ht="12.75" x14ac:dyDescent="0.35">
      <c r="A4017" s="4">
        <v>44613</v>
      </c>
      <c r="B4017" s="3" t="s">
        <v>538</v>
      </c>
      <c r="C4017" s="3">
        <v>1.07</v>
      </c>
      <c r="D4017" s="3">
        <v>2</v>
      </c>
    </row>
    <row r="4018" spans="1:4" ht="12.75" x14ac:dyDescent="0.35">
      <c r="A4018" s="4">
        <v>44641</v>
      </c>
      <c r="B4018" s="3" t="s">
        <v>553</v>
      </c>
      <c r="C4018" s="3">
        <v>1.06</v>
      </c>
      <c r="D4018" s="3">
        <v>1</v>
      </c>
    </row>
    <row r="4019" spans="1:4" ht="12.75" x14ac:dyDescent="0.35">
      <c r="A4019" s="5">
        <v>44763</v>
      </c>
      <c r="B4019" s="3" t="s">
        <v>485</v>
      </c>
      <c r="C4019" s="3">
        <v>1.06</v>
      </c>
      <c r="D4019" s="3">
        <v>3</v>
      </c>
    </row>
    <row r="4020" spans="1:4" ht="12.75" x14ac:dyDescent="0.35">
      <c r="A4020" s="4">
        <v>44794</v>
      </c>
      <c r="B4020" s="3" t="s">
        <v>1606</v>
      </c>
      <c r="C4020" s="3">
        <v>1.06</v>
      </c>
      <c r="D4020" s="3">
        <v>1</v>
      </c>
    </row>
    <row r="4021" spans="1:4" ht="12.75" x14ac:dyDescent="0.35">
      <c r="A4021" s="4">
        <v>44702</v>
      </c>
      <c r="B4021" s="3" t="s">
        <v>199</v>
      </c>
      <c r="C4021" s="3">
        <v>1.05</v>
      </c>
      <c r="D4021" s="3">
        <v>1</v>
      </c>
    </row>
    <row r="4022" spans="1:4" ht="12.75" x14ac:dyDescent="0.35">
      <c r="A4022" s="5">
        <v>44733</v>
      </c>
      <c r="B4022" s="3" t="s">
        <v>1230</v>
      </c>
      <c r="C4022" s="3">
        <v>1.05</v>
      </c>
      <c r="D4022" s="3">
        <v>1</v>
      </c>
    </row>
    <row r="4023" spans="1:4" ht="12.75" x14ac:dyDescent="0.35">
      <c r="A4023" s="5">
        <v>44733</v>
      </c>
      <c r="B4023" s="3" t="s">
        <v>1334</v>
      </c>
      <c r="C4023" s="3">
        <v>1.05</v>
      </c>
      <c r="D4023" s="3">
        <v>1</v>
      </c>
    </row>
    <row r="4024" spans="1:4" ht="12.75" x14ac:dyDescent="0.35">
      <c r="A4024" s="5">
        <v>44763</v>
      </c>
      <c r="B4024" s="3" t="s">
        <v>1554</v>
      </c>
      <c r="C4024" s="3">
        <v>1.05</v>
      </c>
      <c r="D4024" s="3">
        <v>1</v>
      </c>
    </row>
    <row r="4025" spans="1:4" ht="12.75" x14ac:dyDescent="0.35">
      <c r="A4025" s="4">
        <v>44794</v>
      </c>
      <c r="B4025" s="3" t="s">
        <v>789</v>
      </c>
      <c r="C4025" s="3">
        <v>1.05</v>
      </c>
      <c r="D4025" s="3">
        <v>3</v>
      </c>
    </row>
    <row r="4026" spans="1:4" ht="12.75" x14ac:dyDescent="0.35">
      <c r="A4026" s="4">
        <v>44672</v>
      </c>
      <c r="B4026" s="3" t="s">
        <v>935</v>
      </c>
      <c r="C4026" s="3">
        <v>1.04</v>
      </c>
      <c r="D4026" s="3">
        <v>1</v>
      </c>
    </row>
    <row r="4027" spans="1:4" ht="12.75" x14ac:dyDescent="0.35">
      <c r="A4027" s="5">
        <v>44733</v>
      </c>
      <c r="B4027" s="3" t="s">
        <v>1360</v>
      </c>
      <c r="C4027" s="3">
        <v>1.04</v>
      </c>
      <c r="D4027" s="3">
        <v>1</v>
      </c>
    </row>
    <row r="4028" spans="1:4" ht="12.75" x14ac:dyDescent="0.35">
      <c r="A4028" s="5">
        <v>44763</v>
      </c>
      <c r="B4028" s="3" t="s">
        <v>1486</v>
      </c>
      <c r="C4028" s="3">
        <v>1.04</v>
      </c>
      <c r="D4028" s="3">
        <v>1</v>
      </c>
    </row>
    <row r="4029" spans="1:4" ht="12.75" x14ac:dyDescent="0.35">
      <c r="A4029" s="4">
        <v>44794</v>
      </c>
      <c r="B4029" s="3" t="s">
        <v>1585</v>
      </c>
      <c r="C4029" s="3">
        <v>1.04</v>
      </c>
      <c r="D4029" s="3">
        <v>1</v>
      </c>
    </row>
    <row r="4030" spans="1:4" ht="12.75" x14ac:dyDescent="0.35">
      <c r="A4030" s="4">
        <v>44794</v>
      </c>
      <c r="B4030" s="3" t="s">
        <v>1654</v>
      </c>
      <c r="C4030" s="3">
        <v>1.04</v>
      </c>
      <c r="D4030" s="3">
        <v>1</v>
      </c>
    </row>
    <row r="4031" spans="1:4" ht="12.75" x14ac:dyDescent="0.35">
      <c r="A4031" s="4">
        <v>44916</v>
      </c>
      <c r="B4031" s="3" t="s">
        <v>46</v>
      </c>
      <c r="C4031" s="3">
        <v>1.04</v>
      </c>
      <c r="D4031" s="3">
        <v>1</v>
      </c>
    </row>
    <row r="4032" spans="1:4" ht="12.75" x14ac:dyDescent="0.35">
      <c r="A4032" s="4">
        <v>44582</v>
      </c>
      <c r="B4032" s="3" t="s">
        <v>305</v>
      </c>
      <c r="C4032" s="3">
        <v>1.03</v>
      </c>
      <c r="D4032" s="3">
        <v>1</v>
      </c>
    </row>
    <row r="4033" spans="1:4" ht="12.75" x14ac:dyDescent="0.35">
      <c r="A4033" s="4">
        <v>44702</v>
      </c>
      <c r="B4033" s="3" t="s">
        <v>338</v>
      </c>
      <c r="C4033" s="3">
        <v>1.03</v>
      </c>
      <c r="D4033" s="3">
        <v>1</v>
      </c>
    </row>
    <row r="4034" spans="1:4" ht="12.75" x14ac:dyDescent="0.35">
      <c r="A4034" s="4">
        <v>44855</v>
      </c>
      <c r="B4034" s="3" t="s">
        <v>1116</v>
      </c>
      <c r="C4034" s="3">
        <v>1.03</v>
      </c>
      <c r="D4034" s="3">
        <v>1</v>
      </c>
    </row>
    <row r="4035" spans="1:4" ht="12.75" x14ac:dyDescent="0.35">
      <c r="A4035" s="5">
        <v>44733</v>
      </c>
      <c r="B4035" s="3" t="s">
        <v>391</v>
      </c>
      <c r="C4035" s="3">
        <v>1.02</v>
      </c>
      <c r="D4035" s="3">
        <v>1</v>
      </c>
    </row>
    <row r="4036" spans="1:4" ht="12.75" x14ac:dyDescent="0.35">
      <c r="A4036" s="4">
        <v>44794</v>
      </c>
      <c r="B4036" s="3" t="s">
        <v>1235</v>
      </c>
      <c r="C4036" s="3">
        <v>1.02</v>
      </c>
      <c r="D4036" s="3">
        <v>2</v>
      </c>
    </row>
    <row r="4037" spans="1:4" ht="12.75" x14ac:dyDescent="0.35">
      <c r="A4037" s="4">
        <v>44794</v>
      </c>
      <c r="B4037" s="3" t="s">
        <v>1620</v>
      </c>
      <c r="C4037" s="3">
        <v>1.02</v>
      </c>
      <c r="D4037" s="3">
        <v>1</v>
      </c>
    </row>
    <row r="4038" spans="1:4" ht="12.75" x14ac:dyDescent="0.35">
      <c r="A4038" s="4">
        <v>44825</v>
      </c>
      <c r="B4038" s="3" t="s">
        <v>1762</v>
      </c>
      <c r="C4038" s="3">
        <v>1.02</v>
      </c>
      <c r="D4038" s="3">
        <v>1</v>
      </c>
    </row>
    <row r="4039" spans="1:4" ht="12.75" x14ac:dyDescent="0.35">
      <c r="A4039" s="4">
        <v>44613</v>
      </c>
      <c r="B4039" s="3" t="s">
        <v>440</v>
      </c>
      <c r="C4039" s="3">
        <v>1.01</v>
      </c>
      <c r="D4039" s="3">
        <v>1</v>
      </c>
    </row>
    <row r="4040" spans="1:4" ht="12.75" x14ac:dyDescent="0.35">
      <c r="A4040" s="5">
        <v>44733</v>
      </c>
      <c r="B4040" s="3" t="s">
        <v>865</v>
      </c>
      <c r="C4040" s="3">
        <v>1.01</v>
      </c>
      <c r="D4040" s="3">
        <v>2</v>
      </c>
    </row>
    <row r="4041" spans="1:4" ht="12.75" x14ac:dyDescent="0.35">
      <c r="A4041" s="5">
        <v>44763</v>
      </c>
      <c r="B4041" s="3" t="s">
        <v>1473</v>
      </c>
      <c r="C4041" s="3">
        <v>1.01</v>
      </c>
      <c r="D4041" s="3">
        <v>1</v>
      </c>
    </row>
    <row r="4042" spans="1:4" ht="12.75" x14ac:dyDescent="0.35">
      <c r="A4042" s="4">
        <v>44702</v>
      </c>
      <c r="B4042" s="3" t="s">
        <v>732</v>
      </c>
      <c r="C4042" s="3">
        <v>1</v>
      </c>
      <c r="D4042" s="3">
        <v>1</v>
      </c>
    </row>
    <row r="4043" spans="1:4" ht="12.75" x14ac:dyDescent="0.35">
      <c r="A4043" s="5">
        <v>44763</v>
      </c>
      <c r="B4043" s="3" t="s">
        <v>46</v>
      </c>
      <c r="C4043" s="3">
        <v>1</v>
      </c>
      <c r="D4043" s="3">
        <v>1</v>
      </c>
    </row>
    <row r="4044" spans="1:4" ht="12.75" x14ac:dyDescent="0.35">
      <c r="A4044" s="4">
        <v>44794</v>
      </c>
      <c r="B4044" s="3" t="s">
        <v>409</v>
      </c>
      <c r="C4044" s="3">
        <v>1</v>
      </c>
      <c r="D4044" s="3">
        <v>1</v>
      </c>
    </row>
    <row r="4045" spans="1:4" ht="12.75" x14ac:dyDescent="0.35">
      <c r="A4045" s="4">
        <v>44825</v>
      </c>
      <c r="B4045" s="3" t="s">
        <v>1539</v>
      </c>
      <c r="C4045" s="3">
        <v>1</v>
      </c>
      <c r="D4045" s="3">
        <v>1</v>
      </c>
    </row>
    <row r="4046" spans="1:4" ht="12.75" x14ac:dyDescent="0.35">
      <c r="A4046" s="4">
        <v>44825</v>
      </c>
      <c r="B4046" s="3" t="s">
        <v>1789</v>
      </c>
      <c r="C4046" s="3">
        <v>1</v>
      </c>
      <c r="D4046" s="3">
        <v>1</v>
      </c>
    </row>
    <row r="4047" spans="1:4" ht="12.75" x14ac:dyDescent="0.35">
      <c r="A4047" s="4">
        <v>44916</v>
      </c>
      <c r="B4047" s="3" t="s">
        <v>622</v>
      </c>
      <c r="C4047" s="3">
        <v>1</v>
      </c>
      <c r="D4047" s="3">
        <v>4</v>
      </c>
    </row>
    <row r="4048" spans="1:4" ht="12.75" x14ac:dyDescent="0.35">
      <c r="A4048" s="4">
        <v>44916</v>
      </c>
      <c r="B4048" s="3" t="s">
        <v>596</v>
      </c>
      <c r="C4048" s="3">
        <v>1</v>
      </c>
      <c r="D4048" s="3">
        <v>1</v>
      </c>
    </row>
    <row r="4049" spans="1:7" ht="12.75" x14ac:dyDescent="0.35">
      <c r="A4049" s="4">
        <v>44916</v>
      </c>
      <c r="B4049" s="3" t="s">
        <v>17</v>
      </c>
      <c r="C4049" s="3">
        <v>1</v>
      </c>
      <c r="D4049" s="3">
        <v>1</v>
      </c>
    </row>
    <row r="4050" spans="1:7" ht="12.75" x14ac:dyDescent="0.35">
      <c r="A4050" s="4">
        <v>44916</v>
      </c>
      <c r="B4050" s="3" t="s">
        <v>1851</v>
      </c>
      <c r="C4050" s="3">
        <v>1</v>
      </c>
      <c r="D4050" s="3">
        <v>1</v>
      </c>
    </row>
    <row r="4051" spans="1:7" ht="12.75" x14ac:dyDescent="0.35">
      <c r="A4051" s="4">
        <v>44916</v>
      </c>
      <c r="B4051" s="3" t="s">
        <v>1852</v>
      </c>
      <c r="C4051" s="3">
        <v>1</v>
      </c>
      <c r="D4051" s="3">
        <v>1</v>
      </c>
    </row>
    <row r="4052" spans="1:7" ht="12.75" x14ac:dyDescent="0.35">
      <c r="A4052" s="4">
        <v>44916</v>
      </c>
      <c r="B4052" s="3" t="s">
        <v>1596</v>
      </c>
      <c r="C4052" s="3">
        <v>1</v>
      </c>
      <c r="D4052" s="3">
        <v>1</v>
      </c>
    </row>
    <row r="4053" spans="1:7" ht="12.75" x14ac:dyDescent="0.35">
      <c r="A4053" s="4">
        <v>44916</v>
      </c>
      <c r="B4053" s="3" t="s">
        <v>1859</v>
      </c>
      <c r="C4053" s="3">
        <v>1</v>
      </c>
      <c r="D4053" s="3">
        <v>1</v>
      </c>
      <c r="G4053" s="4"/>
    </row>
    <row r="4054" spans="1:7" ht="12.75" x14ac:dyDescent="0.35">
      <c r="A4054" s="4">
        <v>44916</v>
      </c>
      <c r="B4054" s="3" t="s">
        <v>577</v>
      </c>
      <c r="C4054" s="3">
        <v>1</v>
      </c>
      <c r="D4054" s="3">
        <v>1</v>
      </c>
    </row>
    <row r="4055" spans="1:7" ht="12.75" x14ac:dyDescent="0.35">
      <c r="A4055" s="4">
        <v>44916</v>
      </c>
      <c r="B4055" s="3" t="s">
        <v>884</v>
      </c>
      <c r="C4055" s="3">
        <v>1</v>
      </c>
      <c r="D4055" s="3">
        <v>1</v>
      </c>
    </row>
    <row r="4056" spans="1:7" ht="12.75" x14ac:dyDescent="0.35">
      <c r="A4056" s="4">
        <v>44916</v>
      </c>
      <c r="B4056" s="3" t="s">
        <v>279</v>
      </c>
      <c r="C4056" s="3">
        <v>1</v>
      </c>
      <c r="D4056" s="3">
        <v>1</v>
      </c>
    </row>
    <row r="4057" spans="1:7" ht="12.75" x14ac:dyDescent="0.35">
      <c r="A4057" s="4">
        <v>44916</v>
      </c>
      <c r="B4057" s="3" t="s">
        <v>1879</v>
      </c>
      <c r="C4057" s="3">
        <v>1</v>
      </c>
      <c r="D4057" s="3">
        <v>1</v>
      </c>
    </row>
    <row r="4058" spans="1:7" ht="12.75" x14ac:dyDescent="0.35">
      <c r="A4058" s="4">
        <v>44916</v>
      </c>
      <c r="B4058" s="3" t="s">
        <v>1883</v>
      </c>
      <c r="C4058" s="3">
        <v>1</v>
      </c>
      <c r="D4058" s="3">
        <v>1</v>
      </c>
    </row>
    <row r="4059" spans="1:7" ht="12.75" x14ac:dyDescent="0.35">
      <c r="A4059" s="4">
        <v>44916</v>
      </c>
      <c r="B4059" s="3" t="s">
        <v>1884</v>
      </c>
      <c r="C4059" s="3">
        <v>1</v>
      </c>
      <c r="D4059" s="3">
        <v>1</v>
      </c>
    </row>
    <row r="4060" spans="1:7" ht="12.75" x14ac:dyDescent="0.35">
      <c r="A4060" s="4">
        <v>44916</v>
      </c>
      <c r="B4060" s="3" t="s">
        <v>33</v>
      </c>
      <c r="C4060" s="3">
        <v>1</v>
      </c>
      <c r="D4060" s="3">
        <v>1</v>
      </c>
    </row>
    <row r="4061" spans="1:7" ht="12.75" x14ac:dyDescent="0.35">
      <c r="A4061" s="4">
        <v>44916</v>
      </c>
      <c r="B4061" s="3" t="s">
        <v>1896</v>
      </c>
      <c r="C4061" s="3">
        <v>1</v>
      </c>
      <c r="D4061" s="3">
        <v>1</v>
      </c>
    </row>
    <row r="4062" spans="1:7" ht="12.75" x14ac:dyDescent="0.35">
      <c r="A4062" s="4">
        <v>44916</v>
      </c>
      <c r="B4062" s="3" t="s">
        <v>1902</v>
      </c>
      <c r="C4062" s="3">
        <v>1</v>
      </c>
      <c r="D4062" s="3">
        <v>1</v>
      </c>
    </row>
    <row r="4063" spans="1:7" ht="12.75" x14ac:dyDescent="0.35">
      <c r="A4063" s="4">
        <v>44916</v>
      </c>
      <c r="B4063" s="3" t="s">
        <v>515</v>
      </c>
      <c r="C4063" s="3">
        <v>1</v>
      </c>
      <c r="D4063" s="3">
        <v>1</v>
      </c>
    </row>
    <row r="4064" spans="1:7" ht="12.75" x14ac:dyDescent="0.35">
      <c r="A4064" s="4">
        <v>44916</v>
      </c>
      <c r="B4064" s="3" t="s">
        <v>1846</v>
      </c>
      <c r="C4064" s="3">
        <v>1</v>
      </c>
      <c r="D4064" s="3">
        <v>1</v>
      </c>
    </row>
    <row r="4065" spans="1:4" ht="12.75" x14ac:dyDescent="0.35">
      <c r="A4065" s="4">
        <v>44916</v>
      </c>
      <c r="B4065" s="3" t="s">
        <v>1905</v>
      </c>
      <c r="C4065" s="3">
        <v>1</v>
      </c>
      <c r="D4065" s="3">
        <v>1</v>
      </c>
    </row>
    <row r="4066" spans="1:4" ht="12.75" x14ac:dyDescent="0.35">
      <c r="A4066" s="4">
        <v>44916</v>
      </c>
      <c r="B4066" s="3" t="s">
        <v>1895</v>
      </c>
      <c r="C4066" s="3">
        <v>1</v>
      </c>
      <c r="D4066" s="3">
        <v>1</v>
      </c>
    </row>
    <row r="4067" spans="1:4" ht="12.75" x14ac:dyDescent="0.35">
      <c r="A4067" s="4">
        <v>44916</v>
      </c>
      <c r="B4067" s="3" t="s">
        <v>1911</v>
      </c>
      <c r="C4067" s="3">
        <v>208.91</v>
      </c>
      <c r="D4067" s="3">
        <v>2</v>
      </c>
    </row>
    <row r="4068" spans="1:4" ht="12.75" x14ac:dyDescent="0.35">
      <c r="A4068" s="4">
        <v>44916</v>
      </c>
      <c r="B4068" s="3" t="s">
        <v>1912</v>
      </c>
      <c r="C4068" s="3">
        <v>1</v>
      </c>
      <c r="D4068" s="3">
        <v>1</v>
      </c>
    </row>
    <row r="4069" spans="1:4" ht="12.75" x14ac:dyDescent="0.35">
      <c r="A4069" s="4">
        <v>44916</v>
      </c>
      <c r="B4069" s="3" t="s">
        <v>1868</v>
      </c>
      <c r="C4069" s="3">
        <v>1</v>
      </c>
      <c r="D4069" s="3">
        <v>1</v>
      </c>
    </row>
    <row r="4070" spans="1:4" ht="12.75" x14ac:dyDescent="0.35">
      <c r="A4070" s="4">
        <v>44916</v>
      </c>
      <c r="B4070" s="3" t="s">
        <v>1925</v>
      </c>
      <c r="C4070" s="3">
        <v>1</v>
      </c>
      <c r="D4070" s="3">
        <v>1</v>
      </c>
    </row>
    <row r="4071" spans="1:4" ht="12.75" x14ac:dyDescent="0.35">
      <c r="A4071" s="4">
        <v>44916</v>
      </c>
      <c r="B4071" s="3" t="s">
        <v>1930</v>
      </c>
      <c r="C4071" s="3">
        <v>1</v>
      </c>
      <c r="D4071" s="3">
        <v>1</v>
      </c>
    </row>
    <row r="4072" spans="1:4" ht="12.75" x14ac:dyDescent="0.35">
      <c r="A4072" s="4">
        <v>44916</v>
      </c>
      <c r="B4072" s="3" t="s">
        <v>62</v>
      </c>
      <c r="C4072" s="3">
        <v>1</v>
      </c>
      <c r="D4072" s="3">
        <v>1</v>
      </c>
    </row>
    <row r="4073" spans="1:4" ht="12.75" x14ac:dyDescent="0.35">
      <c r="A4073" s="4">
        <v>44916</v>
      </c>
      <c r="B4073" s="3" t="s">
        <v>1811</v>
      </c>
      <c r="C4073" s="3">
        <v>1</v>
      </c>
      <c r="D4073" s="3">
        <v>3</v>
      </c>
    </row>
    <row r="4074" spans="1:4" ht="12.75" x14ac:dyDescent="0.35">
      <c r="A4074" s="4">
        <v>44916</v>
      </c>
      <c r="B4074" s="3" t="s">
        <v>365</v>
      </c>
      <c r="C4074" s="3">
        <v>1</v>
      </c>
      <c r="D4074" s="3">
        <v>1</v>
      </c>
    </row>
    <row r="4075" spans="1:4" ht="12.75" x14ac:dyDescent="0.35">
      <c r="A4075" s="4">
        <v>44916</v>
      </c>
      <c r="B4075" s="3" t="s">
        <v>1929</v>
      </c>
      <c r="C4075" s="3">
        <v>1</v>
      </c>
      <c r="D4075" s="3">
        <v>1</v>
      </c>
    </row>
    <row r="4076" spans="1:4" ht="12.75" x14ac:dyDescent="0.35">
      <c r="A4076" s="4">
        <v>44916</v>
      </c>
      <c r="B4076" s="3" t="s">
        <v>1735</v>
      </c>
      <c r="C4076" s="3">
        <v>1</v>
      </c>
      <c r="D4076" s="3">
        <v>3</v>
      </c>
    </row>
    <row r="4077" spans="1:4" ht="12.75" x14ac:dyDescent="0.35">
      <c r="A4077" s="4">
        <v>44916</v>
      </c>
      <c r="B4077" s="3" t="s">
        <v>1946</v>
      </c>
      <c r="C4077" s="3">
        <v>1</v>
      </c>
      <c r="D4077" s="3">
        <v>1</v>
      </c>
    </row>
    <row r="4078" spans="1:4" ht="12.75" x14ac:dyDescent="0.35">
      <c r="A4078" s="4">
        <v>44916</v>
      </c>
      <c r="B4078" s="3" t="s">
        <v>451</v>
      </c>
      <c r="C4078" s="3">
        <v>1</v>
      </c>
      <c r="D4078" s="3">
        <v>1</v>
      </c>
    </row>
    <row r="4079" spans="1:4" ht="12.75" x14ac:dyDescent="0.35">
      <c r="A4079" s="4">
        <v>44916</v>
      </c>
      <c r="B4079" s="3" t="s">
        <v>126</v>
      </c>
      <c r="C4079" s="3">
        <v>1</v>
      </c>
      <c r="D4079" s="3">
        <v>1</v>
      </c>
    </row>
    <row r="4080" spans="1:4" ht="12.75" x14ac:dyDescent="0.35">
      <c r="A4080" s="4">
        <v>44916</v>
      </c>
      <c r="B4080" s="3" t="s">
        <v>812</v>
      </c>
      <c r="C4080" s="3">
        <v>1</v>
      </c>
      <c r="D4080" s="3">
        <v>1</v>
      </c>
    </row>
    <row r="4081" spans="1:4" ht="12.75" x14ac:dyDescent="0.35">
      <c r="A4081" s="4">
        <v>44916</v>
      </c>
      <c r="B4081" s="3" t="s">
        <v>1948</v>
      </c>
      <c r="C4081" s="3">
        <v>1</v>
      </c>
      <c r="D4081" s="3">
        <v>1</v>
      </c>
    </row>
    <row r="4082" spans="1:4" ht="12.75" x14ac:dyDescent="0.35">
      <c r="A4082" s="4">
        <v>44916</v>
      </c>
      <c r="B4082" s="3" t="s">
        <v>715</v>
      </c>
      <c r="C4082" s="3">
        <v>1</v>
      </c>
      <c r="D4082" s="3">
        <v>1</v>
      </c>
    </row>
    <row r="4083" spans="1:4" ht="12.75" x14ac:dyDescent="0.35">
      <c r="A4083" s="4">
        <v>44916</v>
      </c>
      <c r="B4083" s="3" t="s">
        <v>1954</v>
      </c>
      <c r="C4083" s="3">
        <v>1</v>
      </c>
      <c r="D4083" s="3">
        <v>1</v>
      </c>
    </row>
    <row r="4084" spans="1:4" ht="12.75" x14ac:dyDescent="0.35">
      <c r="A4084" s="4">
        <v>44916</v>
      </c>
      <c r="B4084" s="3" t="s">
        <v>1892</v>
      </c>
      <c r="C4084" s="3">
        <v>1</v>
      </c>
      <c r="D4084" s="3">
        <v>1</v>
      </c>
    </row>
    <row r="4085" spans="1:4" ht="12.75" x14ac:dyDescent="0.35">
      <c r="A4085" s="4">
        <v>44916</v>
      </c>
      <c r="B4085" s="3" t="s">
        <v>372</v>
      </c>
      <c r="C4085" s="3">
        <v>1</v>
      </c>
      <c r="D4085" s="3">
        <v>1</v>
      </c>
    </row>
    <row r="4086" spans="1:4" ht="12.75" x14ac:dyDescent="0.35">
      <c r="A4086" s="4">
        <v>44916</v>
      </c>
      <c r="B4086" s="3" t="s">
        <v>1962</v>
      </c>
      <c r="C4086" s="3">
        <v>1</v>
      </c>
      <c r="D4086" s="3">
        <v>1</v>
      </c>
    </row>
    <row r="4087" spans="1:4" ht="12.75" x14ac:dyDescent="0.35">
      <c r="A4087" s="5">
        <v>44733</v>
      </c>
      <c r="B4087" s="3" t="s">
        <v>1444</v>
      </c>
      <c r="C4087" s="3">
        <v>0.99</v>
      </c>
      <c r="D4087" s="3">
        <v>1</v>
      </c>
    </row>
    <row r="4088" spans="1:4" ht="12.75" x14ac:dyDescent="0.35">
      <c r="A4088" s="4">
        <v>44825</v>
      </c>
      <c r="B4088" s="3" t="s">
        <v>1752</v>
      </c>
      <c r="C4088" s="3">
        <v>0.99</v>
      </c>
      <c r="D4088" s="3">
        <v>1</v>
      </c>
    </row>
    <row r="4089" spans="1:4" ht="12.75" x14ac:dyDescent="0.35">
      <c r="A4089" s="4">
        <v>44886</v>
      </c>
      <c r="B4089" s="3" t="s">
        <v>1776</v>
      </c>
      <c r="C4089" s="3">
        <v>0.99</v>
      </c>
      <c r="D4089" s="3">
        <v>2</v>
      </c>
    </row>
    <row r="4090" spans="1:4" ht="12.75" x14ac:dyDescent="0.35">
      <c r="A4090" s="4">
        <v>44672</v>
      </c>
      <c r="B4090" s="3" t="s">
        <v>172</v>
      </c>
      <c r="C4090" s="3">
        <v>0.98</v>
      </c>
      <c r="D4090" s="3">
        <v>2</v>
      </c>
    </row>
    <row r="4091" spans="1:4" ht="12.75" x14ac:dyDescent="0.35">
      <c r="A4091" s="5">
        <v>44733</v>
      </c>
      <c r="B4091" s="3" t="s">
        <v>1096</v>
      </c>
      <c r="C4091" s="3">
        <v>0.98</v>
      </c>
      <c r="D4091" s="3">
        <v>1</v>
      </c>
    </row>
    <row r="4092" spans="1:4" ht="12.75" x14ac:dyDescent="0.35">
      <c r="A4092" s="5">
        <v>44733</v>
      </c>
      <c r="B4092" s="3" t="s">
        <v>1366</v>
      </c>
      <c r="C4092" s="3">
        <v>0.98</v>
      </c>
      <c r="D4092" s="3">
        <v>1</v>
      </c>
    </row>
    <row r="4093" spans="1:4" ht="12.75" x14ac:dyDescent="0.35">
      <c r="A4093" s="5">
        <v>44763</v>
      </c>
      <c r="B4093" s="3" t="s">
        <v>1402</v>
      </c>
      <c r="C4093" s="3">
        <v>0.98</v>
      </c>
      <c r="D4093" s="3">
        <v>1</v>
      </c>
    </row>
    <row r="4094" spans="1:4" ht="12.75" x14ac:dyDescent="0.35">
      <c r="A4094" s="5">
        <v>44763</v>
      </c>
      <c r="B4094" s="3" t="s">
        <v>1482</v>
      </c>
      <c r="C4094" s="3">
        <v>0.98</v>
      </c>
      <c r="D4094" s="3">
        <v>1</v>
      </c>
    </row>
    <row r="4095" spans="1:4" ht="12.75" x14ac:dyDescent="0.35">
      <c r="A4095" s="5">
        <v>44763</v>
      </c>
      <c r="B4095" s="3" t="s">
        <v>104</v>
      </c>
      <c r="C4095" s="3">
        <v>0.98</v>
      </c>
      <c r="D4095" s="3">
        <v>1</v>
      </c>
    </row>
    <row r="4096" spans="1:4" ht="12.75" x14ac:dyDescent="0.35">
      <c r="A4096" s="4">
        <v>44641</v>
      </c>
      <c r="B4096" s="3" t="s">
        <v>369</v>
      </c>
      <c r="C4096" s="3">
        <v>0.97</v>
      </c>
      <c r="D4096" s="3">
        <v>1</v>
      </c>
    </row>
    <row r="4097" spans="1:4" ht="12.75" x14ac:dyDescent="0.35">
      <c r="A4097" s="5">
        <v>44763</v>
      </c>
      <c r="B4097" s="3" t="s">
        <v>1294</v>
      </c>
      <c r="C4097" s="3">
        <v>0.97</v>
      </c>
      <c r="D4097" s="3">
        <v>1</v>
      </c>
    </row>
    <row r="4098" spans="1:4" ht="12.75" x14ac:dyDescent="0.35">
      <c r="A4098" s="4">
        <v>44794</v>
      </c>
      <c r="B4098" s="3" t="s">
        <v>898</v>
      </c>
      <c r="C4098" s="3">
        <v>0.97</v>
      </c>
      <c r="D4098" s="3">
        <v>2</v>
      </c>
    </row>
    <row r="4099" spans="1:4" ht="12.75" x14ac:dyDescent="0.35">
      <c r="A4099" s="4">
        <v>44916</v>
      </c>
      <c r="B4099" s="3" t="s">
        <v>1904</v>
      </c>
      <c r="C4099" s="3">
        <v>0.97</v>
      </c>
      <c r="D4099" s="3">
        <v>1</v>
      </c>
    </row>
    <row r="4100" spans="1:4" ht="12.75" x14ac:dyDescent="0.35">
      <c r="A4100" s="4">
        <v>44582</v>
      </c>
      <c r="B4100" s="3" t="s">
        <v>320</v>
      </c>
      <c r="C4100" s="3">
        <v>0.96</v>
      </c>
      <c r="D4100" s="3">
        <v>1</v>
      </c>
    </row>
    <row r="4101" spans="1:4" ht="12.75" x14ac:dyDescent="0.35">
      <c r="A4101" s="5">
        <v>44733</v>
      </c>
      <c r="B4101" s="3" t="s">
        <v>1215</v>
      </c>
      <c r="C4101" s="3">
        <v>0.96</v>
      </c>
      <c r="D4101" s="3">
        <v>1</v>
      </c>
    </row>
    <row r="4102" spans="1:4" ht="12.75" x14ac:dyDescent="0.35">
      <c r="A4102" s="5">
        <v>44763</v>
      </c>
      <c r="B4102" s="3" t="s">
        <v>1039</v>
      </c>
      <c r="C4102" s="3">
        <v>0.96</v>
      </c>
      <c r="D4102" s="3">
        <v>1</v>
      </c>
    </row>
    <row r="4103" spans="1:4" ht="12.75" x14ac:dyDescent="0.35">
      <c r="A4103" s="4">
        <v>44794</v>
      </c>
      <c r="B4103" s="3" t="s">
        <v>1201</v>
      </c>
      <c r="C4103" s="3">
        <v>0.96</v>
      </c>
      <c r="D4103" s="3">
        <v>1</v>
      </c>
    </row>
    <row r="4104" spans="1:4" ht="12.75" x14ac:dyDescent="0.35">
      <c r="A4104" s="4">
        <v>44794</v>
      </c>
      <c r="B4104" s="3" t="s">
        <v>533</v>
      </c>
      <c r="C4104" s="3">
        <v>0.96</v>
      </c>
      <c r="D4104" s="3">
        <v>1</v>
      </c>
    </row>
    <row r="4105" spans="1:4" ht="12.75" x14ac:dyDescent="0.35">
      <c r="A4105" s="4">
        <v>44582</v>
      </c>
      <c r="B4105" s="3" t="s">
        <v>124</v>
      </c>
      <c r="C4105" s="3">
        <v>0.95</v>
      </c>
      <c r="D4105" s="3">
        <v>1</v>
      </c>
    </row>
    <row r="4106" spans="1:4" ht="12.75" x14ac:dyDescent="0.35">
      <c r="A4106" s="4">
        <v>44613</v>
      </c>
      <c r="B4106" s="3" t="s">
        <v>428</v>
      </c>
      <c r="C4106" s="3">
        <v>0.95</v>
      </c>
      <c r="D4106" s="3">
        <v>1</v>
      </c>
    </row>
    <row r="4107" spans="1:4" ht="12.75" x14ac:dyDescent="0.35">
      <c r="A4107" s="4">
        <v>44641</v>
      </c>
      <c r="B4107" s="3" t="s">
        <v>509</v>
      </c>
      <c r="C4107" s="3">
        <v>0.95</v>
      </c>
      <c r="D4107" s="3">
        <v>1</v>
      </c>
    </row>
    <row r="4108" spans="1:4" ht="12.75" x14ac:dyDescent="0.35">
      <c r="A4108" s="4">
        <v>44672</v>
      </c>
      <c r="B4108" s="3" t="s">
        <v>881</v>
      </c>
      <c r="C4108" s="3">
        <v>0.95</v>
      </c>
      <c r="D4108" s="3">
        <v>1</v>
      </c>
    </row>
    <row r="4109" spans="1:4" ht="12.75" x14ac:dyDescent="0.35">
      <c r="A4109" s="4">
        <v>44702</v>
      </c>
      <c r="B4109" s="3" t="s">
        <v>431</v>
      </c>
      <c r="C4109" s="3">
        <v>0.95</v>
      </c>
      <c r="D4109" s="3">
        <v>3</v>
      </c>
    </row>
    <row r="4110" spans="1:4" ht="12.75" x14ac:dyDescent="0.35">
      <c r="A4110" s="5">
        <v>44733</v>
      </c>
      <c r="B4110" s="3" t="s">
        <v>1460</v>
      </c>
      <c r="C4110" s="3">
        <v>0.95</v>
      </c>
      <c r="D4110" s="3">
        <v>1</v>
      </c>
    </row>
    <row r="4111" spans="1:4" ht="12.75" x14ac:dyDescent="0.35">
      <c r="A4111" s="5">
        <v>44763</v>
      </c>
      <c r="B4111" s="3" t="s">
        <v>253</v>
      </c>
      <c r="C4111" s="3">
        <v>0.95</v>
      </c>
      <c r="D4111" s="3">
        <v>3</v>
      </c>
    </row>
    <row r="4112" spans="1:4" ht="12.75" x14ac:dyDescent="0.35">
      <c r="A4112" s="4">
        <v>44825</v>
      </c>
      <c r="B4112" s="3" t="s">
        <v>1800</v>
      </c>
      <c r="C4112" s="3">
        <v>0.95</v>
      </c>
      <c r="D4112" s="3">
        <v>1</v>
      </c>
    </row>
    <row r="4113" spans="1:4" ht="12.75" x14ac:dyDescent="0.35">
      <c r="A4113" s="4">
        <v>44855</v>
      </c>
      <c r="B4113" s="3" t="s">
        <v>1811</v>
      </c>
      <c r="C4113" s="3">
        <v>0.95</v>
      </c>
      <c r="D4113" s="3">
        <v>3</v>
      </c>
    </row>
    <row r="4114" spans="1:4" ht="12.75" x14ac:dyDescent="0.35">
      <c r="A4114" s="4">
        <v>44582</v>
      </c>
      <c r="B4114" s="3" t="s">
        <v>294</v>
      </c>
      <c r="C4114" s="3">
        <v>0.94</v>
      </c>
      <c r="D4114" s="3">
        <v>1</v>
      </c>
    </row>
    <row r="4115" spans="1:4" ht="12.75" x14ac:dyDescent="0.35">
      <c r="A4115" s="4">
        <v>44613</v>
      </c>
      <c r="B4115" s="3" t="s">
        <v>494</v>
      </c>
      <c r="C4115" s="3">
        <v>0.94</v>
      </c>
      <c r="D4115" s="3">
        <v>1</v>
      </c>
    </row>
    <row r="4116" spans="1:4" ht="12.75" x14ac:dyDescent="0.35">
      <c r="A4116" s="5">
        <v>44733</v>
      </c>
      <c r="B4116" s="3" t="s">
        <v>950</v>
      </c>
      <c r="C4116" s="3">
        <v>0.94</v>
      </c>
      <c r="D4116" s="3">
        <v>1</v>
      </c>
    </row>
    <row r="4117" spans="1:4" ht="12.75" x14ac:dyDescent="0.35">
      <c r="A4117" s="4">
        <v>44672</v>
      </c>
      <c r="B4117" s="3" t="s">
        <v>885</v>
      </c>
      <c r="C4117" s="3">
        <v>0.93</v>
      </c>
      <c r="D4117" s="3">
        <v>1</v>
      </c>
    </row>
    <row r="4118" spans="1:4" ht="12.75" x14ac:dyDescent="0.35">
      <c r="A4118" s="5">
        <v>44763</v>
      </c>
      <c r="B4118" s="3" t="s">
        <v>13</v>
      </c>
      <c r="C4118" s="3">
        <v>0.93</v>
      </c>
      <c r="D4118" s="3">
        <v>1</v>
      </c>
    </row>
    <row r="4119" spans="1:4" ht="12.75" x14ac:dyDescent="0.35">
      <c r="A4119" s="4">
        <v>44794</v>
      </c>
      <c r="B4119" s="3" t="s">
        <v>1660</v>
      </c>
      <c r="C4119" s="3">
        <v>0.93</v>
      </c>
      <c r="D4119" s="3">
        <v>1</v>
      </c>
    </row>
    <row r="4120" spans="1:4" ht="12.75" x14ac:dyDescent="0.35">
      <c r="A4120" s="4">
        <v>44825</v>
      </c>
      <c r="B4120" s="3" t="s">
        <v>898</v>
      </c>
      <c r="C4120" s="3">
        <v>0.93</v>
      </c>
      <c r="D4120" s="3">
        <v>2</v>
      </c>
    </row>
    <row r="4121" spans="1:4" ht="12.75" x14ac:dyDescent="0.35">
      <c r="A4121" s="4">
        <v>44916</v>
      </c>
      <c r="B4121" s="3" t="s">
        <v>966</v>
      </c>
      <c r="C4121" s="3">
        <v>0.93</v>
      </c>
      <c r="D4121" s="3">
        <v>1</v>
      </c>
    </row>
    <row r="4122" spans="1:4" ht="12.75" x14ac:dyDescent="0.35">
      <c r="A4122" s="4">
        <v>44613</v>
      </c>
      <c r="B4122" s="3" t="s">
        <v>61</v>
      </c>
      <c r="C4122" s="3">
        <v>0.92</v>
      </c>
      <c r="D4122" s="3">
        <v>1</v>
      </c>
    </row>
    <row r="4123" spans="1:4" ht="12.75" x14ac:dyDescent="0.35">
      <c r="A4123" s="4">
        <v>44641</v>
      </c>
      <c r="B4123" s="3" t="s">
        <v>677</v>
      </c>
      <c r="C4123" s="3">
        <v>0.92</v>
      </c>
      <c r="D4123" s="3">
        <v>1</v>
      </c>
    </row>
    <row r="4124" spans="1:4" ht="12.75" x14ac:dyDescent="0.35">
      <c r="A4124" s="5">
        <v>44733</v>
      </c>
      <c r="B4124" s="3" t="s">
        <v>1214</v>
      </c>
      <c r="C4124" s="3">
        <v>0.92</v>
      </c>
      <c r="D4124" s="3">
        <v>1</v>
      </c>
    </row>
    <row r="4125" spans="1:4" ht="12.75" x14ac:dyDescent="0.35">
      <c r="A4125" s="5">
        <v>44763</v>
      </c>
      <c r="B4125" s="3" t="s">
        <v>1433</v>
      </c>
      <c r="C4125" s="3">
        <v>0.92</v>
      </c>
      <c r="D4125" s="3">
        <v>1</v>
      </c>
    </row>
    <row r="4126" spans="1:4" ht="12.75" x14ac:dyDescent="0.35">
      <c r="A4126" s="5">
        <v>44763</v>
      </c>
      <c r="B4126" s="3" t="s">
        <v>1337</v>
      </c>
      <c r="C4126" s="3">
        <v>0.92</v>
      </c>
      <c r="D4126" s="3">
        <v>1</v>
      </c>
    </row>
    <row r="4127" spans="1:4" ht="12.75" x14ac:dyDescent="0.35">
      <c r="A4127" s="4">
        <v>44794</v>
      </c>
      <c r="B4127" s="3" t="s">
        <v>1597</v>
      </c>
      <c r="C4127" s="3">
        <v>0.92</v>
      </c>
      <c r="D4127" s="3">
        <v>1</v>
      </c>
    </row>
    <row r="4128" spans="1:4" ht="12.75" x14ac:dyDescent="0.35">
      <c r="A4128" s="4">
        <v>44825</v>
      </c>
      <c r="B4128" s="3" t="s">
        <v>301</v>
      </c>
      <c r="C4128" s="3">
        <v>0.92</v>
      </c>
      <c r="D4128" s="3">
        <v>2</v>
      </c>
    </row>
    <row r="4129" spans="1:4" ht="12.75" x14ac:dyDescent="0.35">
      <c r="A4129" s="4">
        <v>44916</v>
      </c>
      <c r="B4129" s="3" t="s">
        <v>315</v>
      </c>
      <c r="C4129" s="3">
        <v>0.92</v>
      </c>
      <c r="D4129" s="3">
        <v>1</v>
      </c>
    </row>
    <row r="4130" spans="1:4" ht="12.75" x14ac:dyDescent="0.35">
      <c r="A4130" s="5">
        <v>44763</v>
      </c>
      <c r="B4130" s="3" t="s">
        <v>286</v>
      </c>
      <c r="C4130" s="3">
        <v>0.91</v>
      </c>
      <c r="D4130" s="3">
        <v>1</v>
      </c>
    </row>
    <row r="4131" spans="1:4" ht="12.75" x14ac:dyDescent="0.35">
      <c r="A4131" s="4">
        <v>44582</v>
      </c>
      <c r="B4131" s="3" t="s">
        <v>398</v>
      </c>
      <c r="C4131" s="3">
        <v>0.9</v>
      </c>
      <c r="D4131" s="3">
        <v>1</v>
      </c>
    </row>
    <row r="4132" spans="1:4" ht="12.75" x14ac:dyDescent="0.35">
      <c r="A4132" s="5">
        <v>44733</v>
      </c>
      <c r="B4132" s="3" t="s">
        <v>1442</v>
      </c>
      <c r="C4132" s="3">
        <v>0.9</v>
      </c>
      <c r="D4132" s="3">
        <v>1</v>
      </c>
    </row>
    <row r="4133" spans="1:4" ht="12.75" x14ac:dyDescent="0.35">
      <c r="A4133" s="5">
        <v>44733</v>
      </c>
      <c r="B4133" s="3" t="s">
        <v>1467</v>
      </c>
      <c r="C4133" s="3">
        <v>0.9</v>
      </c>
      <c r="D4133" s="3">
        <v>1</v>
      </c>
    </row>
    <row r="4134" spans="1:4" ht="12.75" x14ac:dyDescent="0.35">
      <c r="A4134" s="4">
        <v>44794</v>
      </c>
      <c r="B4134" s="3" t="s">
        <v>1650</v>
      </c>
      <c r="C4134" s="3">
        <v>0.9</v>
      </c>
      <c r="D4134" s="3">
        <v>1</v>
      </c>
    </row>
    <row r="4135" spans="1:4" ht="12.75" x14ac:dyDescent="0.35">
      <c r="A4135" s="4">
        <v>44825</v>
      </c>
      <c r="B4135" s="3" t="s">
        <v>1462</v>
      </c>
      <c r="C4135" s="3">
        <v>0.9</v>
      </c>
      <c r="D4135" s="3">
        <v>1</v>
      </c>
    </row>
    <row r="4136" spans="1:4" ht="12.75" x14ac:dyDescent="0.35">
      <c r="A4136" s="4">
        <v>44916</v>
      </c>
      <c r="B4136" s="3" t="s">
        <v>17</v>
      </c>
      <c r="C4136" s="3">
        <v>0.9</v>
      </c>
      <c r="D4136" s="3">
        <v>1</v>
      </c>
    </row>
    <row r="4137" spans="1:4" ht="12.75" x14ac:dyDescent="0.35">
      <c r="A4137" s="4">
        <v>44702</v>
      </c>
      <c r="B4137" s="3" t="s">
        <v>1070</v>
      </c>
      <c r="C4137" s="3">
        <v>0.89</v>
      </c>
      <c r="D4137" s="3">
        <v>1</v>
      </c>
    </row>
    <row r="4138" spans="1:4" ht="12.75" x14ac:dyDescent="0.35">
      <c r="A4138" s="4">
        <v>44702</v>
      </c>
      <c r="B4138" s="3" t="s">
        <v>1091</v>
      </c>
      <c r="C4138" s="3">
        <v>0.89</v>
      </c>
      <c r="D4138" s="3">
        <v>1</v>
      </c>
    </row>
    <row r="4139" spans="1:4" ht="12.75" x14ac:dyDescent="0.35">
      <c r="A4139" s="5">
        <v>44733</v>
      </c>
      <c r="B4139" s="3" t="s">
        <v>804</v>
      </c>
      <c r="C4139" s="3">
        <v>0.89</v>
      </c>
      <c r="D4139" s="3">
        <v>1</v>
      </c>
    </row>
    <row r="4140" spans="1:4" ht="12.75" x14ac:dyDescent="0.35">
      <c r="A4140" s="5">
        <v>44763</v>
      </c>
      <c r="B4140" s="3" t="s">
        <v>1194</v>
      </c>
      <c r="C4140" s="3">
        <v>0.89</v>
      </c>
      <c r="D4140" s="3">
        <v>1</v>
      </c>
    </row>
    <row r="4141" spans="1:4" ht="12.75" x14ac:dyDescent="0.35">
      <c r="A4141" s="5">
        <v>44763</v>
      </c>
      <c r="B4141" s="3" t="s">
        <v>1362</v>
      </c>
      <c r="C4141" s="3">
        <v>0.89</v>
      </c>
      <c r="D4141" s="3">
        <v>1</v>
      </c>
    </row>
    <row r="4142" spans="1:4" ht="12.75" x14ac:dyDescent="0.35">
      <c r="A4142" s="4">
        <v>44794</v>
      </c>
      <c r="B4142" s="3" t="s">
        <v>1651</v>
      </c>
      <c r="C4142" s="3">
        <v>0.89</v>
      </c>
      <c r="D4142" s="3">
        <v>1</v>
      </c>
    </row>
    <row r="4143" spans="1:4" ht="12.75" x14ac:dyDescent="0.35">
      <c r="A4143" s="4">
        <v>44916</v>
      </c>
      <c r="B4143" s="3" t="s">
        <v>598</v>
      </c>
      <c r="C4143" s="3">
        <v>0.89</v>
      </c>
      <c r="D4143" s="3">
        <v>1</v>
      </c>
    </row>
    <row r="4144" spans="1:4" ht="12.75" x14ac:dyDescent="0.35">
      <c r="A4144" s="4">
        <v>44582</v>
      </c>
      <c r="B4144" s="3" t="s">
        <v>158</v>
      </c>
      <c r="C4144" s="3">
        <v>0.88</v>
      </c>
      <c r="D4144" s="3">
        <v>1</v>
      </c>
    </row>
    <row r="4145" spans="1:4" ht="12.75" x14ac:dyDescent="0.35">
      <c r="A4145" s="4">
        <v>44613</v>
      </c>
      <c r="B4145" s="3" t="s">
        <v>423</v>
      </c>
      <c r="C4145" s="3">
        <v>0.88</v>
      </c>
      <c r="D4145" s="3">
        <v>1</v>
      </c>
    </row>
    <row r="4146" spans="1:4" ht="12.75" x14ac:dyDescent="0.35">
      <c r="A4146" s="4">
        <v>44794</v>
      </c>
      <c r="B4146" s="3" t="s">
        <v>1711</v>
      </c>
      <c r="C4146" s="3">
        <v>0.88</v>
      </c>
      <c r="D4146" s="3">
        <v>1</v>
      </c>
    </row>
    <row r="4147" spans="1:4" ht="12.75" x14ac:dyDescent="0.35">
      <c r="A4147" s="4">
        <v>44825</v>
      </c>
      <c r="B4147" s="3" t="s">
        <v>11</v>
      </c>
      <c r="C4147" s="3">
        <v>0.88</v>
      </c>
      <c r="D4147" s="3">
        <v>2</v>
      </c>
    </row>
    <row r="4148" spans="1:4" ht="12.75" x14ac:dyDescent="0.35">
      <c r="A4148" s="4">
        <v>44855</v>
      </c>
      <c r="B4148" s="3" t="s">
        <v>253</v>
      </c>
      <c r="C4148" s="3">
        <v>0.88</v>
      </c>
      <c r="D4148" s="3">
        <v>3</v>
      </c>
    </row>
    <row r="4149" spans="1:4" ht="12.75" x14ac:dyDescent="0.35">
      <c r="A4149" s="5">
        <v>44733</v>
      </c>
      <c r="B4149" s="3" t="s">
        <v>1231</v>
      </c>
      <c r="C4149" s="3">
        <v>0.87</v>
      </c>
      <c r="D4149" s="3">
        <v>2</v>
      </c>
    </row>
    <row r="4150" spans="1:4" ht="12.75" x14ac:dyDescent="0.35">
      <c r="A4150" s="5">
        <v>44763</v>
      </c>
      <c r="B4150" s="3" t="s">
        <v>1313</v>
      </c>
      <c r="C4150" s="3">
        <v>0.87</v>
      </c>
      <c r="D4150" s="3">
        <v>1</v>
      </c>
    </row>
    <row r="4151" spans="1:4" ht="12.75" x14ac:dyDescent="0.35">
      <c r="A4151" s="5">
        <v>44763</v>
      </c>
      <c r="B4151" s="3" t="s">
        <v>1300</v>
      </c>
      <c r="C4151" s="3">
        <v>0.87</v>
      </c>
      <c r="D4151" s="3">
        <v>3</v>
      </c>
    </row>
    <row r="4152" spans="1:4" ht="12.75" x14ac:dyDescent="0.35">
      <c r="A4152" s="4">
        <v>44886</v>
      </c>
      <c r="B4152" s="3" t="s">
        <v>1104</v>
      </c>
      <c r="C4152" s="3">
        <v>0.87</v>
      </c>
      <c r="D4152" s="3">
        <v>1</v>
      </c>
    </row>
    <row r="4153" spans="1:4" ht="12.75" x14ac:dyDescent="0.35">
      <c r="A4153" s="4">
        <v>44613</v>
      </c>
      <c r="B4153" s="3" t="s">
        <v>344</v>
      </c>
      <c r="C4153" s="3">
        <v>0.86</v>
      </c>
      <c r="D4153" s="3">
        <v>3</v>
      </c>
    </row>
    <row r="4154" spans="1:4" ht="12.75" x14ac:dyDescent="0.35">
      <c r="A4154" s="5">
        <v>44763</v>
      </c>
      <c r="B4154" s="3" t="s">
        <v>1324</v>
      </c>
      <c r="C4154" s="3">
        <v>0.86</v>
      </c>
      <c r="D4154" s="3">
        <v>1</v>
      </c>
    </row>
    <row r="4155" spans="1:4" ht="12.75" x14ac:dyDescent="0.35">
      <c r="A4155" s="4">
        <v>44794</v>
      </c>
      <c r="B4155" s="3" t="s">
        <v>1593</v>
      </c>
      <c r="C4155" s="3">
        <v>0.86</v>
      </c>
      <c r="D4155" s="3">
        <v>1</v>
      </c>
    </row>
    <row r="4156" spans="1:4" ht="12.75" x14ac:dyDescent="0.35">
      <c r="A4156" s="4">
        <v>44916</v>
      </c>
      <c r="B4156" s="3" t="s">
        <v>1951</v>
      </c>
      <c r="C4156" s="3">
        <v>0.86</v>
      </c>
      <c r="D4156" s="3">
        <v>1</v>
      </c>
    </row>
    <row r="4157" spans="1:4" ht="12.75" x14ac:dyDescent="0.35">
      <c r="A4157" s="4">
        <v>44582</v>
      </c>
      <c r="B4157" s="3" t="s">
        <v>89</v>
      </c>
      <c r="C4157" s="3">
        <v>0.85</v>
      </c>
      <c r="D4157" s="3">
        <v>1</v>
      </c>
    </row>
    <row r="4158" spans="1:4" ht="12.75" x14ac:dyDescent="0.35">
      <c r="A4158" s="4">
        <v>44794</v>
      </c>
      <c r="B4158" s="3" t="s">
        <v>1731</v>
      </c>
      <c r="C4158" s="3">
        <v>0.85</v>
      </c>
      <c r="D4158" s="3">
        <v>1</v>
      </c>
    </row>
    <row r="4159" spans="1:4" ht="12.75" x14ac:dyDescent="0.35">
      <c r="A4159" s="4">
        <v>44702</v>
      </c>
      <c r="B4159" s="3" t="s">
        <v>999</v>
      </c>
      <c r="C4159" s="3">
        <v>0.84</v>
      </c>
      <c r="D4159" s="3">
        <v>2</v>
      </c>
    </row>
    <row r="4160" spans="1:4" ht="12.75" x14ac:dyDescent="0.35">
      <c r="A4160" s="5">
        <v>44763</v>
      </c>
      <c r="B4160" s="3" t="s">
        <v>1188</v>
      </c>
      <c r="C4160" s="3">
        <v>0.84</v>
      </c>
      <c r="D4160" s="3">
        <v>1</v>
      </c>
    </row>
    <row r="4161" spans="1:4" ht="12.75" x14ac:dyDescent="0.35">
      <c r="A4161" s="4">
        <v>44825</v>
      </c>
      <c r="B4161" s="3" t="s">
        <v>506</v>
      </c>
      <c r="C4161" s="3">
        <v>0.84</v>
      </c>
      <c r="D4161" s="3">
        <v>9</v>
      </c>
    </row>
    <row r="4162" spans="1:4" ht="12.75" x14ac:dyDescent="0.35">
      <c r="A4162" s="4">
        <v>44641</v>
      </c>
      <c r="B4162" s="3" t="s">
        <v>399</v>
      </c>
      <c r="C4162" s="3">
        <v>0.83</v>
      </c>
      <c r="D4162" s="3">
        <v>1</v>
      </c>
    </row>
    <row r="4163" spans="1:4" ht="12.75" x14ac:dyDescent="0.35">
      <c r="A4163" s="5">
        <v>44733</v>
      </c>
      <c r="B4163" s="3" t="s">
        <v>1164</v>
      </c>
      <c r="C4163" s="3">
        <v>0.83</v>
      </c>
      <c r="D4163" s="3">
        <v>1</v>
      </c>
    </row>
    <row r="4164" spans="1:4" ht="12.75" x14ac:dyDescent="0.35">
      <c r="A4164" s="5">
        <v>44733</v>
      </c>
      <c r="B4164" s="3" t="s">
        <v>1129</v>
      </c>
      <c r="C4164" s="3">
        <v>0.83</v>
      </c>
      <c r="D4164" s="3">
        <v>1</v>
      </c>
    </row>
    <row r="4165" spans="1:4" ht="12.75" x14ac:dyDescent="0.35">
      <c r="A4165" s="5">
        <v>44763</v>
      </c>
      <c r="B4165" s="3" t="s">
        <v>898</v>
      </c>
      <c r="C4165" s="3">
        <v>0.83</v>
      </c>
      <c r="D4165" s="3">
        <v>2</v>
      </c>
    </row>
    <row r="4166" spans="1:4" ht="12.75" x14ac:dyDescent="0.35">
      <c r="A4166" s="5">
        <v>44763</v>
      </c>
      <c r="B4166" s="3" t="s">
        <v>1495</v>
      </c>
      <c r="C4166" s="3">
        <v>0.83</v>
      </c>
      <c r="D4166" s="3">
        <v>1</v>
      </c>
    </row>
    <row r="4167" spans="1:4" ht="12.75" x14ac:dyDescent="0.35">
      <c r="A4167" s="5">
        <v>44763</v>
      </c>
      <c r="B4167" s="3" t="s">
        <v>1356</v>
      </c>
      <c r="C4167" s="3">
        <v>0.83</v>
      </c>
      <c r="D4167" s="3">
        <v>1</v>
      </c>
    </row>
    <row r="4168" spans="1:4" ht="12.75" x14ac:dyDescent="0.35">
      <c r="A4168" s="4">
        <v>44916</v>
      </c>
      <c r="B4168" s="3" t="s">
        <v>1941</v>
      </c>
      <c r="C4168" s="3">
        <v>0.83</v>
      </c>
      <c r="D4168" s="3">
        <v>1</v>
      </c>
    </row>
    <row r="4169" spans="1:4" ht="12.75" x14ac:dyDescent="0.35">
      <c r="A4169" s="4">
        <v>44672</v>
      </c>
      <c r="B4169" s="3" t="s">
        <v>916</v>
      </c>
      <c r="C4169" s="3">
        <v>0.82</v>
      </c>
      <c r="D4169" s="3">
        <v>1</v>
      </c>
    </row>
    <row r="4170" spans="1:4" ht="12.75" x14ac:dyDescent="0.35">
      <c r="A4170" s="4">
        <v>44702</v>
      </c>
      <c r="B4170" s="3" t="s">
        <v>1024</v>
      </c>
      <c r="C4170" s="3">
        <v>0.82</v>
      </c>
      <c r="D4170" s="3">
        <v>1</v>
      </c>
    </row>
    <row r="4171" spans="1:4" ht="12.75" x14ac:dyDescent="0.35">
      <c r="A4171" s="4">
        <v>44702</v>
      </c>
      <c r="B4171" s="3" t="s">
        <v>24</v>
      </c>
      <c r="C4171" s="3">
        <v>0.82</v>
      </c>
      <c r="D4171" s="3">
        <v>2</v>
      </c>
    </row>
    <row r="4172" spans="1:4" ht="12.75" x14ac:dyDescent="0.35">
      <c r="A4172" s="5">
        <v>44763</v>
      </c>
      <c r="B4172" s="3" t="s">
        <v>1512</v>
      </c>
      <c r="C4172" s="3">
        <v>0.81</v>
      </c>
      <c r="D4172" s="3">
        <v>3</v>
      </c>
    </row>
    <row r="4173" spans="1:4" ht="12.75" x14ac:dyDescent="0.35">
      <c r="A4173" s="5">
        <v>44763</v>
      </c>
      <c r="B4173" s="3" t="s">
        <v>1017</v>
      </c>
      <c r="C4173" s="3">
        <v>0.81</v>
      </c>
      <c r="D4173" s="3">
        <v>1</v>
      </c>
    </row>
    <row r="4174" spans="1:4" ht="12.75" x14ac:dyDescent="0.35">
      <c r="A4174" s="4">
        <v>44794</v>
      </c>
      <c r="B4174" s="3" t="s">
        <v>1468</v>
      </c>
      <c r="C4174" s="3">
        <v>0.81</v>
      </c>
      <c r="D4174" s="3">
        <v>1</v>
      </c>
    </row>
    <row r="4175" spans="1:4" ht="12.75" x14ac:dyDescent="0.35">
      <c r="A4175" s="4">
        <v>44855</v>
      </c>
      <c r="B4175" s="3" t="s">
        <v>562</v>
      </c>
      <c r="C4175" s="3">
        <v>0.81</v>
      </c>
      <c r="D4175" s="3">
        <v>1</v>
      </c>
    </row>
    <row r="4176" spans="1:4" ht="12.75" x14ac:dyDescent="0.35">
      <c r="A4176" s="4">
        <v>44916</v>
      </c>
      <c r="B4176" s="3" t="s">
        <v>1289</v>
      </c>
      <c r="C4176" s="3">
        <v>0.81</v>
      </c>
      <c r="D4176" s="3">
        <v>1</v>
      </c>
    </row>
    <row r="4177" spans="1:4" ht="12.75" x14ac:dyDescent="0.35">
      <c r="A4177" s="4">
        <v>44582</v>
      </c>
      <c r="B4177" s="3" t="s">
        <v>247</v>
      </c>
      <c r="C4177" s="3">
        <v>0.8</v>
      </c>
      <c r="D4177" s="3">
        <v>1</v>
      </c>
    </row>
    <row r="4178" spans="1:4" ht="12.75" x14ac:dyDescent="0.35">
      <c r="A4178" s="4">
        <v>44672</v>
      </c>
      <c r="B4178" s="3" t="s">
        <v>882</v>
      </c>
      <c r="C4178" s="3">
        <v>0.8</v>
      </c>
      <c r="D4178" s="3">
        <v>1</v>
      </c>
    </row>
    <row r="4179" spans="1:4" ht="12.75" x14ac:dyDescent="0.35">
      <c r="A4179" s="4">
        <v>44702</v>
      </c>
      <c r="B4179" s="3" t="s">
        <v>1033</v>
      </c>
      <c r="C4179" s="3">
        <v>0.8</v>
      </c>
      <c r="D4179" s="3">
        <v>1</v>
      </c>
    </row>
    <row r="4180" spans="1:4" ht="12.75" x14ac:dyDescent="0.35">
      <c r="A4180" s="5">
        <v>44733</v>
      </c>
      <c r="B4180" s="3" t="s">
        <v>1340</v>
      </c>
      <c r="C4180" s="3">
        <v>0.8</v>
      </c>
      <c r="D4180" s="3">
        <v>1</v>
      </c>
    </row>
    <row r="4181" spans="1:4" ht="12.75" x14ac:dyDescent="0.35">
      <c r="A4181" s="5">
        <v>44763</v>
      </c>
      <c r="B4181" s="3" t="s">
        <v>1493</v>
      </c>
      <c r="C4181" s="3">
        <v>0.8</v>
      </c>
      <c r="D4181" s="3">
        <v>1</v>
      </c>
    </row>
    <row r="4182" spans="1:4" ht="12.75" x14ac:dyDescent="0.35">
      <c r="A4182" s="4">
        <v>44916</v>
      </c>
      <c r="B4182" s="3" t="s">
        <v>199</v>
      </c>
      <c r="C4182" s="3">
        <v>0.8</v>
      </c>
      <c r="D4182" s="3">
        <v>1</v>
      </c>
    </row>
    <row r="4183" spans="1:4" ht="12.75" x14ac:dyDescent="0.35">
      <c r="A4183" s="4">
        <v>44613</v>
      </c>
      <c r="B4183" s="3" t="s">
        <v>591</v>
      </c>
      <c r="C4183" s="3">
        <v>0.79</v>
      </c>
      <c r="D4183" s="3">
        <v>1</v>
      </c>
    </row>
    <row r="4184" spans="1:4" ht="12.75" x14ac:dyDescent="0.35">
      <c r="A4184" s="5">
        <v>44763</v>
      </c>
      <c r="B4184" s="3" t="s">
        <v>1527</v>
      </c>
      <c r="C4184" s="3">
        <v>0.79</v>
      </c>
      <c r="D4184" s="3">
        <v>1</v>
      </c>
    </row>
    <row r="4185" spans="1:4" ht="12.75" x14ac:dyDescent="0.35">
      <c r="A4185" s="4">
        <v>44794</v>
      </c>
      <c r="B4185" s="3" t="s">
        <v>764</v>
      </c>
      <c r="C4185" s="3">
        <v>0.79</v>
      </c>
      <c r="D4185" s="3">
        <v>1</v>
      </c>
    </row>
    <row r="4186" spans="1:4" ht="12.75" x14ac:dyDescent="0.35">
      <c r="A4186" s="4">
        <v>44886</v>
      </c>
      <c r="B4186" s="3" t="s">
        <v>835</v>
      </c>
      <c r="C4186" s="3">
        <v>0.79</v>
      </c>
      <c r="D4186" s="3">
        <v>2</v>
      </c>
    </row>
    <row r="4187" spans="1:4" ht="12.75" x14ac:dyDescent="0.35">
      <c r="A4187" s="4">
        <v>44582</v>
      </c>
      <c r="B4187" s="3" t="s">
        <v>17</v>
      </c>
      <c r="C4187" s="3">
        <v>0.78</v>
      </c>
      <c r="D4187" s="3">
        <v>1</v>
      </c>
    </row>
    <row r="4188" spans="1:4" ht="12.75" x14ac:dyDescent="0.35">
      <c r="A4188" s="4">
        <v>44641</v>
      </c>
      <c r="B4188" s="3" t="s">
        <v>718</v>
      </c>
      <c r="C4188" s="3">
        <v>0.78</v>
      </c>
      <c r="D4188" s="3">
        <v>1</v>
      </c>
    </row>
    <row r="4189" spans="1:4" ht="12.75" x14ac:dyDescent="0.35">
      <c r="A4189" s="4">
        <v>44672</v>
      </c>
      <c r="B4189" s="3" t="s">
        <v>824</v>
      </c>
      <c r="C4189" s="3">
        <v>0.78</v>
      </c>
      <c r="D4189" s="3">
        <v>1</v>
      </c>
    </row>
    <row r="4190" spans="1:4" ht="12.75" x14ac:dyDescent="0.35">
      <c r="A4190" s="4">
        <v>44702</v>
      </c>
      <c r="B4190" s="3" t="s">
        <v>1150</v>
      </c>
      <c r="C4190" s="3">
        <v>0.78</v>
      </c>
      <c r="D4190" s="3">
        <v>1</v>
      </c>
    </row>
    <row r="4191" spans="1:4" ht="12.75" x14ac:dyDescent="0.35">
      <c r="A4191" s="5">
        <v>44763</v>
      </c>
      <c r="B4191" s="3" t="s">
        <v>1497</v>
      </c>
      <c r="C4191" s="3">
        <v>0.78</v>
      </c>
      <c r="D4191" s="3">
        <v>1</v>
      </c>
    </row>
    <row r="4192" spans="1:4" ht="12.75" x14ac:dyDescent="0.35">
      <c r="A4192" s="5">
        <v>44763</v>
      </c>
      <c r="B4192" s="3" t="s">
        <v>1529</v>
      </c>
      <c r="C4192" s="3">
        <v>0.78</v>
      </c>
      <c r="D4192" s="3">
        <v>2</v>
      </c>
    </row>
    <row r="4193" spans="1:4" ht="12.75" x14ac:dyDescent="0.35">
      <c r="A4193" s="4">
        <v>44794</v>
      </c>
      <c r="B4193" s="3" t="s">
        <v>1665</v>
      </c>
      <c r="C4193" s="3">
        <v>0.78</v>
      </c>
      <c r="D4193" s="3">
        <v>1</v>
      </c>
    </row>
    <row r="4194" spans="1:4" ht="12.75" x14ac:dyDescent="0.35">
      <c r="A4194" s="5">
        <v>44733</v>
      </c>
      <c r="B4194" s="3" t="s">
        <v>1375</v>
      </c>
      <c r="C4194" s="3">
        <v>0.77</v>
      </c>
      <c r="D4194" s="3">
        <v>1</v>
      </c>
    </row>
    <row r="4195" spans="1:4" ht="12.75" x14ac:dyDescent="0.35">
      <c r="A4195" s="4">
        <v>44794</v>
      </c>
      <c r="B4195" s="3" t="s">
        <v>1612</v>
      </c>
      <c r="C4195" s="3">
        <v>0.77</v>
      </c>
      <c r="D4195" s="3">
        <v>1</v>
      </c>
    </row>
    <row r="4196" spans="1:4" ht="12.75" x14ac:dyDescent="0.35">
      <c r="A4196" s="4">
        <v>44825</v>
      </c>
      <c r="B4196" s="3" t="s">
        <v>33</v>
      </c>
      <c r="C4196" s="3">
        <v>0.77</v>
      </c>
      <c r="D4196" s="3">
        <v>1</v>
      </c>
    </row>
    <row r="4197" spans="1:4" ht="12.75" x14ac:dyDescent="0.35">
      <c r="A4197" s="4">
        <v>44916</v>
      </c>
      <c r="B4197" s="3" t="s">
        <v>1890</v>
      </c>
      <c r="C4197" s="3">
        <v>0.77</v>
      </c>
      <c r="D4197" s="3">
        <v>1</v>
      </c>
    </row>
    <row r="4198" spans="1:4" ht="12.75" x14ac:dyDescent="0.35">
      <c r="A4198" s="4">
        <v>44702</v>
      </c>
      <c r="B4198" s="3" t="s">
        <v>192</v>
      </c>
      <c r="C4198" s="3">
        <v>0.76</v>
      </c>
      <c r="D4198" s="3">
        <v>1</v>
      </c>
    </row>
    <row r="4199" spans="1:4" ht="12.75" x14ac:dyDescent="0.35">
      <c r="A4199" s="4">
        <v>44702</v>
      </c>
      <c r="B4199" s="3" t="s">
        <v>1140</v>
      </c>
      <c r="C4199" s="3">
        <v>0.76</v>
      </c>
      <c r="D4199" s="3">
        <v>1</v>
      </c>
    </row>
    <row r="4200" spans="1:4" ht="12.75" x14ac:dyDescent="0.35">
      <c r="A4200" s="5">
        <v>44733</v>
      </c>
      <c r="B4200" s="3" t="s">
        <v>324</v>
      </c>
      <c r="C4200" s="3">
        <v>0.76</v>
      </c>
      <c r="D4200" s="3">
        <v>3</v>
      </c>
    </row>
    <row r="4201" spans="1:4" ht="12.75" x14ac:dyDescent="0.35">
      <c r="A4201" s="4">
        <v>44825</v>
      </c>
      <c r="B4201" s="3" t="s">
        <v>1793</v>
      </c>
      <c r="C4201" s="3">
        <v>0.76</v>
      </c>
      <c r="D4201" s="3">
        <v>1</v>
      </c>
    </row>
    <row r="4202" spans="1:4" ht="12.75" x14ac:dyDescent="0.35">
      <c r="A4202" s="4">
        <v>44886</v>
      </c>
      <c r="B4202" s="3" t="s">
        <v>172</v>
      </c>
      <c r="C4202" s="3">
        <v>0.76</v>
      </c>
      <c r="D4202" s="3">
        <v>2</v>
      </c>
    </row>
    <row r="4203" spans="1:4" ht="12.75" x14ac:dyDescent="0.35">
      <c r="A4203" s="4">
        <v>44916</v>
      </c>
      <c r="B4203" s="3" t="s">
        <v>480</v>
      </c>
      <c r="C4203" s="3">
        <v>0.76</v>
      </c>
      <c r="D4203" s="3">
        <v>1</v>
      </c>
    </row>
    <row r="4204" spans="1:4" ht="12.75" x14ac:dyDescent="0.35">
      <c r="A4204" s="4">
        <v>44641</v>
      </c>
      <c r="B4204" s="3" t="s">
        <v>601</v>
      </c>
      <c r="C4204" s="3">
        <v>0.75</v>
      </c>
      <c r="D4204" s="3">
        <v>1</v>
      </c>
    </row>
    <row r="4205" spans="1:4" ht="12.75" x14ac:dyDescent="0.35">
      <c r="A4205" s="5">
        <v>44733</v>
      </c>
      <c r="B4205" s="3" t="s">
        <v>1425</v>
      </c>
      <c r="C4205" s="3">
        <v>0.75</v>
      </c>
      <c r="D4205" s="3">
        <v>1</v>
      </c>
    </row>
    <row r="4206" spans="1:4" ht="12.75" x14ac:dyDescent="0.35">
      <c r="A4206" s="5">
        <v>44763</v>
      </c>
      <c r="B4206" s="3" t="s">
        <v>431</v>
      </c>
      <c r="C4206" s="3">
        <v>0.75</v>
      </c>
      <c r="D4206" s="3">
        <v>3</v>
      </c>
    </row>
    <row r="4207" spans="1:4" ht="12.75" x14ac:dyDescent="0.35">
      <c r="A4207" s="4">
        <v>44794</v>
      </c>
      <c r="B4207" s="3" t="s">
        <v>1318</v>
      </c>
      <c r="C4207" s="3">
        <v>0.75</v>
      </c>
      <c r="D4207" s="3">
        <v>2</v>
      </c>
    </row>
    <row r="4208" spans="1:4" ht="12.75" x14ac:dyDescent="0.35">
      <c r="A4208" s="4">
        <v>44672</v>
      </c>
      <c r="B4208" s="3" t="s">
        <v>198</v>
      </c>
      <c r="C4208" s="3">
        <v>0.74</v>
      </c>
      <c r="D4208" s="3">
        <v>4</v>
      </c>
    </row>
    <row r="4209" spans="1:4" ht="12.75" x14ac:dyDescent="0.35">
      <c r="A4209" s="5">
        <v>44763</v>
      </c>
      <c r="B4209" s="3" t="s">
        <v>1231</v>
      </c>
      <c r="C4209" s="3">
        <v>0.74</v>
      </c>
      <c r="D4209" s="3">
        <v>2</v>
      </c>
    </row>
    <row r="4210" spans="1:4" ht="12.75" x14ac:dyDescent="0.35">
      <c r="A4210" s="4">
        <v>44794</v>
      </c>
      <c r="B4210" s="3" t="s">
        <v>1709</v>
      </c>
      <c r="C4210" s="3">
        <v>0.74</v>
      </c>
      <c r="D4210" s="3">
        <v>1</v>
      </c>
    </row>
    <row r="4211" spans="1:4" ht="12.75" x14ac:dyDescent="0.35">
      <c r="A4211" s="4">
        <v>44825</v>
      </c>
      <c r="B4211" s="3" t="s">
        <v>1389</v>
      </c>
      <c r="C4211" s="3">
        <v>0.74</v>
      </c>
      <c r="D4211" s="3">
        <v>2</v>
      </c>
    </row>
    <row r="4212" spans="1:4" ht="12.75" x14ac:dyDescent="0.35">
      <c r="A4212" s="4">
        <v>44855</v>
      </c>
      <c r="B4212" s="3" t="s">
        <v>1725</v>
      </c>
      <c r="C4212" s="3">
        <v>0.74</v>
      </c>
      <c r="D4212" s="3">
        <v>1</v>
      </c>
    </row>
    <row r="4213" spans="1:4" ht="12.75" x14ac:dyDescent="0.35">
      <c r="A4213" s="4">
        <v>44916</v>
      </c>
      <c r="B4213" s="3" t="s">
        <v>579</v>
      </c>
      <c r="C4213" s="3">
        <v>0.74</v>
      </c>
      <c r="D4213" s="3">
        <v>2</v>
      </c>
    </row>
    <row r="4214" spans="1:4" ht="12.75" x14ac:dyDescent="0.35">
      <c r="A4214" s="5">
        <v>44733</v>
      </c>
      <c r="B4214" s="3" t="s">
        <v>1271</v>
      </c>
      <c r="C4214" s="3">
        <v>0.73</v>
      </c>
      <c r="D4214" s="3">
        <v>1</v>
      </c>
    </row>
    <row r="4215" spans="1:4" ht="12.75" x14ac:dyDescent="0.35">
      <c r="A4215" s="4">
        <v>44794</v>
      </c>
      <c r="B4215" s="3" t="s">
        <v>1698</v>
      </c>
      <c r="C4215" s="3">
        <v>0.73</v>
      </c>
      <c r="D4215" s="3">
        <v>5</v>
      </c>
    </row>
    <row r="4216" spans="1:4" ht="12.75" x14ac:dyDescent="0.35">
      <c r="A4216" s="4">
        <v>44641</v>
      </c>
      <c r="B4216" s="3" t="s">
        <v>792</v>
      </c>
      <c r="C4216" s="3">
        <v>0.72</v>
      </c>
      <c r="D4216" s="3">
        <v>2</v>
      </c>
    </row>
    <row r="4217" spans="1:4" ht="12.75" x14ac:dyDescent="0.35">
      <c r="A4217" s="4">
        <v>44672</v>
      </c>
      <c r="B4217" s="3" t="s">
        <v>811</v>
      </c>
      <c r="C4217" s="3">
        <v>0.72</v>
      </c>
      <c r="D4217" s="3">
        <v>2</v>
      </c>
    </row>
    <row r="4218" spans="1:4" ht="12.75" x14ac:dyDescent="0.35">
      <c r="A4218" s="4">
        <v>44702</v>
      </c>
      <c r="B4218" s="3" t="s">
        <v>1130</v>
      </c>
      <c r="C4218" s="3">
        <v>0.72</v>
      </c>
      <c r="D4218" s="3">
        <v>1</v>
      </c>
    </row>
    <row r="4219" spans="1:4" ht="12.75" x14ac:dyDescent="0.35">
      <c r="A4219" s="5">
        <v>44733</v>
      </c>
      <c r="B4219" s="3" t="s">
        <v>899</v>
      </c>
      <c r="C4219" s="3">
        <v>0.72</v>
      </c>
      <c r="D4219" s="3">
        <v>1</v>
      </c>
    </row>
    <row r="4220" spans="1:4" ht="12.75" x14ac:dyDescent="0.35">
      <c r="A4220" s="5">
        <v>44733</v>
      </c>
      <c r="B4220" s="3" t="s">
        <v>837</v>
      </c>
      <c r="C4220" s="3">
        <v>0.72</v>
      </c>
      <c r="D4220" s="3">
        <v>3</v>
      </c>
    </row>
    <row r="4221" spans="1:4" ht="12.75" x14ac:dyDescent="0.35">
      <c r="A4221" s="5">
        <v>44763</v>
      </c>
      <c r="B4221" s="3" t="s">
        <v>1494</v>
      </c>
      <c r="C4221" s="3">
        <v>0.72</v>
      </c>
      <c r="D4221" s="3">
        <v>1</v>
      </c>
    </row>
    <row r="4222" spans="1:4" ht="12.75" x14ac:dyDescent="0.35">
      <c r="A4222" s="4">
        <v>44794</v>
      </c>
      <c r="B4222" s="3" t="s">
        <v>1702</v>
      </c>
      <c r="C4222" s="3">
        <v>0.72</v>
      </c>
      <c r="D4222" s="3">
        <v>1</v>
      </c>
    </row>
    <row r="4223" spans="1:4" ht="12.75" x14ac:dyDescent="0.35">
      <c r="A4223" s="4">
        <v>44825</v>
      </c>
      <c r="B4223" s="3" t="s">
        <v>304</v>
      </c>
      <c r="C4223" s="3">
        <v>0.72</v>
      </c>
      <c r="D4223" s="3">
        <v>1</v>
      </c>
    </row>
    <row r="4224" spans="1:4" ht="12.75" x14ac:dyDescent="0.35">
      <c r="A4224" s="4">
        <v>44825</v>
      </c>
      <c r="B4224" s="3" t="s">
        <v>1456</v>
      </c>
      <c r="C4224" s="3">
        <v>0.72</v>
      </c>
      <c r="D4224" s="3">
        <v>1</v>
      </c>
    </row>
    <row r="4225" spans="1:4" ht="12.75" x14ac:dyDescent="0.35">
      <c r="A4225" s="4">
        <v>44916</v>
      </c>
      <c r="B4225" s="3" t="s">
        <v>195</v>
      </c>
      <c r="C4225" s="3">
        <v>0.72</v>
      </c>
      <c r="D4225" s="3">
        <v>5</v>
      </c>
    </row>
    <row r="4226" spans="1:4" ht="12.75" x14ac:dyDescent="0.35">
      <c r="A4226" s="4">
        <v>44582</v>
      </c>
      <c r="B4226" s="3" t="s">
        <v>376</v>
      </c>
      <c r="C4226" s="3">
        <v>0.71</v>
      </c>
      <c r="D4226" s="3">
        <v>1</v>
      </c>
    </row>
    <row r="4227" spans="1:4" ht="12.75" x14ac:dyDescent="0.35">
      <c r="A4227" s="4">
        <v>44613</v>
      </c>
      <c r="B4227" s="3" t="s">
        <v>420</v>
      </c>
      <c r="C4227" s="3">
        <v>0.71</v>
      </c>
      <c r="D4227" s="3">
        <v>1</v>
      </c>
    </row>
    <row r="4228" spans="1:4" ht="12.75" x14ac:dyDescent="0.35">
      <c r="A4228" s="4">
        <v>44702</v>
      </c>
      <c r="B4228" s="3" t="s">
        <v>787</v>
      </c>
      <c r="C4228" s="3">
        <v>0.71</v>
      </c>
      <c r="D4228" s="3">
        <v>3</v>
      </c>
    </row>
    <row r="4229" spans="1:4" ht="12.75" x14ac:dyDescent="0.35">
      <c r="A4229" s="5">
        <v>44733</v>
      </c>
      <c r="B4229" s="3" t="s">
        <v>1243</v>
      </c>
      <c r="C4229" s="3">
        <v>0.71</v>
      </c>
      <c r="D4229" s="3">
        <v>1</v>
      </c>
    </row>
    <row r="4230" spans="1:4" ht="12.75" x14ac:dyDescent="0.35">
      <c r="A4230" s="5">
        <v>44763</v>
      </c>
      <c r="B4230" s="3" t="s">
        <v>813</v>
      </c>
      <c r="C4230" s="3">
        <v>0.71</v>
      </c>
      <c r="D4230" s="3">
        <v>1</v>
      </c>
    </row>
    <row r="4231" spans="1:4" ht="12.75" x14ac:dyDescent="0.35">
      <c r="A4231" s="5">
        <v>44763</v>
      </c>
      <c r="B4231" s="3" t="s">
        <v>1528</v>
      </c>
      <c r="C4231" s="3">
        <v>0.71</v>
      </c>
      <c r="D4231" s="3">
        <v>1</v>
      </c>
    </row>
    <row r="4232" spans="1:4" ht="12.75" x14ac:dyDescent="0.35">
      <c r="A4232" s="4">
        <v>44794</v>
      </c>
      <c r="B4232" s="3" t="s">
        <v>1589</v>
      </c>
      <c r="C4232" s="3">
        <v>0.71</v>
      </c>
      <c r="D4232" s="3">
        <v>1</v>
      </c>
    </row>
    <row r="4233" spans="1:4" ht="12.75" x14ac:dyDescent="0.35">
      <c r="A4233" s="4">
        <v>44916</v>
      </c>
      <c r="B4233" s="3" t="s">
        <v>1839</v>
      </c>
      <c r="C4233" s="3">
        <v>0.71</v>
      </c>
      <c r="D4233" s="3">
        <v>1</v>
      </c>
    </row>
    <row r="4234" spans="1:4" ht="12.75" x14ac:dyDescent="0.35">
      <c r="A4234" s="5">
        <v>44763</v>
      </c>
      <c r="B4234" s="3" t="s">
        <v>1518</v>
      </c>
      <c r="C4234" s="3">
        <v>0.7</v>
      </c>
      <c r="D4234" s="3">
        <v>1</v>
      </c>
    </row>
    <row r="4235" spans="1:4" ht="12.75" x14ac:dyDescent="0.35">
      <c r="A4235" s="4">
        <v>44916</v>
      </c>
      <c r="B4235" s="3" t="s">
        <v>1108</v>
      </c>
      <c r="C4235" s="3">
        <v>0.7</v>
      </c>
      <c r="D4235" s="3">
        <v>1</v>
      </c>
    </row>
    <row r="4236" spans="1:4" ht="12.75" x14ac:dyDescent="0.35">
      <c r="A4236" s="4">
        <v>44916</v>
      </c>
      <c r="B4236" s="3" t="s">
        <v>1938</v>
      </c>
      <c r="C4236" s="3">
        <v>0.7</v>
      </c>
      <c r="D4236" s="3">
        <v>1</v>
      </c>
    </row>
    <row r="4237" spans="1:4" ht="12.75" x14ac:dyDescent="0.35">
      <c r="A4237" s="4">
        <v>44582</v>
      </c>
      <c r="B4237" s="3" t="s">
        <v>36</v>
      </c>
      <c r="C4237" s="3">
        <v>0.69</v>
      </c>
      <c r="D4237" s="3">
        <v>1</v>
      </c>
    </row>
    <row r="4238" spans="1:4" ht="12.75" x14ac:dyDescent="0.35">
      <c r="A4238" s="4">
        <v>44702</v>
      </c>
      <c r="B4238" s="3" t="s">
        <v>873</v>
      </c>
      <c r="C4238" s="3">
        <v>0.69</v>
      </c>
      <c r="D4238" s="3">
        <v>1</v>
      </c>
    </row>
    <row r="4239" spans="1:4" ht="12.75" x14ac:dyDescent="0.35">
      <c r="A4239" s="5">
        <v>44733</v>
      </c>
      <c r="B4239" s="3" t="s">
        <v>1280</v>
      </c>
      <c r="C4239" s="3">
        <v>0.69</v>
      </c>
      <c r="D4239" s="3">
        <v>1</v>
      </c>
    </row>
    <row r="4240" spans="1:4" ht="12.75" x14ac:dyDescent="0.35">
      <c r="A4240" s="5">
        <v>44763</v>
      </c>
      <c r="B4240" s="3" t="s">
        <v>1109</v>
      </c>
      <c r="C4240" s="3">
        <v>0.69</v>
      </c>
      <c r="D4240" s="3">
        <v>1</v>
      </c>
    </row>
    <row r="4241" spans="1:4" ht="12.75" x14ac:dyDescent="0.35">
      <c r="A4241" s="5">
        <v>44763</v>
      </c>
      <c r="B4241" s="3" t="s">
        <v>1532</v>
      </c>
      <c r="C4241" s="3">
        <v>0.69</v>
      </c>
      <c r="D4241" s="3">
        <v>1</v>
      </c>
    </row>
    <row r="4242" spans="1:4" ht="12.75" x14ac:dyDescent="0.35">
      <c r="A4242" s="4">
        <v>44794</v>
      </c>
      <c r="B4242" s="3" t="s">
        <v>996</v>
      </c>
      <c r="C4242" s="3">
        <v>0.69</v>
      </c>
      <c r="D4242" s="3">
        <v>1</v>
      </c>
    </row>
    <row r="4243" spans="1:4" ht="12.75" x14ac:dyDescent="0.35">
      <c r="A4243" s="4">
        <v>44794</v>
      </c>
      <c r="B4243" s="3" t="s">
        <v>1662</v>
      </c>
      <c r="C4243" s="3">
        <v>0.69</v>
      </c>
      <c r="D4243" s="3">
        <v>1</v>
      </c>
    </row>
    <row r="4244" spans="1:4" ht="12.75" x14ac:dyDescent="0.35">
      <c r="A4244" s="4">
        <v>44825</v>
      </c>
      <c r="B4244" s="3" t="s">
        <v>1780</v>
      </c>
      <c r="C4244" s="3">
        <v>0.69</v>
      </c>
      <c r="D4244" s="3">
        <v>1</v>
      </c>
    </row>
    <row r="4245" spans="1:4" ht="12.75" x14ac:dyDescent="0.35">
      <c r="A4245" s="4">
        <v>44855</v>
      </c>
      <c r="B4245" s="3" t="s">
        <v>994</v>
      </c>
      <c r="C4245" s="3">
        <v>0.69</v>
      </c>
      <c r="D4245" s="3">
        <v>2</v>
      </c>
    </row>
    <row r="4246" spans="1:4" ht="12.75" x14ac:dyDescent="0.35">
      <c r="A4246" s="4">
        <v>44886</v>
      </c>
      <c r="B4246" s="3" t="s">
        <v>467</v>
      </c>
      <c r="C4246" s="3">
        <v>0.69</v>
      </c>
      <c r="D4246" s="3">
        <v>1</v>
      </c>
    </row>
    <row r="4247" spans="1:4" ht="12.75" x14ac:dyDescent="0.35">
      <c r="A4247" s="4">
        <v>44582</v>
      </c>
      <c r="B4247" s="3" t="s">
        <v>346</v>
      </c>
      <c r="C4247" s="3">
        <v>0.68</v>
      </c>
      <c r="D4247" s="3">
        <v>1</v>
      </c>
    </row>
    <row r="4248" spans="1:4" ht="12.75" x14ac:dyDescent="0.35">
      <c r="A4248" s="4">
        <v>44641</v>
      </c>
      <c r="B4248" s="3" t="s">
        <v>137</v>
      </c>
      <c r="C4248" s="3">
        <v>0.68</v>
      </c>
      <c r="D4248" s="3">
        <v>2</v>
      </c>
    </row>
    <row r="4249" spans="1:4" ht="12.75" x14ac:dyDescent="0.35">
      <c r="A4249" s="5">
        <v>44733</v>
      </c>
      <c r="B4249" s="3" t="s">
        <v>1252</v>
      </c>
      <c r="C4249" s="3">
        <v>0.68</v>
      </c>
      <c r="D4249" s="3">
        <v>1</v>
      </c>
    </row>
    <row r="4250" spans="1:4" ht="12.75" x14ac:dyDescent="0.35">
      <c r="A4250" s="5">
        <v>44733</v>
      </c>
      <c r="B4250" s="3" t="s">
        <v>71</v>
      </c>
      <c r="C4250" s="3">
        <v>0.68</v>
      </c>
      <c r="D4250" s="3">
        <v>1</v>
      </c>
    </row>
    <row r="4251" spans="1:4" ht="12.75" x14ac:dyDescent="0.35">
      <c r="A4251" s="5">
        <v>44763</v>
      </c>
      <c r="B4251" s="3" t="s">
        <v>1220</v>
      </c>
      <c r="C4251" s="3">
        <v>0.68</v>
      </c>
      <c r="D4251" s="3">
        <v>1</v>
      </c>
    </row>
    <row r="4252" spans="1:4" ht="12.75" x14ac:dyDescent="0.35">
      <c r="A4252" s="4">
        <v>44794</v>
      </c>
      <c r="B4252" s="3" t="s">
        <v>1645</v>
      </c>
      <c r="C4252" s="3">
        <v>0.68</v>
      </c>
      <c r="D4252" s="3">
        <v>1</v>
      </c>
    </row>
    <row r="4253" spans="1:4" ht="12.75" x14ac:dyDescent="0.35">
      <c r="A4253" s="4">
        <v>44825</v>
      </c>
      <c r="B4253" s="3" t="s">
        <v>813</v>
      </c>
      <c r="C4253" s="3">
        <v>0.68</v>
      </c>
      <c r="D4253" s="3">
        <v>1</v>
      </c>
    </row>
    <row r="4254" spans="1:4" ht="12.75" x14ac:dyDescent="0.35">
      <c r="A4254" s="4">
        <v>44825</v>
      </c>
      <c r="B4254" s="3" t="s">
        <v>977</v>
      </c>
      <c r="C4254" s="3">
        <v>0.68</v>
      </c>
      <c r="D4254" s="3">
        <v>1</v>
      </c>
    </row>
    <row r="4255" spans="1:4" ht="12.75" x14ac:dyDescent="0.35">
      <c r="A4255" s="4">
        <v>44916</v>
      </c>
      <c r="B4255" s="3" t="s">
        <v>1869</v>
      </c>
      <c r="C4255" s="3">
        <v>0.68</v>
      </c>
      <c r="D4255" s="3">
        <v>1</v>
      </c>
    </row>
    <row r="4256" spans="1:4" ht="12.75" x14ac:dyDescent="0.35">
      <c r="A4256" s="4">
        <v>44702</v>
      </c>
      <c r="B4256" s="3" t="s">
        <v>1062</v>
      </c>
      <c r="C4256" s="3">
        <v>0.67</v>
      </c>
      <c r="D4256" s="3">
        <v>1</v>
      </c>
    </row>
    <row r="4257" spans="1:4" ht="12.75" x14ac:dyDescent="0.35">
      <c r="A4257" s="4">
        <v>44794</v>
      </c>
      <c r="B4257" s="3" t="s">
        <v>1044</v>
      </c>
      <c r="C4257" s="3">
        <v>0.67</v>
      </c>
      <c r="D4257" s="3">
        <v>1</v>
      </c>
    </row>
    <row r="4258" spans="1:4" ht="12.75" x14ac:dyDescent="0.35">
      <c r="A4258" s="4">
        <v>44855</v>
      </c>
      <c r="B4258" s="3" t="s">
        <v>789</v>
      </c>
      <c r="C4258" s="3">
        <v>0.67</v>
      </c>
      <c r="D4258" s="3">
        <v>3</v>
      </c>
    </row>
    <row r="4259" spans="1:4" ht="12.75" x14ac:dyDescent="0.35">
      <c r="A4259" s="4">
        <v>44916</v>
      </c>
      <c r="B4259" s="3" t="s">
        <v>540</v>
      </c>
      <c r="C4259" s="3">
        <v>0.67</v>
      </c>
      <c r="D4259" s="3">
        <v>5</v>
      </c>
    </row>
    <row r="4260" spans="1:4" ht="12.75" x14ac:dyDescent="0.35">
      <c r="A4260" s="4">
        <v>44582</v>
      </c>
      <c r="B4260" s="3" t="s">
        <v>221</v>
      </c>
      <c r="C4260" s="3">
        <v>0.66</v>
      </c>
      <c r="D4260" s="3">
        <v>1</v>
      </c>
    </row>
    <row r="4261" spans="1:4" ht="12.75" x14ac:dyDescent="0.35">
      <c r="A4261" s="4">
        <v>44613</v>
      </c>
      <c r="B4261" s="3" t="s">
        <v>517</v>
      </c>
      <c r="C4261" s="3">
        <v>0.66</v>
      </c>
      <c r="D4261" s="3">
        <v>3</v>
      </c>
    </row>
    <row r="4262" spans="1:4" ht="12.75" x14ac:dyDescent="0.35">
      <c r="A4262" s="5">
        <v>44733</v>
      </c>
      <c r="B4262" s="3" t="s">
        <v>787</v>
      </c>
      <c r="C4262" s="3">
        <v>0.66</v>
      </c>
      <c r="D4262" s="3">
        <v>3</v>
      </c>
    </row>
    <row r="4263" spans="1:4" ht="12.75" x14ac:dyDescent="0.35">
      <c r="A4263" s="5">
        <v>44763</v>
      </c>
      <c r="B4263" s="3" t="s">
        <v>1499</v>
      </c>
      <c r="C4263" s="3">
        <v>0.66</v>
      </c>
      <c r="D4263" s="3">
        <v>1</v>
      </c>
    </row>
    <row r="4264" spans="1:4" ht="12.75" x14ac:dyDescent="0.35">
      <c r="A4264" s="4">
        <v>44794</v>
      </c>
      <c r="B4264" s="3" t="s">
        <v>835</v>
      </c>
      <c r="C4264" s="3">
        <v>0.66</v>
      </c>
      <c r="D4264" s="3">
        <v>2</v>
      </c>
    </row>
    <row r="4265" spans="1:4" ht="12.75" x14ac:dyDescent="0.35">
      <c r="A4265" s="4">
        <v>44641</v>
      </c>
      <c r="B4265" s="3" t="s">
        <v>440</v>
      </c>
      <c r="C4265" s="3">
        <v>0.65</v>
      </c>
      <c r="D4265" s="3">
        <v>1</v>
      </c>
    </row>
    <row r="4266" spans="1:4" ht="12.75" x14ac:dyDescent="0.35">
      <c r="A4266" s="5">
        <v>44733</v>
      </c>
      <c r="B4266" s="3" t="s">
        <v>1262</v>
      </c>
      <c r="C4266" s="3">
        <v>0.65</v>
      </c>
      <c r="D4266" s="3">
        <v>1</v>
      </c>
    </row>
    <row r="4267" spans="1:4" ht="12.75" x14ac:dyDescent="0.35">
      <c r="A4267" s="5">
        <v>44733</v>
      </c>
      <c r="B4267" s="3" t="s">
        <v>1392</v>
      </c>
      <c r="C4267" s="3">
        <v>0.65</v>
      </c>
      <c r="D4267" s="3">
        <v>1</v>
      </c>
    </row>
    <row r="4268" spans="1:4" ht="12.75" x14ac:dyDescent="0.35">
      <c r="A4268" s="5">
        <v>44763</v>
      </c>
      <c r="B4268" s="3" t="s">
        <v>1555</v>
      </c>
      <c r="C4268" s="3">
        <v>0.65</v>
      </c>
      <c r="D4268" s="3">
        <v>1</v>
      </c>
    </row>
    <row r="4269" spans="1:4" ht="12.75" x14ac:dyDescent="0.35">
      <c r="A4269" s="4">
        <v>44794</v>
      </c>
      <c r="B4269" s="3" t="s">
        <v>1487</v>
      </c>
      <c r="C4269" s="3">
        <v>0.65</v>
      </c>
      <c r="D4269" s="3">
        <v>1</v>
      </c>
    </row>
    <row r="4270" spans="1:4" ht="12.75" x14ac:dyDescent="0.35">
      <c r="A4270" s="4">
        <v>44825</v>
      </c>
      <c r="B4270" s="3" t="s">
        <v>1785</v>
      </c>
      <c r="C4270" s="3">
        <v>0.64</v>
      </c>
      <c r="D4270" s="3">
        <v>1</v>
      </c>
    </row>
    <row r="4271" spans="1:4" ht="12.75" x14ac:dyDescent="0.35">
      <c r="A4271" s="4">
        <v>44582</v>
      </c>
      <c r="B4271" s="3" t="s">
        <v>185</v>
      </c>
      <c r="C4271" s="3">
        <v>0.63</v>
      </c>
      <c r="D4271" s="3">
        <v>1</v>
      </c>
    </row>
    <row r="4272" spans="1:4" ht="12.75" x14ac:dyDescent="0.35">
      <c r="A4272" s="4">
        <v>44672</v>
      </c>
      <c r="B4272" s="3" t="s">
        <v>327</v>
      </c>
      <c r="C4272" s="3">
        <v>0.63</v>
      </c>
      <c r="D4272" s="3">
        <v>1</v>
      </c>
    </row>
    <row r="4273" spans="1:4" ht="12.75" x14ac:dyDescent="0.35">
      <c r="A4273" s="4">
        <v>44702</v>
      </c>
      <c r="B4273" s="3" t="s">
        <v>904</v>
      </c>
      <c r="C4273" s="3">
        <v>0.63</v>
      </c>
      <c r="D4273" s="3">
        <v>1</v>
      </c>
    </row>
    <row r="4274" spans="1:4" ht="12.75" x14ac:dyDescent="0.35">
      <c r="A4274" s="4">
        <v>44702</v>
      </c>
      <c r="B4274" s="3" t="s">
        <v>1145</v>
      </c>
      <c r="C4274" s="3">
        <v>0.63</v>
      </c>
      <c r="D4274" s="3">
        <v>1</v>
      </c>
    </row>
    <row r="4275" spans="1:4" ht="12.75" x14ac:dyDescent="0.35">
      <c r="A4275" s="5">
        <v>44763</v>
      </c>
      <c r="B4275" s="3" t="s">
        <v>1192</v>
      </c>
      <c r="C4275" s="3">
        <v>0.63</v>
      </c>
      <c r="D4275" s="3">
        <v>1</v>
      </c>
    </row>
    <row r="4276" spans="1:4" ht="12.75" x14ac:dyDescent="0.35">
      <c r="A4276" s="5">
        <v>44763</v>
      </c>
      <c r="B4276" s="3" t="s">
        <v>1505</v>
      </c>
      <c r="C4276" s="3">
        <v>0.63</v>
      </c>
      <c r="D4276" s="3">
        <v>1</v>
      </c>
    </row>
    <row r="4277" spans="1:4" ht="12.75" x14ac:dyDescent="0.35">
      <c r="A4277" s="4">
        <v>44794</v>
      </c>
      <c r="B4277" s="3" t="s">
        <v>1634</v>
      </c>
      <c r="C4277" s="3">
        <v>0.63</v>
      </c>
      <c r="D4277" s="3">
        <v>1</v>
      </c>
    </row>
    <row r="4278" spans="1:4" ht="12.75" x14ac:dyDescent="0.35">
      <c r="A4278" s="4">
        <v>44794</v>
      </c>
      <c r="B4278" s="3" t="s">
        <v>1699</v>
      </c>
      <c r="C4278" s="3">
        <v>0.63</v>
      </c>
      <c r="D4278" s="3">
        <v>1</v>
      </c>
    </row>
    <row r="4279" spans="1:4" ht="12.75" x14ac:dyDescent="0.35">
      <c r="A4279" s="4">
        <v>44672</v>
      </c>
      <c r="B4279" s="3" t="s">
        <v>819</v>
      </c>
      <c r="C4279" s="3">
        <v>0.62</v>
      </c>
      <c r="D4279" s="3">
        <v>1</v>
      </c>
    </row>
    <row r="4280" spans="1:4" ht="12.75" x14ac:dyDescent="0.35">
      <c r="A4280" s="5">
        <v>44733</v>
      </c>
      <c r="B4280" s="3" t="s">
        <v>813</v>
      </c>
      <c r="C4280" s="3">
        <v>0.62</v>
      </c>
      <c r="D4280" s="3">
        <v>1</v>
      </c>
    </row>
    <row r="4281" spans="1:4" ht="12.75" x14ac:dyDescent="0.35">
      <c r="A4281" s="5">
        <v>44733</v>
      </c>
      <c r="B4281" s="3" t="s">
        <v>1410</v>
      </c>
      <c r="C4281" s="3">
        <v>0.62</v>
      </c>
      <c r="D4281" s="3">
        <v>1</v>
      </c>
    </row>
    <row r="4282" spans="1:4" ht="12.75" x14ac:dyDescent="0.35">
      <c r="A4282" s="4">
        <v>44794</v>
      </c>
      <c r="B4282" s="3" t="s">
        <v>1484</v>
      </c>
      <c r="C4282" s="3">
        <v>0.62</v>
      </c>
      <c r="D4282" s="3">
        <v>1</v>
      </c>
    </row>
    <row r="4283" spans="1:4" ht="12.75" x14ac:dyDescent="0.35">
      <c r="A4283" s="4">
        <v>44886</v>
      </c>
      <c r="B4283" s="3" t="s">
        <v>211</v>
      </c>
      <c r="C4283" s="3">
        <v>0.62</v>
      </c>
      <c r="D4283" s="3">
        <v>1</v>
      </c>
    </row>
    <row r="4284" spans="1:4" ht="12.75" x14ac:dyDescent="0.35">
      <c r="A4284" s="5">
        <v>44763</v>
      </c>
      <c r="B4284" s="3" t="s">
        <v>1187</v>
      </c>
      <c r="C4284" s="3">
        <v>0.61</v>
      </c>
      <c r="D4284" s="3">
        <v>1</v>
      </c>
    </row>
    <row r="4285" spans="1:4" ht="12.75" x14ac:dyDescent="0.35">
      <c r="A4285" s="4">
        <v>44794</v>
      </c>
      <c r="B4285" s="3" t="s">
        <v>1653</v>
      </c>
      <c r="C4285" s="3">
        <v>0.61</v>
      </c>
      <c r="D4285" s="3">
        <v>2</v>
      </c>
    </row>
    <row r="4286" spans="1:4" ht="12.75" x14ac:dyDescent="0.35">
      <c r="A4286" s="4">
        <v>44916</v>
      </c>
      <c r="B4286" s="3" t="s">
        <v>1872</v>
      </c>
      <c r="C4286" s="3">
        <v>0.61</v>
      </c>
      <c r="D4286" s="3">
        <v>1</v>
      </c>
    </row>
    <row r="4287" spans="1:4" ht="12.75" x14ac:dyDescent="0.35">
      <c r="A4287" s="4">
        <v>44582</v>
      </c>
      <c r="B4287" s="3" t="s">
        <v>169</v>
      </c>
      <c r="C4287" s="3">
        <v>0.6</v>
      </c>
      <c r="D4287" s="3">
        <v>1</v>
      </c>
    </row>
    <row r="4288" spans="1:4" ht="12.75" x14ac:dyDescent="0.35">
      <c r="A4288" s="4">
        <v>44613</v>
      </c>
      <c r="B4288" s="3" t="s">
        <v>447</v>
      </c>
      <c r="C4288" s="3">
        <v>0.6</v>
      </c>
      <c r="D4288" s="3">
        <v>1</v>
      </c>
    </row>
    <row r="4289" spans="1:4" ht="12.75" x14ac:dyDescent="0.35">
      <c r="A4289" s="4">
        <v>44702</v>
      </c>
      <c r="B4289" s="3" t="s">
        <v>559</v>
      </c>
      <c r="C4289" s="3">
        <v>0.6</v>
      </c>
      <c r="D4289" s="3">
        <v>2</v>
      </c>
    </row>
    <row r="4290" spans="1:4" ht="12.75" x14ac:dyDescent="0.35">
      <c r="A4290" s="5">
        <v>44733</v>
      </c>
      <c r="B4290" s="3" t="s">
        <v>202</v>
      </c>
      <c r="C4290" s="3">
        <v>0.6</v>
      </c>
      <c r="D4290" s="3">
        <v>1</v>
      </c>
    </row>
    <row r="4291" spans="1:4" ht="12.75" x14ac:dyDescent="0.35">
      <c r="A4291" s="5">
        <v>44763</v>
      </c>
      <c r="B4291" s="3" t="s">
        <v>1490</v>
      </c>
      <c r="C4291" s="3">
        <v>0.6</v>
      </c>
      <c r="D4291" s="3">
        <v>1</v>
      </c>
    </row>
    <row r="4292" spans="1:4" ht="12.75" x14ac:dyDescent="0.35">
      <c r="A4292" s="5">
        <v>44763</v>
      </c>
      <c r="B4292" s="3" t="s">
        <v>1073</v>
      </c>
      <c r="C4292" s="3">
        <v>0.6</v>
      </c>
      <c r="D4292" s="3">
        <v>3</v>
      </c>
    </row>
    <row r="4293" spans="1:4" ht="12.75" x14ac:dyDescent="0.35">
      <c r="A4293" s="4">
        <v>44794</v>
      </c>
      <c r="B4293" s="3" t="s">
        <v>1284</v>
      </c>
      <c r="C4293" s="3">
        <v>0.6</v>
      </c>
      <c r="D4293" s="3">
        <v>1</v>
      </c>
    </row>
    <row r="4294" spans="1:4" ht="12.75" x14ac:dyDescent="0.35">
      <c r="A4294" s="4">
        <v>44886</v>
      </c>
      <c r="B4294" s="3" t="s">
        <v>1827</v>
      </c>
      <c r="C4294" s="3">
        <v>0.6</v>
      </c>
      <c r="D4294" s="3">
        <v>1</v>
      </c>
    </row>
    <row r="4295" spans="1:4" ht="12.75" x14ac:dyDescent="0.35">
      <c r="A4295" s="4">
        <v>44916</v>
      </c>
      <c r="B4295" s="3" t="s">
        <v>211</v>
      </c>
      <c r="C4295" s="3">
        <v>0.6</v>
      </c>
      <c r="D4295" s="3">
        <v>1</v>
      </c>
    </row>
    <row r="4296" spans="1:4" ht="12.75" x14ac:dyDescent="0.35">
      <c r="A4296" s="4">
        <v>44702</v>
      </c>
      <c r="B4296" s="3" t="s">
        <v>958</v>
      </c>
      <c r="C4296" s="3">
        <v>0.59</v>
      </c>
      <c r="D4296" s="3">
        <v>1</v>
      </c>
    </row>
    <row r="4297" spans="1:4" ht="12.75" x14ac:dyDescent="0.35">
      <c r="A4297" s="4">
        <v>44794</v>
      </c>
      <c r="B4297" s="3" t="s">
        <v>1672</v>
      </c>
      <c r="C4297" s="3">
        <v>0.59</v>
      </c>
      <c r="D4297" s="3">
        <v>1</v>
      </c>
    </row>
    <row r="4298" spans="1:4" ht="12.75" x14ac:dyDescent="0.35">
      <c r="A4298" s="4">
        <v>44582</v>
      </c>
      <c r="B4298" s="3" t="s">
        <v>260</v>
      </c>
      <c r="C4298" s="3">
        <v>0.57999999999999996</v>
      </c>
      <c r="D4298" s="3">
        <v>1</v>
      </c>
    </row>
    <row r="4299" spans="1:4" ht="12.75" x14ac:dyDescent="0.35">
      <c r="A4299" s="4">
        <v>44613</v>
      </c>
      <c r="B4299" s="3" t="s">
        <v>345</v>
      </c>
      <c r="C4299" s="3">
        <v>0.57999999999999996</v>
      </c>
      <c r="D4299" s="3">
        <v>1</v>
      </c>
    </row>
    <row r="4300" spans="1:4" ht="12.75" x14ac:dyDescent="0.35">
      <c r="A4300" s="4">
        <v>44702</v>
      </c>
      <c r="B4300" s="3" t="s">
        <v>871</v>
      </c>
      <c r="C4300" s="3">
        <v>0.57999999999999996</v>
      </c>
      <c r="D4300" s="3">
        <v>1</v>
      </c>
    </row>
    <row r="4301" spans="1:4" ht="12.75" x14ac:dyDescent="0.35">
      <c r="A4301" s="4">
        <v>44916</v>
      </c>
      <c r="B4301" s="3" t="s">
        <v>1893</v>
      </c>
      <c r="C4301" s="3">
        <v>0.57999999999999996</v>
      </c>
      <c r="D4301" s="3">
        <v>1</v>
      </c>
    </row>
    <row r="4302" spans="1:4" ht="12.75" x14ac:dyDescent="0.35">
      <c r="A4302" s="4">
        <v>44641</v>
      </c>
      <c r="B4302" s="3" t="s">
        <v>61</v>
      </c>
      <c r="C4302" s="3">
        <v>0.56999999999999995</v>
      </c>
      <c r="D4302" s="3">
        <v>1</v>
      </c>
    </row>
    <row r="4303" spans="1:4" ht="12.75" x14ac:dyDescent="0.35">
      <c r="A4303" s="5">
        <v>44733</v>
      </c>
      <c r="B4303" s="3" t="s">
        <v>1391</v>
      </c>
      <c r="C4303" s="3">
        <v>0.56999999999999995</v>
      </c>
      <c r="D4303" s="3">
        <v>1</v>
      </c>
    </row>
    <row r="4304" spans="1:4" ht="12.75" x14ac:dyDescent="0.35">
      <c r="A4304" s="5">
        <v>44763</v>
      </c>
      <c r="B4304" s="3" t="s">
        <v>1399</v>
      </c>
      <c r="C4304" s="3">
        <v>0.56999999999999995</v>
      </c>
      <c r="D4304" s="3">
        <v>1</v>
      </c>
    </row>
    <row r="4305" spans="1:4" ht="12.75" x14ac:dyDescent="0.35">
      <c r="A4305" s="4">
        <v>44794</v>
      </c>
      <c r="B4305" s="3" t="s">
        <v>222</v>
      </c>
      <c r="C4305" s="3">
        <v>0.56999999999999995</v>
      </c>
      <c r="D4305" s="3">
        <v>1</v>
      </c>
    </row>
    <row r="4306" spans="1:4" ht="12.75" x14ac:dyDescent="0.35">
      <c r="A4306" s="4">
        <v>44794</v>
      </c>
      <c r="B4306" s="3" t="s">
        <v>1588</v>
      </c>
      <c r="C4306" s="3">
        <v>0.56999999999999995</v>
      </c>
      <c r="D4306" s="3">
        <v>1</v>
      </c>
    </row>
    <row r="4307" spans="1:4" ht="12.75" x14ac:dyDescent="0.35">
      <c r="A4307" s="4">
        <v>44886</v>
      </c>
      <c r="B4307" s="3" t="s">
        <v>570</v>
      </c>
      <c r="C4307" s="3">
        <v>0.56999999999999995</v>
      </c>
      <c r="D4307" s="3">
        <v>1</v>
      </c>
    </row>
    <row r="4308" spans="1:4" ht="12.75" x14ac:dyDescent="0.35">
      <c r="A4308" s="4">
        <v>44886</v>
      </c>
      <c r="B4308" s="3" t="s">
        <v>1718</v>
      </c>
      <c r="C4308" s="3">
        <v>0.56999999999999995</v>
      </c>
      <c r="D4308" s="3">
        <v>1</v>
      </c>
    </row>
    <row r="4309" spans="1:4" ht="12.75" x14ac:dyDescent="0.35">
      <c r="A4309" s="4">
        <v>44886</v>
      </c>
      <c r="B4309" s="3" t="s">
        <v>1143</v>
      </c>
      <c r="C4309" s="3">
        <v>0.56999999999999995</v>
      </c>
      <c r="D4309" s="3">
        <v>1</v>
      </c>
    </row>
    <row r="4310" spans="1:4" ht="12.75" x14ac:dyDescent="0.35">
      <c r="A4310" s="4">
        <v>44641</v>
      </c>
      <c r="B4310" s="3" t="s">
        <v>263</v>
      </c>
      <c r="C4310" s="3">
        <v>0.56000000000000005</v>
      </c>
      <c r="D4310" s="3">
        <v>1</v>
      </c>
    </row>
    <row r="4311" spans="1:4" ht="12.75" x14ac:dyDescent="0.35">
      <c r="A4311" s="4">
        <v>44794</v>
      </c>
      <c r="B4311" s="3" t="s">
        <v>1580</v>
      </c>
      <c r="C4311" s="3">
        <v>0.56000000000000005</v>
      </c>
      <c r="D4311" s="3">
        <v>1</v>
      </c>
    </row>
    <row r="4312" spans="1:4" ht="12.75" x14ac:dyDescent="0.35">
      <c r="A4312" s="4">
        <v>44582</v>
      </c>
      <c r="B4312" s="3" t="s">
        <v>271</v>
      </c>
      <c r="C4312" s="3">
        <v>0.55000000000000004</v>
      </c>
      <c r="D4312" s="3">
        <v>1</v>
      </c>
    </row>
    <row r="4313" spans="1:4" ht="12.75" x14ac:dyDescent="0.35">
      <c r="A4313" s="4">
        <v>44672</v>
      </c>
      <c r="B4313" s="3" t="s">
        <v>989</v>
      </c>
      <c r="C4313" s="3">
        <v>0.55000000000000004</v>
      </c>
      <c r="D4313" s="3">
        <v>1</v>
      </c>
    </row>
    <row r="4314" spans="1:4" ht="12.75" x14ac:dyDescent="0.35">
      <c r="A4314" s="5">
        <v>44733</v>
      </c>
      <c r="B4314" s="3" t="s">
        <v>1407</v>
      </c>
      <c r="C4314" s="3">
        <v>0.55000000000000004</v>
      </c>
      <c r="D4314" s="3">
        <v>1</v>
      </c>
    </row>
    <row r="4315" spans="1:4" ht="12.75" x14ac:dyDescent="0.35">
      <c r="A4315" s="4">
        <v>44825</v>
      </c>
      <c r="B4315" s="3" t="s">
        <v>533</v>
      </c>
      <c r="C4315" s="3">
        <v>0.55000000000000004</v>
      </c>
      <c r="D4315" s="3">
        <v>1</v>
      </c>
    </row>
    <row r="4316" spans="1:4" ht="12.75" x14ac:dyDescent="0.35">
      <c r="A4316" s="4">
        <v>44855</v>
      </c>
      <c r="B4316" s="3" t="s">
        <v>1289</v>
      </c>
      <c r="C4316" s="3">
        <v>0.55000000000000004</v>
      </c>
      <c r="D4316" s="3">
        <v>1</v>
      </c>
    </row>
    <row r="4317" spans="1:4" ht="12.75" x14ac:dyDescent="0.35">
      <c r="A4317" s="4">
        <v>44672</v>
      </c>
      <c r="B4317" s="3" t="s">
        <v>667</v>
      </c>
      <c r="C4317" s="3">
        <v>0.54</v>
      </c>
      <c r="D4317" s="3">
        <v>1</v>
      </c>
    </row>
    <row r="4318" spans="1:4" ht="12.75" x14ac:dyDescent="0.35">
      <c r="A4318" s="4">
        <v>44702</v>
      </c>
      <c r="B4318" s="3" t="s">
        <v>1139</v>
      </c>
      <c r="C4318" s="3">
        <v>0.54</v>
      </c>
      <c r="D4318" s="3">
        <v>1</v>
      </c>
    </row>
    <row r="4319" spans="1:4" ht="12.75" x14ac:dyDescent="0.35">
      <c r="A4319" s="5">
        <v>44733</v>
      </c>
      <c r="B4319" s="3" t="s">
        <v>1256</v>
      </c>
      <c r="C4319" s="3">
        <v>0.54</v>
      </c>
      <c r="D4319" s="3">
        <v>1</v>
      </c>
    </row>
    <row r="4320" spans="1:4" ht="12.75" x14ac:dyDescent="0.35">
      <c r="A4320" s="5">
        <v>44733</v>
      </c>
      <c r="B4320" s="3" t="s">
        <v>1395</v>
      </c>
      <c r="C4320" s="3">
        <v>0.54</v>
      </c>
      <c r="D4320" s="3">
        <v>1</v>
      </c>
    </row>
    <row r="4321" spans="1:4" ht="12.75" x14ac:dyDescent="0.35">
      <c r="A4321" s="5">
        <v>44763</v>
      </c>
      <c r="B4321" s="3" t="s">
        <v>1511</v>
      </c>
      <c r="C4321" s="3">
        <v>0.54</v>
      </c>
      <c r="D4321" s="3">
        <v>2</v>
      </c>
    </row>
    <row r="4322" spans="1:4" ht="12.75" x14ac:dyDescent="0.35">
      <c r="A4322" s="4">
        <v>44794</v>
      </c>
      <c r="B4322" s="3" t="s">
        <v>1327</v>
      </c>
      <c r="C4322" s="3">
        <v>0.54</v>
      </c>
      <c r="D4322" s="3">
        <v>1</v>
      </c>
    </row>
    <row r="4323" spans="1:4" ht="12.75" x14ac:dyDescent="0.35">
      <c r="A4323" s="4">
        <v>44794</v>
      </c>
      <c r="B4323" s="3" t="s">
        <v>1686</v>
      </c>
      <c r="C4323" s="3">
        <v>0.54</v>
      </c>
      <c r="D4323" s="3">
        <v>1</v>
      </c>
    </row>
    <row r="4324" spans="1:4" ht="12.75" x14ac:dyDescent="0.35">
      <c r="A4324" s="4">
        <v>44855</v>
      </c>
      <c r="B4324" s="3" t="s">
        <v>390</v>
      </c>
      <c r="C4324" s="3">
        <v>0.54</v>
      </c>
      <c r="D4324" s="3">
        <v>1</v>
      </c>
    </row>
    <row r="4325" spans="1:4" ht="12.75" x14ac:dyDescent="0.35">
      <c r="A4325" s="4">
        <v>44916</v>
      </c>
      <c r="B4325" s="3" t="s">
        <v>390</v>
      </c>
      <c r="C4325" s="3">
        <v>0.54</v>
      </c>
      <c r="D4325" s="3">
        <v>1</v>
      </c>
    </row>
    <row r="4326" spans="1:4" ht="12.75" x14ac:dyDescent="0.35">
      <c r="A4326" s="4">
        <v>44582</v>
      </c>
      <c r="B4326" s="3" t="s">
        <v>111</v>
      </c>
      <c r="C4326" s="3">
        <v>0.53</v>
      </c>
      <c r="D4326" s="3">
        <v>1</v>
      </c>
    </row>
    <row r="4327" spans="1:4" ht="12.75" x14ac:dyDescent="0.35">
      <c r="A4327" s="4">
        <v>44641</v>
      </c>
      <c r="B4327" s="3" t="s">
        <v>317</v>
      </c>
      <c r="C4327" s="3">
        <v>0.53</v>
      </c>
      <c r="D4327" s="3">
        <v>2</v>
      </c>
    </row>
    <row r="4328" spans="1:4" ht="12.75" x14ac:dyDescent="0.35">
      <c r="A4328" s="5">
        <v>44733</v>
      </c>
      <c r="B4328" s="3" t="s">
        <v>1181</v>
      </c>
      <c r="C4328" s="3">
        <v>0.53</v>
      </c>
      <c r="D4328" s="3">
        <v>1</v>
      </c>
    </row>
    <row r="4329" spans="1:4" ht="12.75" x14ac:dyDescent="0.35">
      <c r="A4329" s="5">
        <v>44733</v>
      </c>
      <c r="B4329" s="3" t="s">
        <v>1185</v>
      </c>
      <c r="C4329" s="3">
        <v>0.53</v>
      </c>
      <c r="D4329" s="3">
        <v>1</v>
      </c>
    </row>
    <row r="4330" spans="1:4" ht="12.75" x14ac:dyDescent="0.35">
      <c r="A4330" s="5">
        <v>44733</v>
      </c>
      <c r="B4330" s="3" t="s">
        <v>1228</v>
      </c>
      <c r="C4330" s="3">
        <v>0.53</v>
      </c>
      <c r="D4330" s="3">
        <v>1</v>
      </c>
    </row>
    <row r="4331" spans="1:4" ht="12.75" x14ac:dyDescent="0.35">
      <c r="A4331" s="5">
        <v>44733</v>
      </c>
      <c r="B4331" s="3" t="s">
        <v>1251</v>
      </c>
      <c r="C4331" s="3">
        <v>0.53</v>
      </c>
      <c r="D4331" s="3">
        <v>1</v>
      </c>
    </row>
    <row r="4332" spans="1:4" ht="12.75" x14ac:dyDescent="0.35">
      <c r="A4332" s="5">
        <v>44733</v>
      </c>
      <c r="B4332" s="3" t="s">
        <v>1307</v>
      </c>
      <c r="C4332" s="3">
        <v>0.53</v>
      </c>
      <c r="D4332" s="3">
        <v>1</v>
      </c>
    </row>
    <row r="4333" spans="1:4" ht="12.75" x14ac:dyDescent="0.35">
      <c r="A4333" s="5">
        <v>44733</v>
      </c>
      <c r="B4333" s="3" t="s">
        <v>1309</v>
      </c>
      <c r="C4333" s="3">
        <v>0.53</v>
      </c>
      <c r="D4333" s="3">
        <v>1</v>
      </c>
    </row>
    <row r="4334" spans="1:4" ht="12.75" x14ac:dyDescent="0.35">
      <c r="A4334" s="5">
        <v>44733</v>
      </c>
      <c r="B4334" s="3" t="s">
        <v>629</v>
      </c>
      <c r="C4334" s="3">
        <v>0.53</v>
      </c>
      <c r="D4334" s="3">
        <v>2</v>
      </c>
    </row>
    <row r="4335" spans="1:4" ht="12.75" x14ac:dyDescent="0.35">
      <c r="A4335" s="5">
        <v>44733</v>
      </c>
      <c r="B4335" s="3" t="s">
        <v>1453</v>
      </c>
      <c r="C4335" s="3">
        <v>0.53</v>
      </c>
      <c r="D4335" s="3">
        <v>1</v>
      </c>
    </row>
    <row r="4336" spans="1:4" ht="12.75" x14ac:dyDescent="0.35">
      <c r="A4336" s="5">
        <v>44763</v>
      </c>
      <c r="B4336" s="3" t="s">
        <v>1483</v>
      </c>
      <c r="C4336" s="3">
        <v>0.53</v>
      </c>
      <c r="D4336" s="3">
        <v>1</v>
      </c>
    </row>
    <row r="4337" spans="1:4" ht="12.75" x14ac:dyDescent="0.35">
      <c r="A4337" s="5">
        <v>44763</v>
      </c>
      <c r="B4337" s="3" t="s">
        <v>1227</v>
      </c>
      <c r="C4337" s="3">
        <v>0.53</v>
      </c>
      <c r="D4337" s="3">
        <v>2</v>
      </c>
    </row>
    <row r="4338" spans="1:4" ht="12.75" x14ac:dyDescent="0.35">
      <c r="A4338" s="4">
        <v>44794</v>
      </c>
      <c r="B4338" s="3" t="s">
        <v>1388</v>
      </c>
      <c r="C4338" s="3">
        <v>0.53</v>
      </c>
      <c r="D4338" s="3">
        <v>1</v>
      </c>
    </row>
    <row r="4339" spans="1:4" ht="12.75" x14ac:dyDescent="0.35">
      <c r="A4339" s="4">
        <v>44794</v>
      </c>
      <c r="B4339" s="3" t="s">
        <v>1687</v>
      </c>
      <c r="C4339" s="3">
        <v>0.53</v>
      </c>
      <c r="D4339" s="3">
        <v>1</v>
      </c>
    </row>
    <row r="4340" spans="1:4" ht="12.75" x14ac:dyDescent="0.35">
      <c r="A4340" s="4">
        <v>44702</v>
      </c>
      <c r="B4340" s="3" t="s">
        <v>831</v>
      </c>
      <c r="C4340" s="3">
        <v>0.52</v>
      </c>
      <c r="D4340" s="3">
        <v>1</v>
      </c>
    </row>
    <row r="4341" spans="1:4" ht="12.75" x14ac:dyDescent="0.35">
      <c r="A4341" s="5">
        <v>44733</v>
      </c>
      <c r="B4341" s="3" t="s">
        <v>1268</v>
      </c>
      <c r="C4341" s="3">
        <v>0.52</v>
      </c>
      <c r="D4341" s="3">
        <v>1</v>
      </c>
    </row>
    <row r="4342" spans="1:4" ht="12.75" x14ac:dyDescent="0.35">
      <c r="A4342" s="4">
        <v>44825</v>
      </c>
      <c r="B4342" s="3" t="s">
        <v>1723</v>
      </c>
      <c r="C4342" s="3">
        <v>0.52</v>
      </c>
      <c r="D4342" s="3">
        <v>2</v>
      </c>
    </row>
    <row r="4343" spans="1:4" ht="12.75" x14ac:dyDescent="0.35">
      <c r="A4343" s="4">
        <v>44886</v>
      </c>
      <c r="B4343" s="3" t="s">
        <v>156</v>
      </c>
      <c r="C4343" s="3">
        <v>0.52</v>
      </c>
      <c r="D4343" s="3">
        <v>1</v>
      </c>
    </row>
    <row r="4344" spans="1:4" ht="12.75" x14ac:dyDescent="0.35">
      <c r="A4344" s="5">
        <v>44733</v>
      </c>
      <c r="B4344" s="3" t="s">
        <v>1180</v>
      </c>
      <c r="C4344" s="3">
        <v>0.51</v>
      </c>
      <c r="D4344" s="3">
        <v>1</v>
      </c>
    </row>
    <row r="4345" spans="1:4" ht="12.75" x14ac:dyDescent="0.35">
      <c r="A4345" s="5">
        <v>44763</v>
      </c>
      <c r="B4345" s="3" t="s">
        <v>1370</v>
      </c>
      <c r="C4345" s="3">
        <v>0.51</v>
      </c>
      <c r="D4345" s="3">
        <v>1</v>
      </c>
    </row>
    <row r="4346" spans="1:4" ht="12.75" x14ac:dyDescent="0.35">
      <c r="A4346" s="4">
        <v>44794</v>
      </c>
      <c r="B4346" s="3" t="s">
        <v>1582</v>
      </c>
      <c r="C4346" s="3">
        <v>0.51</v>
      </c>
      <c r="D4346" s="3">
        <v>1</v>
      </c>
    </row>
    <row r="4347" spans="1:4" ht="12.75" x14ac:dyDescent="0.35">
      <c r="A4347" s="4">
        <v>44794</v>
      </c>
      <c r="B4347" s="3" t="s">
        <v>870</v>
      </c>
      <c r="C4347" s="3">
        <v>0.51</v>
      </c>
      <c r="D4347" s="3">
        <v>1</v>
      </c>
    </row>
    <row r="4348" spans="1:4" ht="12.75" x14ac:dyDescent="0.35">
      <c r="A4348" s="4">
        <v>44794</v>
      </c>
      <c r="B4348" s="3" t="s">
        <v>1708</v>
      </c>
      <c r="C4348" s="3">
        <v>0.51</v>
      </c>
      <c r="D4348" s="3">
        <v>1</v>
      </c>
    </row>
    <row r="4349" spans="1:4" ht="12.75" x14ac:dyDescent="0.35">
      <c r="A4349" s="4">
        <v>44825</v>
      </c>
      <c r="B4349" s="3" t="s">
        <v>1522</v>
      </c>
      <c r="C4349" s="3">
        <v>0.51</v>
      </c>
      <c r="D4349" s="3">
        <v>1</v>
      </c>
    </row>
    <row r="4350" spans="1:4" ht="12.75" x14ac:dyDescent="0.35">
      <c r="A4350" s="4">
        <v>44886</v>
      </c>
      <c r="B4350" s="3" t="s">
        <v>1813</v>
      </c>
      <c r="C4350" s="3">
        <v>0.51</v>
      </c>
      <c r="D4350" s="3">
        <v>1</v>
      </c>
    </row>
    <row r="4351" spans="1:4" ht="12.75" x14ac:dyDescent="0.35">
      <c r="A4351" s="4">
        <v>44582</v>
      </c>
      <c r="B4351" s="3" t="s">
        <v>72</v>
      </c>
      <c r="C4351" s="3">
        <v>0.5</v>
      </c>
      <c r="D4351" s="3">
        <v>1</v>
      </c>
    </row>
    <row r="4352" spans="1:4" ht="12.75" x14ac:dyDescent="0.35">
      <c r="A4352" s="4">
        <v>44613</v>
      </c>
      <c r="B4352" s="3" t="s">
        <v>548</v>
      </c>
      <c r="C4352" s="3">
        <v>0.5</v>
      </c>
      <c r="D4352" s="3">
        <v>1</v>
      </c>
    </row>
    <row r="4353" spans="1:4" ht="12.75" x14ac:dyDescent="0.35">
      <c r="A4353" s="5">
        <v>44763</v>
      </c>
      <c r="B4353" s="3" t="s">
        <v>1425</v>
      </c>
      <c r="C4353" s="3">
        <v>0.5</v>
      </c>
      <c r="D4353" s="3">
        <v>1</v>
      </c>
    </row>
    <row r="4354" spans="1:4" ht="12.75" x14ac:dyDescent="0.35">
      <c r="A4354" s="5">
        <v>44763</v>
      </c>
      <c r="B4354" s="3" t="s">
        <v>1492</v>
      </c>
      <c r="C4354" s="3">
        <v>0.5</v>
      </c>
      <c r="D4354" s="3">
        <v>1</v>
      </c>
    </row>
    <row r="4355" spans="1:4" ht="12.75" x14ac:dyDescent="0.35">
      <c r="A4355" s="5">
        <v>44763</v>
      </c>
      <c r="B4355" s="3" t="s">
        <v>1533</v>
      </c>
      <c r="C4355" s="3">
        <v>0.5</v>
      </c>
      <c r="D4355" s="3">
        <v>1</v>
      </c>
    </row>
    <row r="4356" spans="1:4" ht="12.75" x14ac:dyDescent="0.35">
      <c r="A4356" s="4">
        <v>44825</v>
      </c>
      <c r="B4356" s="3" t="s">
        <v>1792</v>
      </c>
      <c r="C4356" s="3">
        <v>0.5</v>
      </c>
      <c r="D4356" s="3">
        <v>2</v>
      </c>
    </row>
    <row r="4357" spans="1:4" ht="12.75" x14ac:dyDescent="0.35">
      <c r="A4357" s="4">
        <v>44855</v>
      </c>
      <c r="B4357" s="3" t="s">
        <v>1656</v>
      </c>
      <c r="C4357" s="3">
        <v>0.5</v>
      </c>
      <c r="D4357" s="3">
        <v>1</v>
      </c>
    </row>
    <row r="4358" spans="1:4" ht="12.75" x14ac:dyDescent="0.35">
      <c r="A4358" s="4">
        <v>44886</v>
      </c>
      <c r="B4358" s="3" t="s">
        <v>1021</v>
      </c>
      <c r="C4358" s="3">
        <v>0.5</v>
      </c>
      <c r="D4358" s="3">
        <v>1</v>
      </c>
    </row>
    <row r="4359" spans="1:4" ht="12.75" x14ac:dyDescent="0.35">
      <c r="A4359" s="4">
        <v>44916</v>
      </c>
      <c r="B4359" s="3" t="s">
        <v>1871</v>
      </c>
      <c r="C4359" s="3">
        <v>0.5</v>
      </c>
      <c r="D4359" s="3">
        <v>1</v>
      </c>
    </row>
    <row r="4360" spans="1:4" ht="12.75" x14ac:dyDescent="0.35">
      <c r="A4360" s="4">
        <v>44702</v>
      </c>
      <c r="B4360" s="3" t="s">
        <v>1034</v>
      </c>
      <c r="C4360" s="3">
        <v>0.49</v>
      </c>
      <c r="D4360" s="3">
        <v>1</v>
      </c>
    </row>
    <row r="4361" spans="1:4" ht="12.75" x14ac:dyDescent="0.35">
      <c r="A4361" s="5">
        <v>44733</v>
      </c>
      <c r="B4361" s="3" t="s">
        <v>443</v>
      </c>
      <c r="C4361" s="3">
        <v>0.49</v>
      </c>
      <c r="D4361" s="3">
        <v>1</v>
      </c>
    </row>
    <row r="4362" spans="1:4" ht="12.75" x14ac:dyDescent="0.35">
      <c r="A4362" s="4">
        <v>44794</v>
      </c>
      <c r="B4362" s="3" t="s">
        <v>1586</v>
      </c>
      <c r="C4362" s="3">
        <v>0.49</v>
      </c>
      <c r="D4362" s="3">
        <v>1</v>
      </c>
    </row>
    <row r="4363" spans="1:4" ht="12.75" x14ac:dyDescent="0.35">
      <c r="A4363" s="4">
        <v>44794</v>
      </c>
      <c r="B4363" s="3" t="s">
        <v>1629</v>
      </c>
      <c r="C4363" s="3">
        <v>0.48</v>
      </c>
      <c r="D4363" s="3">
        <v>1</v>
      </c>
    </row>
    <row r="4364" spans="1:4" ht="12.75" x14ac:dyDescent="0.35">
      <c r="A4364" s="4">
        <v>44794</v>
      </c>
      <c r="B4364" s="3" t="s">
        <v>1670</v>
      </c>
      <c r="C4364" s="3">
        <v>0.48</v>
      </c>
      <c r="D4364" s="3">
        <v>1</v>
      </c>
    </row>
    <row r="4365" spans="1:4" ht="12.75" x14ac:dyDescent="0.35">
      <c r="A4365" s="4">
        <v>44794</v>
      </c>
      <c r="B4365" s="3" t="s">
        <v>1420</v>
      </c>
      <c r="C4365" s="3">
        <v>0.48</v>
      </c>
      <c r="D4365" s="3">
        <v>1</v>
      </c>
    </row>
    <row r="4366" spans="1:4" ht="12.75" x14ac:dyDescent="0.35">
      <c r="A4366" s="4">
        <v>44825</v>
      </c>
      <c r="B4366" s="3" t="s">
        <v>1108</v>
      </c>
      <c r="C4366" s="3">
        <v>0.48</v>
      </c>
      <c r="D4366" s="3">
        <v>1</v>
      </c>
    </row>
    <row r="4367" spans="1:4" ht="12.75" x14ac:dyDescent="0.35">
      <c r="A4367" s="4">
        <v>44886</v>
      </c>
      <c r="B4367" s="3" t="s">
        <v>509</v>
      </c>
      <c r="C4367" s="3">
        <v>0.48</v>
      </c>
      <c r="D4367" s="3">
        <v>1</v>
      </c>
    </row>
    <row r="4368" spans="1:4" ht="12.75" x14ac:dyDescent="0.35">
      <c r="A4368" s="4">
        <v>44916</v>
      </c>
      <c r="B4368" s="3" t="s">
        <v>75</v>
      </c>
      <c r="C4368" s="3">
        <v>0.48</v>
      </c>
      <c r="D4368" s="3">
        <v>6</v>
      </c>
    </row>
    <row r="4369" spans="1:4" ht="12.75" x14ac:dyDescent="0.35">
      <c r="A4369" s="4">
        <v>44613</v>
      </c>
      <c r="B4369" s="3" t="s">
        <v>185</v>
      </c>
      <c r="C4369" s="3">
        <v>0.47</v>
      </c>
      <c r="D4369" s="3">
        <v>1</v>
      </c>
    </row>
    <row r="4370" spans="1:4" ht="12.75" x14ac:dyDescent="0.35">
      <c r="A4370" s="4">
        <v>44641</v>
      </c>
      <c r="B4370" s="3" t="s">
        <v>134</v>
      </c>
      <c r="C4370" s="3">
        <v>0.47</v>
      </c>
      <c r="D4370" s="3">
        <v>2</v>
      </c>
    </row>
    <row r="4371" spans="1:4" ht="12.75" x14ac:dyDescent="0.35">
      <c r="A4371" s="5">
        <v>44733</v>
      </c>
      <c r="B4371" s="3" t="s">
        <v>338</v>
      </c>
      <c r="C4371" s="3">
        <v>0.47</v>
      </c>
      <c r="D4371" s="3">
        <v>1</v>
      </c>
    </row>
    <row r="4372" spans="1:4" ht="12.75" x14ac:dyDescent="0.35">
      <c r="A4372" s="5">
        <v>44763</v>
      </c>
      <c r="B4372" s="3" t="s">
        <v>724</v>
      </c>
      <c r="C4372" s="3">
        <v>0.47</v>
      </c>
      <c r="D4372" s="3">
        <v>2</v>
      </c>
    </row>
    <row r="4373" spans="1:4" ht="12.75" x14ac:dyDescent="0.35">
      <c r="A4373" s="4">
        <v>44794</v>
      </c>
      <c r="B4373" s="3" t="s">
        <v>1642</v>
      </c>
      <c r="C4373" s="3">
        <v>0.47</v>
      </c>
      <c r="D4373" s="3">
        <v>1</v>
      </c>
    </row>
    <row r="4374" spans="1:4" ht="12.75" x14ac:dyDescent="0.35">
      <c r="A4374" s="5">
        <v>44733</v>
      </c>
      <c r="B4374" s="3" t="s">
        <v>503</v>
      </c>
      <c r="C4374" s="3">
        <v>0.46</v>
      </c>
      <c r="D4374" s="3">
        <v>1</v>
      </c>
    </row>
    <row r="4375" spans="1:4" ht="12.75" x14ac:dyDescent="0.35">
      <c r="A4375" s="5">
        <v>44763</v>
      </c>
      <c r="B4375" s="3" t="s">
        <v>916</v>
      </c>
      <c r="C4375" s="3">
        <v>0.46</v>
      </c>
      <c r="D4375" s="3">
        <v>1</v>
      </c>
    </row>
    <row r="4376" spans="1:4" ht="12.75" x14ac:dyDescent="0.35">
      <c r="A4376" s="4">
        <v>44825</v>
      </c>
      <c r="B4376" s="3" t="s">
        <v>1748</v>
      </c>
      <c r="C4376" s="3">
        <v>0.46</v>
      </c>
      <c r="D4376" s="3">
        <v>1</v>
      </c>
    </row>
    <row r="4377" spans="1:4" ht="12.75" x14ac:dyDescent="0.35">
      <c r="A4377" s="4">
        <v>44825</v>
      </c>
      <c r="B4377" s="3" t="s">
        <v>540</v>
      </c>
      <c r="C4377" s="3">
        <v>0.46</v>
      </c>
      <c r="D4377" s="3">
        <v>5</v>
      </c>
    </row>
    <row r="4378" spans="1:4" ht="12.75" x14ac:dyDescent="0.35">
      <c r="A4378" s="4">
        <v>44855</v>
      </c>
      <c r="B4378" s="3" t="s">
        <v>708</v>
      </c>
      <c r="C4378" s="3">
        <v>0.46</v>
      </c>
      <c r="D4378" s="3">
        <v>2</v>
      </c>
    </row>
    <row r="4379" spans="1:4" ht="12.75" x14ac:dyDescent="0.35">
      <c r="A4379" s="4">
        <v>44886</v>
      </c>
      <c r="B4379" s="3" t="s">
        <v>441</v>
      </c>
      <c r="C4379" s="3">
        <v>0.46</v>
      </c>
      <c r="D4379" s="3">
        <v>1</v>
      </c>
    </row>
    <row r="4380" spans="1:4" ht="12.75" x14ac:dyDescent="0.35">
      <c r="A4380" s="4">
        <v>44916</v>
      </c>
      <c r="B4380" s="3" t="s">
        <v>33</v>
      </c>
      <c r="C4380" s="3">
        <v>0.46</v>
      </c>
      <c r="D4380" s="3">
        <v>1</v>
      </c>
    </row>
    <row r="4381" spans="1:4" ht="12.75" x14ac:dyDescent="0.35">
      <c r="A4381" s="4">
        <v>44582</v>
      </c>
      <c r="B4381" s="3" t="s">
        <v>321</v>
      </c>
      <c r="C4381" s="3">
        <v>0.45</v>
      </c>
      <c r="D4381" s="3">
        <v>1</v>
      </c>
    </row>
    <row r="4382" spans="1:4" ht="12.75" x14ac:dyDescent="0.35">
      <c r="A4382" s="4">
        <v>44702</v>
      </c>
      <c r="B4382" s="3" t="s">
        <v>934</v>
      </c>
      <c r="C4382" s="3">
        <v>0.45</v>
      </c>
      <c r="D4382" s="3">
        <v>1</v>
      </c>
    </row>
    <row r="4383" spans="1:4" ht="12.75" x14ac:dyDescent="0.35">
      <c r="A4383" s="4">
        <v>44702</v>
      </c>
      <c r="B4383" s="3" t="s">
        <v>822</v>
      </c>
      <c r="C4383" s="3">
        <v>0.45</v>
      </c>
      <c r="D4383" s="3">
        <v>1</v>
      </c>
    </row>
    <row r="4384" spans="1:4" ht="12.75" x14ac:dyDescent="0.35">
      <c r="A4384" s="4">
        <v>44702</v>
      </c>
      <c r="B4384" s="3" t="s">
        <v>928</v>
      </c>
      <c r="C4384" s="3">
        <v>0.45</v>
      </c>
      <c r="D4384" s="3">
        <v>1</v>
      </c>
    </row>
    <row r="4385" spans="1:4" ht="12.75" x14ac:dyDescent="0.35">
      <c r="A4385" s="5">
        <v>44733</v>
      </c>
      <c r="B4385" s="3" t="s">
        <v>1211</v>
      </c>
      <c r="C4385" s="3">
        <v>0.45</v>
      </c>
      <c r="D4385" s="3">
        <v>1</v>
      </c>
    </row>
    <row r="4386" spans="1:4" ht="12.75" x14ac:dyDescent="0.35">
      <c r="A4386" s="5">
        <v>44733</v>
      </c>
      <c r="B4386" s="3" t="s">
        <v>1141</v>
      </c>
      <c r="C4386" s="3">
        <v>0.45</v>
      </c>
      <c r="D4386" s="3">
        <v>1</v>
      </c>
    </row>
    <row r="4387" spans="1:4" ht="12.75" x14ac:dyDescent="0.35">
      <c r="A4387" s="5">
        <v>44733</v>
      </c>
      <c r="B4387" s="3" t="s">
        <v>908</v>
      </c>
      <c r="C4387" s="3">
        <v>0.45</v>
      </c>
      <c r="D4387" s="3">
        <v>1</v>
      </c>
    </row>
    <row r="4388" spans="1:4" ht="12.75" x14ac:dyDescent="0.35">
      <c r="A4388" s="5">
        <v>44733</v>
      </c>
      <c r="B4388" s="3" t="s">
        <v>1084</v>
      </c>
      <c r="C4388" s="3">
        <v>0.45</v>
      </c>
      <c r="D4388" s="3">
        <v>1</v>
      </c>
    </row>
    <row r="4389" spans="1:4" ht="12.75" x14ac:dyDescent="0.35">
      <c r="A4389" s="4">
        <v>44794</v>
      </c>
      <c r="B4389" s="3" t="s">
        <v>855</v>
      </c>
      <c r="C4389" s="3">
        <v>0.45</v>
      </c>
      <c r="D4389" s="3">
        <v>1</v>
      </c>
    </row>
    <row r="4390" spans="1:4" ht="12.75" x14ac:dyDescent="0.35">
      <c r="A4390" s="4">
        <v>44794</v>
      </c>
      <c r="B4390" s="3" t="s">
        <v>1641</v>
      </c>
      <c r="C4390" s="3">
        <v>0.45</v>
      </c>
      <c r="D4390" s="3">
        <v>1</v>
      </c>
    </row>
    <row r="4391" spans="1:4" ht="12.75" x14ac:dyDescent="0.35">
      <c r="A4391" s="4">
        <v>44794</v>
      </c>
      <c r="B4391" s="3" t="s">
        <v>1647</v>
      </c>
      <c r="C4391" s="3">
        <v>0.45</v>
      </c>
      <c r="D4391" s="3">
        <v>1</v>
      </c>
    </row>
    <row r="4392" spans="1:4" ht="12.75" x14ac:dyDescent="0.35">
      <c r="A4392" s="4">
        <v>44825</v>
      </c>
      <c r="B4392" s="3" t="s">
        <v>1370</v>
      </c>
      <c r="C4392" s="3">
        <v>0.45</v>
      </c>
      <c r="D4392" s="3">
        <v>1</v>
      </c>
    </row>
    <row r="4393" spans="1:4" ht="12.75" x14ac:dyDescent="0.35">
      <c r="A4393" s="4">
        <v>44886</v>
      </c>
      <c r="B4393" s="3" t="s">
        <v>1635</v>
      </c>
      <c r="C4393" s="3">
        <v>0.45</v>
      </c>
      <c r="D4393" s="3">
        <v>1</v>
      </c>
    </row>
    <row r="4394" spans="1:4" ht="12.75" x14ac:dyDescent="0.35">
      <c r="A4394" s="4">
        <v>44582</v>
      </c>
      <c r="B4394" s="3" t="s">
        <v>364</v>
      </c>
      <c r="C4394" s="3">
        <v>0.44</v>
      </c>
      <c r="D4394" s="3">
        <v>1</v>
      </c>
    </row>
    <row r="4395" spans="1:4" ht="12.75" x14ac:dyDescent="0.35">
      <c r="A4395" s="5">
        <v>44733</v>
      </c>
      <c r="B4395" s="3" t="s">
        <v>1003</v>
      </c>
      <c r="C4395" s="3">
        <v>0.44</v>
      </c>
      <c r="D4395" s="3">
        <v>1</v>
      </c>
    </row>
    <row r="4396" spans="1:4" ht="12.75" x14ac:dyDescent="0.35">
      <c r="A4396" s="5">
        <v>44763</v>
      </c>
      <c r="B4396" s="3" t="s">
        <v>1434</v>
      </c>
      <c r="C4396" s="3">
        <v>0.44</v>
      </c>
      <c r="D4396" s="3">
        <v>1</v>
      </c>
    </row>
    <row r="4397" spans="1:4" ht="12.75" x14ac:dyDescent="0.35">
      <c r="A4397" s="5">
        <v>44763</v>
      </c>
      <c r="B4397" s="3" t="s">
        <v>1502</v>
      </c>
      <c r="C4397" s="3">
        <v>0.44</v>
      </c>
      <c r="D4397" s="3">
        <v>1</v>
      </c>
    </row>
    <row r="4398" spans="1:4" ht="12.75" x14ac:dyDescent="0.35">
      <c r="A4398" s="4">
        <v>44794</v>
      </c>
      <c r="B4398" s="3" t="s">
        <v>1576</v>
      </c>
      <c r="C4398" s="3">
        <v>0.44</v>
      </c>
      <c r="D4398" s="3">
        <v>1</v>
      </c>
    </row>
    <row r="4399" spans="1:4" ht="12.75" x14ac:dyDescent="0.35">
      <c r="A4399" s="4">
        <v>44794</v>
      </c>
      <c r="B4399" s="3" t="s">
        <v>1643</v>
      </c>
      <c r="C4399" s="3">
        <v>0.44</v>
      </c>
      <c r="D4399" s="3">
        <v>1</v>
      </c>
    </row>
    <row r="4400" spans="1:4" ht="12.75" x14ac:dyDescent="0.35">
      <c r="A4400" s="4">
        <v>44916</v>
      </c>
      <c r="B4400" s="3" t="s">
        <v>467</v>
      </c>
      <c r="C4400" s="3">
        <v>0.44</v>
      </c>
      <c r="D4400" s="3">
        <v>1</v>
      </c>
    </row>
    <row r="4401" spans="1:4" ht="12.75" x14ac:dyDescent="0.35">
      <c r="A4401" s="4">
        <v>44582</v>
      </c>
      <c r="B4401" s="3" t="s">
        <v>174</v>
      </c>
      <c r="C4401" s="3">
        <v>0.43</v>
      </c>
      <c r="D4401" s="3">
        <v>1</v>
      </c>
    </row>
    <row r="4402" spans="1:4" ht="12.75" x14ac:dyDescent="0.35">
      <c r="A4402" s="4">
        <v>44641</v>
      </c>
      <c r="B4402" s="3" t="s">
        <v>129</v>
      </c>
      <c r="C4402" s="3">
        <v>0.43</v>
      </c>
      <c r="D4402" s="3">
        <v>1</v>
      </c>
    </row>
    <row r="4403" spans="1:4" ht="12.75" x14ac:dyDescent="0.35">
      <c r="A4403" s="4">
        <v>44702</v>
      </c>
      <c r="B4403" s="3" t="s">
        <v>1112</v>
      </c>
      <c r="C4403" s="3">
        <v>0.43</v>
      </c>
      <c r="D4403" s="3">
        <v>1</v>
      </c>
    </row>
    <row r="4404" spans="1:4" ht="12.75" x14ac:dyDescent="0.35">
      <c r="A4404" s="5">
        <v>44763</v>
      </c>
      <c r="B4404" s="3" t="s">
        <v>371</v>
      </c>
      <c r="C4404" s="3">
        <v>0.43</v>
      </c>
      <c r="D4404" s="3">
        <v>1</v>
      </c>
    </row>
    <row r="4405" spans="1:4" ht="12.75" x14ac:dyDescent="0.35">
      <c r="A4405" s="4">
        <v>44582</v>
      </c>
      <c r="B4405" s="3" t="s">
        <v>166</v>
      </c>
      <c r="C4405" s="3">
        <v>0.42</v>
      </c>
      <c r="D4405" s="3">
        <v>1</v>
      </c>
    </row>
    <row r="4406" spans="1:4" ht="12.75" x14ac:dyDescent="0.35">
      <c r="A4406" s="4">
        <v>44582</v>
      </c>
      <c r="B4406" s="3" t="s">
        <v>216</v>
      </c>
      <c r="C4406" s="3">
        <v>0.42</v>
      </c>
      <c r="D4406" s="3">
        <v>1</v>
      </c>
    </row>
    <row r="4407" spans="1:4" ht="12.75" x14ac:dyDescent="0.35">
      <c r="A4407" s="4">
        <v>44672</v>
      </c>
      <c r="B4407" s="3" t="s">
        <v>589</v>
      </c>
      <c r="C4407" s="3">
        <v>0.42</v>
      </c>
      <c r="D4407" s="3">
        <v>1</v>
      </c>
    </row>
    <row r="4408" spans="1:4" ht="12.75" x14ac:dyDescent="0.35">
      <c r="A4408" s="4">
        <v>44794</v>
      </c>
      <c r="B4408" s="3" t="s">
        <v>1163</v>
      </c>
      <c r="C4408" s="3">
        <v>0.42</v>
      </c>
      <c r="D4408" s="3">
        <v>3</v>
      </c>
    </row>
    <row r="4409" spans="1:4" ht="12.75" x14ac:dyDescent="0.35">
      <c r="A4409" s="4">
        <v>44886</v>
      </c>
      <c r="B4409" s="3" t="s">
        <v>982</v>
      </c>
      <c r="C4409" s="3">
        <v>0.42</v>
      </c>
      <c r="D4409" s="3">
        <v>1</v>
      </c>
    </row>
    <row r="4410" spans="1:4" ht="12.75" x14ac:dyDescent="0.35">
      <c r="A4410" s="4">
        <v>44916</v>
      </c>
      <c r="B4410" s="3" t="s">
        <v>1852</v>
      </c>
      <c r="C4410" s="3">
        <v>0.42</v>
      </c>
      <c r="D4410" s="3">
        <v>1</v>
      </c>
    </row>
    <row r="4411" spans="1:4" ht="12.75" x14ac:dyDescent="0.35">
      <c r="A4411" s="5">
        <v>44733</v>
      </c>
      <c r="B4411" s="3" t="s">
        <v>1345</v>
      </c>
      <c r="C4411" s="3">
        <v>0.41</v>
      </c>
      <c r="D4411" s="3">
        <v>1</v>
      </c>
    </row>
    <row r="4412" spans="1:4" ht="12.75" x14ac:dyDescent="0.35">
      <c r="A4412" s="5">
        <v>44733</v>
      </c>
      <c r="B4412" s="3" t="s">
        <v>1447</v>
      </c>
      <c r="C4412" s="3">
        <v>0.41</v>
      </c>
      <c r="D4412" s="3">
        <v>1</v>
      </c>
    </row>
    <row r="4413" spans="1:4" ht="12.75" x14ac:dyDescent="0.35">
      <c r="A4413" s="5">
        <v>44763</v>
      </c>
      <c r="B4413" s="3" t="s">
        <v>994</v>
      </c>
      <c r="C4413" s="3">
        <v>0.41</v>
      </c>
      <c r="D4413" s="3">
        <v>2</v>
      </c>
    </row>
    <row r="4414" spans="1:4" ht="12.75" x14ac:dyDescent="0.35">
      <c r="A4414" s="5">
        <v>44763</v>
      </c>
      <c r="B4414" s="3" t="s">
        <v>1476</v>
      </c>
      <c r="C4414" s="3">
        <v>0.41</v>
      </c>
      <c r="D4414" s="3">
        <v>1</v>
      </c>
    </row>
    <row r="4415" spans="1:4" ht="12.75" x14ac:dyDescent="0.35">
      <c r="A4415" s="4">
        <v>44794</v>
      </c>
      <c r="B4415" s="3" t="s">
        <v>1558</v>
      </c>
      <c r="C4415" s="3">
        <v>0.41</v>
      </c>
      <c r="D4415" s="3">
        <v>1</v>
      </c>
    </row>
    <row r="4416" spans="1:4" ht="12.75" x14ac:dyDescent="0.35">
      <c r="A4416" s="4">
        <v>44794</v>
      </c>
      <c r="B4416" s="3" t="s">
        <v>1622</v>
      </c>
      <c r="C4416" s="3">
        <v>0.41</v>
      </c>
      <c r="D4416" s="3">
        <v>1</v>
      </c>
    </row>
    <row r="4417" spans="1:4" ht="12.75" x14ac:dyDescent="0.35">
      <c r="A4417" s="4">
        <v>44794</v>
      </c>
      <c r="B4417" s="3" t="s">
        <v>71</v>
      </c>
      <c r="C4417" s="3">
        <v>0.41</v>
      </c>
      <c r="D4417" s="3">
        <v>1</v>
      </c>
    </row>
    <row r="4418" spans="1:4" ht="12.75" x14ac:dyDescent="0.35">
      <c r="A4418" s="4">
        <v>44916</v>
      </c>
      <c r="B4418" s="3" t="s">
        <v>1833</v>
      </c>
      <c r="C4418" s="3">
        <v>0.41</v>
      </c>
      <c r="D4418" s="3">
        <v>1</v>
      </c>
    </row>
    <row r="4419" spans="1:4" ht="12.75" x14ac:dyDescent="0.35">
      <c r="A4419" s="4">
        <v>44582</v>
      </c>
      <c r="B4419" s="3" t="s">
        <v>370</v>
      </c>
      <c r="C4419" s="3">
        <v>0.4</v>
      </c>
      <c r="D4419" s="3">
        <v>1</v>
      </c>
    </row>
    <row r="4420" spans="1:4" ht="12.75" x14ac:dyDescent="0.35">
      <c r="A4420" s="4">
        <v>44672</v>
      </c>
      <c r="B4420" s="3" t="s">
        <v>43</v>
      </c>
      <c r="C4420" s="3">
        <v>0.4</v>
      </c>
      <c r="D4420" s="3">
        <v>2</v>
      </c>
    </row>
    <row r="4421" spans="1:4" ht="12.75" x14ac:dyDescent="0.35">
      <c r="A4421" s="4">
        <v>44702</v>
      </c>
      <c r="B4421" s="3" t="s">
        <v>861</v>
      </c>
      <c r="C4421" s="3">
        <v>0.4</v>
      </c>
      <c r="D4421" s="3">
        <v>1</v>
      </c>
    </row>
    <row r="4422" spans="1:4" ht="12.75" x14ac:dyDescent="0.35">
      <c r="A4422" s="5">
        <v>44733</v>
      </c>
      <c r="B4422" s="3" t="s">
        <v>1195</v>
      </c>
      <c r="C4422" s="3">
        <v>0.4</v>
      </c>
      <c r="D4422" s="3">
        <v>1</v>
      </c>
    </row>
    <row r="4423" spans="1:4" ht="12.75" x14ac:dyDescent="0.35">
      <c r="A4423" s="4">
        <v>44794</v>
      </c>
      <c r="B4423" s="3" t="s">
        <v>1335</v>
      </c>
      <c r="C4423" s="3">
        <v>0.4</v>
      </c>
      <c r="D4423" s="3">
        <v>1</v>
      </c>
    </row>
    <row r="4424" spans="1:4" ht="12.75" x14ac:dyDescent="0.35">
      <c r="A4424" s="4">
        <v>44825</v>
      </c>
      <c r="B4424" s="3" t="s">
        <v>1607</v>
      </c>
      <c r="C4424" s="3">
        <v>0.4</v>
      </c>
      <c r="D4424" s="3">
        <v>1</v>
      </c>
    </row>
    <row r="4425" spans="1:4" ht="12.75" x14ac:dyDescent="0.35">
      <c r="A4425" s="4">
        <v>44916</v>
      </c>
      <c r="B4425" s="3" t="s">
        <v>446</v>
      </c>
      <c r="C4425" s="3">
        <v>0.4</v>
      </c>
      <c r="D4425" s="3">
        <v>1</v>
      </c>
    </row>
    <row r="4426" spans="1:4" ht="12.75" x14ac:dyDescent="0.35">
      <c r="A4426" s="4">
        <v>44582</v>
      </c>
      <c r="B4426" s="3" t="s">
        <v>204</v>
      </c>
      <c r="C4426" s="3">
        <v>0.39</v>
      </c>
      <c r="D4426" s="3">
        <v>1</v>
      </c>
    </row>
    <row r="4427" spans="1:4" ht="12.75" x14ac:dyDescent="0.35">
      <c r="A4427" s="5">
        <v>44733</v>
      </c>
      <c r="B4427" s="3" t="s">
        <v>1412</v>
      </c>
      <c r="C4427" s="3">
        <v>0.39</v>
      </c>
      <c r="D4427" s="3">
        <v>1</v>
      </c>
    </row>
    <row r="4428" spans="1:4" ht="12.75" x14ac:dyDescent="0.35">
      <c r="A4428" s="5">
        <v>44763</v>
      </c>
      <c r="B4428" s="3" t="s">
        <v>967</v>
      </c>
      <c r="C4428" s="3">
        <v>0.39</v>
      </c>
      <c r="D4428" s="3">
        <v>1</v>
      </c>
    </row>
    <row r="4429" spans="1:4" ht="12.75" x14ac:dyDescent="0.35">
      <c r="A4429" s="4">
        <v>44794</v>
      </c>
      <c r="B4429" s="3" t="s">
        <v>1189</v>
      </c>
      <c r="C4429" s="3">
        <v>0.39</v>
      </c>
      <c r="D4429" s="3">
        <v>1</v>
      </c>
    </row>
    <row r="4430" spans="1:4" ht="12.75" x14ac:dyDescent="0.35">
      <c r="A4430" s="4">
        <v>44794</v>
      </c>
      <c r="B4430" s="3" t="s">
        <v>1598</v>
      </c>
      <c r="C4430" s="3">
        <v>0.39</v>
      </c>
      <c r="D4430" s="3">
        <v>1</v>
      </c>
    </row>
    <row r="4431" spans="1:4" ht="12.75" x14ac:dyDescent="0.35">
      <c r="A4431" s="4">
        <v>44916</v>
      </c>
      <c r="B4431" s="3" t="s">
        <v>93</v>
      </c>
      <c r="C4431" s="3">
        <v>0.39</v>
      </c>
      <c r="D4431" s="3">
        <v>5</v>
      </c>
    </row>
    <row r="4432" spans="1:4" ht="12.75" x14ac:dyDescent="0.35">
      <c r="A4432" s="4">
        <v>44641</v>
      </c>
      <c r="B4432" s="3" t="s">
        <v>737</v>
      </c>
      <c r="C4432" s="3">
        <v>0.38</v>
      </c>
      <c r="D4432" s="3">
        <v>2</v>
      </c>
    </row>
    <row r="4433" spans="1:4" ht="12.75" x14ac:dyDescent="0.35">
      <c r="A4433" s="5">
        <v>44733</v>
      </c>
      <c r="B4433" s="3" t="s">
        <v>1125</v>
      </c>
      <c r="C4433" s="3">
        <v>0.38</v>
      </c>
      <c r="D4433" s="3">
        <v>1</v>
      </c>
    </row>
    <row r="4434" spans="1:4" ht="12.75" x14ac:dyDescent="0.35">
      <c r="A4434" s="5">
        <v>44763</v>
      </c>
      <c r="B4434" s="3" t="s">
        <v>1212</v>
      </c>
      <c r="C4434" s="3">
        <v>0.38</v>
      </c>
      <c r="D4434" s="3">
        <v>1</v>
      </c>
    </row>
    <row r="4435" spans="1:4" ht="12.75" x14ac:dyDescent="0.35">
      <c r="A4435" s="5">
        <v>44763</v>
      </c>
      <c r="B4435" s="3" t="s">
        <v>1454</v>
      </c>
      <c r="C4435" s="3">
        <v>0.38</v>
      </c>
      <c r="D4435" s="3">
        <v>1</v>
      </c>
    </row>
    <row r="4436" spans="1:4" ht="12.75" x14ac:dyDescent="0.35">
      <c r="A4436" s="4">
        <v>44825</v>
      </c>
      <c r="B4436" s="3" t="s">
        <v>884</v>
      </c>
      <c r="C4436" s="3">
        <v>0.38</v>
      </c>
      <c r="D4436" s="3">
        <v>1</v>
      </c>
    </row>
    <row r="4437" spans="1:4" ht="12.75" x14ac:dyDescent="0.35">
      <c r="A4437" s="4">
        <v>44916</v>
      </c>
      <c r="B4437" s="3" t="s">
        <v>1028</v>
      </c>
      <c r="C4437" s="3">
        <v>0.38</v>
      </c>
      <c r="D4437" s="3">
        <v>1</v>
      </c>
    </row>
    <row r="4438" spans="1:4" ht="12.75" x14ac:dyDescent="0.35">
      <c r="A4438" s="4">
        <v>44916</v>
      </c>
      <c r="B4438" s="3" t="s">
        <v>666</v>
      </c>
      <c r="C4438" s="3">
        <v>0.38</v>
      </c>
      <c r="D4438" s="3">
        <v>1</v>
      </c>
    </row>
    <row r="4439" spans="1:4" ht="12.75" x14ac:dyDescent="0.35">
      <c r="A4439" s="4">
        <v>44582</v>
      </c>
      <c r="B4439" s="3" t="s">
        <v>42</v>
      </c>
      <c r="C4439" s="3">
        <v>0.37</v>
      </c>
      <c r="D4439" s="3">
        <v>1</v>
      </c>
    </row>
    <row r="4440" spans="1:4" ht="12.75" x14ac:dyDescent="0.35">
      <c r="A4440" s="4">
        <v>44702</v>
      </c>
      <c r="B4440" s="3" t="s">
        <v>888</v>
      </c>
      <c r="C4440" s="3">
        <v>0.37</v>
      </c>
      <c r="D4440" s="3">
        <v>1</v>
      </c>
    </row>
    <row r="4441" spans="1:4" ht="12.75" x14ac:dyDescent="0.35">
      <c r="A4441" s="4">
        <v>44641</v>
      </c>
      <c r="B4441" s="3" t="s">
        <v>431</v>
      </c>
      <c r="C4441" s="3">
        <v>0.36</v>
      </c>
      <c r="D4441" s="3">
        <v>3</v>
      </c>
    </row>
    <row r="4442" spans="1:4" ht="12.75" x14ac:dyDescent="0.35">
      <c r="A4442" s="4">
        <v>44672</v>
      </c>
      <c r="B4442" s="3" t="s">
        <v>9</v>
      </c>
      <c r="C4442" s="3">
        <v>0.36</v>
      </c>
      <c r="D4442" s="3">
        <v>1</v>
      </c>
    </row>
    <row r="4443" spans="1:4" ht="12.75" x14ac:dyDescent="0.35">
      <c r="A4443" s="4">
        <v>44672</v>
      </c>
      <c r="B4443" s="3" t="s">
        <v>948</v>
      </c>
      <c r="C4443" s="3">
        <v>0.36</v>
      </c>
      <c r="D4443" s="3">
        <v>3</v>
      </c>
    </row>
    <row r="4444" spans="1:4" ht="12.75" x14ac:dyDescent="0.35">
      <c r="A4444" s="5">
        <v>44733</v>
      </c>
      <c r="B4444" s="3" t="s">
        <v>1123</v>
      </c>
      <c r="C4444" s="3">
        <v>0.36</v>
      </c>
      <c r="D4444" s="3">
        <v>1</v>
      </c>
    </row>
    <row r="4445" spans="1:4" ht="12.75" x14ac:dyDescent="0.35">
      <c r="A4445" s="5">
        <v>44733</v>
      </c>
      <c r="B4445" s="3" t="s">
        <v>1237</v>
      </c>
      <c r="C4445" s="3">
        <v>0.36</v>
      </c>
      <c r="D4445" s="3">
        <v>1</v>
      </c>
    </row>
    <row r="4446" spans="1:4" ht="12.75" x14ac:dyDescent="0.35">
      <c r="A4446" s="5">
        <v>44763</v>
      </c>
      <c r="B4446" s="3" t="s">
        <v>678</v>
      </c>
      <c r="C4446" s="3">
        <v>0.36</v>
      </c>
      <c r="D4446" s="3">
        <v>1</v>
      </c>
    </row>
    <row r="4447" spans="1:4" ht="12.75" x14ac:dyDescent="0.35">
      <c r="A4447" s="5">
        <v>44763</v>
      </c>
      <c r="B4447" s="3" t="s">
        <v>1552</v>
      </c>
      <c r="C4447" s="3">
        <v>0.36</v>
      </c>
      <c r="D4447" s="3">
        <v>1</v>
      </c>
    </row>
    <row r="4448" spans="1:4" ht="12.75" x14ac:dyDescent="0.35">
      <c r="A4448" s="4">
        <v>44794</v>
      </c>
      <c r="B4448" s="3" t="s">
        <v>994</v>
      </c>
      <c r="C4448" s="3">
        <v>0.36</v>
      </c>
      <c r="D4448" s="3">
        <v>2</v>
      </c>
    </row>
    <row r="4449" spans="1:4" ht="12.75" x14ac:dyDescent="0.35">
      <c r="A4449" s="4">
        <v>44855</v>
      </c>
      <c r="B4449" s="3" t="s">
        <v>61</v>
      </c>
      <c r="C4449" s="3">
        <v>0.36</v>
      </c>
      <c r="D4449" s="3">
        <v>1</v>
      </c>
    </row>
    <row r="4450" spans="1:4" ht="12.75" x14ac:dyDescent="0.35">
      <c r="A4450" s="4">
        <v>44886</v>
      </c>
      <c r="B4450" s="3" t="s">
        <v>1675</v>
      </c>
      <c r="C4450" s="3">
        <v>0.36</v>
      </c>
      <c r="D4450" s="3">
        <v>2</v>
      </c>
    </row>
    <row r="4451" spans="1:4" ht="12.75" x14ac:dyDescent="0.35">
      <c r="A4451" s="4">
        <v>44582</v>
      </c>
      <c r="B4451" s="3" t="s">
        <v>329</v>
      </c>
      <c r="C4451" s="3">
        <v>0.35</v>
      </c>
      <c r="D4451" s="3">
        <v>1</v>
      </c>
    </row>
    <row r="4452" spans="1:4" ht="12.75" x14ac:dyDescent="0.35">
      <c r="A4452" s="4">
        <v>44582</v>
      </c>
      <c r="B4452" s="3" t="s">
        <v>352</v>
      </c>
      <c r="C4452" s="3">
        <v>0.35</v>
      </c>
      <c r="D4452" s="3">
        <v>1</v>
      </c>
    </row>
    <row r="4453" spans="1:4" ht="12.75" x14ac:dyDescent="0.35">
      <c r="A4453" s="4">
        <v>44613</v>
      </c>
      <c r="B4453" s="3" t="s">
        <v>307</v>
      </c>
      <c r="C4453" s="3">
        <v>0.35</v>
      </c>
      <c r="D4453" s="3">
        <v>5</v>
      </c>
    </row>
    <row r="4454" spans="1:4" ht="12.75" x14ac:dyDescent="0.35">
      <c r="A4454" s="4">
        <v>44702</v>
      </c>
      <c r="B4454" s="3" t="s">
        <v>1077</v>
      </c>
      <c r="C4454" s="3">
        <v>0.35</v>
      </c>
      <c r="D4454" s="3">
        <v>1</v>
      </c>
    </row>
    <row r="4455" spans="1:4" ht="12.75" x14ac:dyDescent="0.35">
      <c r="A4455" s="5">
        <v>44763</v>
      </c>
      <c r="B4455" s="3" t="s">
        <v>1536</v>
      </c>
      <c r="C4455" s="3">
        <v>0.35</v>
      </c>
      <c r="D4455" s="3">
        <v>1</v>
      </c>
    </row>
    <row r="4456" spans="1:4" ht="12.75" x14ac:dyDescent="0.35">
      <c r="A4456" s="4">
        <v>44794</v>
      </c>
      <c r="B4456" s="3" t="s">
        <v>1332</v>
      </c>
      <c r="C4456" s="3">
        <v>0.35</v>
      </c>
      <c r="D4456" s="3">
        <v>1</v>
      </c>
    </row>
    <row r="4457" spans="1:4" ht="12.75" x14ac:dyDescent="0.35">
      <c r="A4457" s="4">
        <v>44916</v>
      </c>
      <c r="B4457" s="3" t="s">
        <v>1842</v>
      </c>
      <c r="C4457" s="3">
        <v>0.35</v>
      </c>
      <c r="D4457" s="3">
        <v>1</v>
      </c>
    </row>
    <row r="4458" spans="1:4" ht="12.75" x14ac:dyDescent="0.35">
      <c r="A4458" s="4">
        <v>44916</v>
      </c>
      <c r="B4458" s="3" t="s">
        <v>782</v>
      </c>
      <c r="C4458" s="3">
        <v>0.35</v>
      </c>
      <c r="D4458" s="3">
        <v>4</v>
      </c>
    </row>
    <row r="4459" spans="1:4" ht="12.75" x14ac:dyDescent="0.35">
      <c r="A4459" s="4">
        <v>44582</v>
      </c>
      <c r="B4459" s="3" t="s">
        <v>156</v>
      </c>
      <c r="C4459" s="3">
        <v>0.34</v>
      </c>
      <c r="D4459" s="3">
        <v>1</v>
      </c>
    </row>
    <row r="4460" spans="1:4" ht="12.75" x14ac:dyDescent="0.35">
      <c r="A4460" s="4">
        <v>44582</v>
      </c>
      <c r="B4460" s="3" t="s">
        <v>233</v>
      </c>
      <c r="C4460" s="3">
        <v>0.34</v>
      </c>
      <c r="D4460" s="3">
        <v>1</v>
      </c>
    </row>
    <row r="4461" spans="1:4" ht="12.75" x14ac:dyDescent="0.35">
      <c r="A4461" s="5">
        <v>44763</v>
      </c>
      <c r="B4461" s="3" t="s">
        <v>324</v>
      </c>
      <c r="C4461" s="3">
        <v>0.34</v>
      </c>
      <c r="D4461" s="3">
        <v>3</v>
      </c>
    </row>
    <row r="4462" spans="1:4" ht="12.75" x14ac:dyDescent="0.35">
      <c r="A4462" s="4">
        <v>44794</v>
      </c>
      <c r="B4462" s="3" t="s">
        <v>1316</v>
      </c>
      <c r="C4462" s="3">
        <v>0.34</v>
      </c>
      <c r="D4462" s="3">
        <v>1</v>
      </c>
    </row>
    <row r="4463" spans="1:4" ht="12.75" x14ac:dyDescent="0.35">
      <c r="A4463" s="4">
        <v>44825</v>
      </c>
      <c r="B4463" s="3" t="s">
        <v>1029</v>
      </c>
      <c r="C4463" s="3">
        <v>0.34</v>
      </c>
      <c r="D4463" s="3">
        <v>1</v>
      </c>
    </row>
    <row r="4464" spans="1:4" ht="12.75" x14ac:dyDescent="0.35">
      <c r="A4464" s="4">
        <v>44886</v>
      </c>
      <c r="B4464" s="3" t="s">
        <v>1830</v>
      </c>
      <c r="C4464" s="3">
        <v>0.34</v>
      </c>
      <c r="D4464" s="3">
        <v>1</v>
      </c>
    </row>
    <row r="4465" spans="1:4" ht="12.75" x14ac:dyDescent="0.35">
      <c r="A4465" s="4">
        <v>44916</v>
      </c>
      <c r="B4465" s="3" t="s">
        <v>1885</v>
      </c>
      <c r="C4465" s="3">
        <v>0.34</v>
      </c>
      <c r="D4465" s="3">
        <v>1</v>
      </c>
    </row>
    <row r="4466" spans="1:4" ht="12.75" x14ac:dyDescent="0.35">
      <c r="A4466" s="4">
        <v>44582</v>
      </c>
      <c r="B4466" s="3" t="s">
        <v>342</v>
      </c>
      <c r="C4466" s="3">
        <v>0.33</v>
      </c>
      <c r="D4466" s="3">
        <v>1</v>
      </c>
    </row>
    <row r="4467" spans="1:4" ht="12.75" x14ac:dyDescent="0.35">
      <c r="A4467" s="4">
        <v>44641</v>
      </c>
      <c r="B4467" s="3" t="s">
        <v>539</v>
      </c>
      <c r="C4467" s="3">
        <v>0.33</v>
      </c>
      <c r="D4467" s="3">
        <v>1</v>
      </c>
    </row>
    <row r="4468" spans="1:4" ht="12.75" x14ac:dyDescent="0.35">
      <c r="A4468" s="5">
        <v>44733</v>
      </c>
      <c r="B4468" s="3" t="s">
        <v>1427</v>
      </c>
      <c r="C4468" s="3">
        <v>0.33</v>
      </c>
      <c r="D4468" s="3">
        <v>1</v>
      </c>
    </row>
    <row r="4469" spans="1:4" ht="12.75" x14ac:dyDescent="0.35">
      <c r="A4469" s="5">
        <v>44763</v>
      </c>
      <c r="B4469" s="3" t="s">
        <v>996</v>
      </c>
      <c r="C4469" s="3">
        <v>0.33</v>
      </c>
      <c r="D4469" s="3">
        <v>1</v>
      </c>
    </row>
    <row r="4470" spans="1:4" ht="12.75" x14ac:dyDescent="0.35">
      <c r="A4470" s="5">
        <v>44763</v>
      </c>
      <c r="B4470" s="3" t="s">
        <v>517</v>
      </c>
      <c r="C4470" s="3">
        <v>0.33</v>
      </c>
      <c r="D4470" s="3">
        <v>3</v>
      </c>
    </row>
    <row r="4471" spans="1:4" ht="12.75" x14ac:dyDescent="0.35">
      <c r="A4471" s="4">
        <v>44794</v>
      </c>
      <c r="B4471" s="3" t="s">
        <v>1286</v>
      </c>
      <c r="C4471" s="3">
        <v>0.33</v>
      </c>
      <c r="D4471" s="3">
        <v>1</v>
      </c>
    </row>
    <row r="4472" spans="1:4" ht="12.75" x14ac:dyDescent="0.35">
      <c r="A4472" s="4">
        <v>44794</v>
      </c>
      <c r="B4472" s="3" t="s">
        <v>1717</v>
      </c>
      <c r="C4472" s="3">
        <v>0.33</v>
      </c>
      <c r="D4472" s="3">
        <v>1</v>
      </c>
    </row>
    <row r="4473" spans="1:4" ht="12.75" x14ac:dyDescent="0.35">
      <c r="A4473" s="4">
        <v>44886</v>
      </c>
      <c r="B4473" s="3" t="s">
        <v>1636</v>
      </c>
      <c r="C4473" s="3">
        <v>0.33</v>
      </c>
      <c r="D4473" s="3">
        <v>1</v>
      </c>
    </row>
    <row r="4474" spans="1:4" ht="12.75" x14ac:dyDescent="0.35">
      <c r="A4474" s="4">
        <v>44886</v>
      </c>
      <c r="B4474" s="3" t="s">
        <v>1732</v>
      </c>
      <c r="C4474" s="3">
        <v>0.33</v>
      </c>
      <c r="D4474" s="3">
        <v>1</v>
      </c>
    </row>
    <row r="4475" spans="1:4" ht="12.75" x14ac:dyDescent="0.35">
      <c r="A4475" s="4">
        <v>44886</v>
      </c>
      <c r="B4475" s="3" t="s">
        <v>1218</v>
      </c>
      <c r="C4475" s="3">
        <v>0.33</v>
      </c>
      <c r="D4475" s="3">
        <v>1</v>
      </c>
    </row>
    <row r="4476" spans="1:4" ht="12.75" x14ac:dyDescent="0.35">
      <c r="A4476" s="4">
        <v>44916</v>
      </c>
      <c r="B4476" s="3" t="s">
        <v>273</v>
      </c>
      <c r="C4476" s="3">
        <v>0.33</v>
      </c>
      <c r="D4476" s="3">
        <v>2</v>
      </c>
    </row>
    <row r="4477" spans="1:4" ht="12.75" x14ac:dyDescent="0.35">
      <c r="A4477" s="4">
        <v>44613</v>
      </c>
      <c r="B4477" s="3" t="s">
        <v>478</v>
      </c>
      <c r="C4477" s="3">
        <v>0.32</v>
      </c>
      <c r="D4477" s="3">
        <v>1</v>
      </c>
    </row>
    <row r="4478" spans="1:4" ht="12.75" x14ac:dyDescent="0.35">
      <c r="A4478" s="4">
        <v>44641</v>
      </c>
      <c r="B4478" s="3" t="s">
        <v>552</v>
      </c>
      <c r="C4478" s="3">
        <v>0.32</v>
      </c>
      <c r="D4478" s="3">
        <v>1</v>
      </c>
    </row>
    <row r="4479" spans="1:4" ht="12.75" x14ac:dyDescent="0.35">
      <c r="A4479" s="4">
        <v>44672</v>
      </c>
      <c r="B4479" s="3" t="s">
        <v>33</v>
      </c>
      <c r="C4479" s="3">
        <v>0.32</v>
      </c>
      <c r="D4479" s="3">
        <v>1</v>
      </c>
    </row>
    <row r="4480" spans="1:4" ht="12.75" x14ac:dyDescent="0.35">
      <c r="A4480" s="4">
        <v>44702</v>
      </c>
      <c r="B4480" s="3" t="s">
        <v>1157</v>
      </c>
      <c r="C4480" s="3">
        <v>0.32</v>
      </c>
      <c r="D4480" s="3">
        <v>1</v>
      </c>
    </row>
    <row r="4481" spans="1:4" ht="12.75" x14ac:dyDescent="0.35">
      <c r="A4481" s="5">
        <v>44733</v>
      </c>
      <c r="B4481" s="3" t="s">
        <v>1183</v>
      </c>
      <c r="C4481" s="3">
        <v>0.32</v>
      </c>
      <c r="D4481" s="3">
        <v>1</v>
      </c>
    </row>
    <row r="4482" spans="1:4" ht="12.75" x14ac:dyDescent="0.35">
      <c r="A4482" s="5">
        <v>44763</v>
      </c>
      <c r="B4482" s="3" t="s">
        <v>723</v>
      </c>
      <c r="C4482" s="3">
        <v>0.32</v>
      </c>
      <c r="D4482" s="3">
        <v>2</v>
      </c>
    </row>
    <row r="4483" spans="1:4" ht="12.75" x14ac:dyDescent="0.35">
      <c r="A4483" s="5">
        <v>44763</v>
      </c>
      <c r="B4483" s="3" t="s">
        <v>1133</v>
      </c>
      <c r="C4483" s="3">
        <v>0.32</v>
      </c>
      <c r="D4483" s="3">
        <v>1</v>
      </c>
    </row>
    <row r="4484" spans="1:4" ht="12.75" x14ac:dyDescent="0.35">
      <c r="A4484" s="5">
        <v>44763</v>
      </c>
      <c r="B4484" s="3" t="s">
        <v>1548</v>
      </c>
      <c r="C4484" s="3">
        <v>0.32</v>
      </c>
      <c r="D4484" s="3">
        <v>1</v>
      </c>
    </row>
    <row r="4485" spans="1:4" ht="12.75" x14ac:dyDescent="0.35">
      <c r="A4485" s="4">
        <v>44794</v>
      </c>
      <c r="B4485" s="3" t="s">
        <v>1694</v>
      </c>
      <c r="C4485" s="3">
        <v>0.32</v>
      </c>
      <c r="D4485" s="3">
        <v>1</v>
      </c>
    </row>
    <row r="4486" spans="1:4" ht="12.75" x14ac:dyDescent="0.35">
      <c r="A4486" s="4">
        <v>44825</v>
      </c>
      <c r="B4486" s="3" t="s">
        <v>1779</v>
      </c>
      <c r="C4486" s="3">
        <v>0.32</v>
      </c>
      <c r="D4486" s="3">
        <v>1</v>
      </c>
    </row>
    <row r="4487" spans="1:4" ht="12.75" x14ac:dyDescent="0.35">
      <c r="A4487" s="4">
        <v>44916</v>
      </c>
      <c r="B4487" s="3" t="s">
        <v>1855</v>
      </c>
      <c r="C4487" s="3">
        <v>0.32</v>
      </c>
      <c r="D4487" s="3">
        <v>1</v>
      </c>
    </row>
    <row r="4488" spans="1:4" ht="12.75" x14ac:dyDescent="0.35">
      <c r="A4488" s="4">
        <v>44702</v>
      </c>
      <c r="B4488" s="3" t="s">
        <v>954</v>
      </c>
      <c r="C4488" s="3">
        <v>0.31</v>
      </c>
      <c r="D4488" s="3">
        <v>4</v>
      </c>
    </row>
    <row r="4489" spans="1:4" ht="12.75" x14ac:dyDescent="0.35">
      <c r="A4489" s="5">
        <v>44733</v>
      </c>
      <c r="B4489" s="3" t="s">
        <v>1038</v>
      </c>
      <c r="C4489" s="3">
        <v>0.31</v>
      </c>
      <c r="D4489" s="3">
        <v>1</v>
      </c>
    </row>
    <row r="4490" spans="1:4" ht="12.75" x14ac:dyDescent="0.35">
      <c r="A4490" s="5">
        <v>44733</v>
      </c>
      <c r="B4490" s="3" t="s">
        <v>1411</v>
      </c>
      <c r="C4490" s="3">
        <v>0.31</v>
      </c>
      <c r="D4490" s="3">
        <v>1</v>
      </c>
    </row>
    <row r="4491" spans="1:4" ht="12.75" x14ac:dyDescent="0.35">
      <c r="A4491" s="5">
        <v>44733</v>
      </c>
      <c r="B4491" s="3" t="s">
        <v>429</v>
      </c>
      <c r="C4491" s="3">
        <v>0.31</v>
      </c>
      <c r="D4491" s="3">
        <v>1</v>
      </c>
    </row>
    <row r="4492" spans="1:4" ht="12.75" x14ac:dyDescent="0.35">
      <c r="A4492" s="4">
        <v>44794</v>
      </c>
      <c r="B4492" s="3" t="s">
        <v>503</v>
      </c>
      <c r="C4492" s="3">
        <v>0.31</v>
      </c>
      <c r="D4492" s="3">
        <v>1</v>
      </c>
    </row>
    <row r="4493" spans="1:4" ht="12.75" x14ac:dyDescent="0.35">
      <c r="A4493" s="4">
        <v>44855</v>
      </c>
      <c r="B4493" s="3" t="s">
        <v>1028</v>
      </c>
      <c r="C4493" s="3">
        <v>0.31</v>
      </c>
      <c r="D4493" s="3">
        <v>1</v>
      </c>
    </row>
    <row r="4494" spans="1:4" ht="12.75" x14ac:dyDescent="0.35">
      <c r="A4494" s="4">
        <v>44916</v>
      </c>
      <c r="B4494" s="3" t="s">
        <v>1903</v>
      </c>
      <c r="C4494" s="3">
        <v>0.31</v>
      </c>
      <c r="D4494" s="3">
        <v>1</v>
      </c>
    </row>
    <row r="4495" spans="1:4" ht="12.75" x14ac:dyDescent="0.35">
      <c r="A4495" s="4">
        <v>44613</v>
      </c>
      <c r="B4495" s="3" t="s">
        <v>513</v>
      </c>
      <c r="C4495" s="3">
        <v>0.3</v>
      </c>
      <c r="D4495" s="3">
        <v>1</v>
      </c>
    </row>
    <row r="4496" spans="1:4" ht="12.75" x14ac:dyDescent="0.35">
      <c r="A4496" s="4">
        <v>44641</v>
      </c>
      <c r="B4496" s="3" t="s">
        <v>342</v>
      </c>
      <c r="C4496" s="3">
        <v>0.3</v>
      </c>
      <c r="D4496" s="3">
        <v>1</v>
      </c>
    </row>
    <row r="4497" spans="1:4" ht="12.75" x14ac:dyDescent="0.35">
      <c r="A4497" s="4">
        <v>44672</v>
      </c>
      <c r="B4497" s="3" t="s">
        <v>855</v>
      </c>
      <c r="C4497" s="3">
        <v>0.3</v>
      </c>
      <c r="D4497" s="3">
        <v>1</v>
      </c>
    </row>
    <row r="4498" spans="1:4" ht="12.75" x14ac:dyDescent="0.35">
      <c r="A4498" s="5">
        <v>44763</v>
      </c>
      <c r="B4498" s="3" t="s">
        <v>1086</v>
      </c>
      <c r="C4498" s="3">
        <v>0.3</v>
      </c>
      <c r="D4498" s="3">
        <v>1</v>
      </c>
    </row>
    <row r="4499" spans="1:4" ht="12.75" x14ac:dyDescent="0.35">
      <c r="A4499" s="5">
        <v>44763</v>
      </c>
      <c r="B4499" s="3" t="s">
        <v>1238</v>
      </c>
      <c r="C4499" s="3">
        <v>0.3</v>
      </c>
      <c r="D4499" s="3">
        <v>1</v>
      </c>
    </row>
    <row r="4500" spans="1:4" ht="12.75" x14ac:dyDescent="0.35">
      <c r="A4500" s="4">
        <v>44794</v>
      </c>
      <c r="B4500" s="3" t="s">
        <v>1626</v>
      </c>
      <c r="C4500" s="3">
        <v>0.3</v>
      </c>
      <c r="D4500" s="3">
        <v>1</v>
      </c>
    </row>
    <row r="4501" spans="1:4" ht="12.75" x14ac:dyDescent="0.35">
      <c r="A4501" s="4">
        <v>44582</v>
      </c>
      <c r="B4501" s="3" t="s">
        <v>268</v>
      </c>
      <c r="C4501" s="3">
        <v>0.28999999999999998</v>
      </c>
      <c r="D4501" s="3">
        <v>1</v>
      </c>
    </row>
    <row r="4502" spans="1:4" ht="12.75" x14ac:dyDescent="0.35">
      <c r="A4502" s="4">
        <v>44613</v>
      </c>
      <c r="B4502" s="3" t="s">
        <v>580</v>
      </c>
      <c r="C4502" s="3">
        <v>0.28999999999999998</v>
      </c>
      <c r="D4502" s="3">
        <v>1</v>
      </c>
    </row>
    <row r="4503" spans="1:4" ht="12.75" x14ac:dyDescent="0.35">
      <c r="A4503" s="4">
        <v>44613</v>
      </c>
      <c r="B4503" s="3" t="s">
        <v>597</v>
      </c>
      <c r="C4503" s="3">
        <v>0.28999999999999998</v>
      </c>
      <c r="D4503" s="3">
        <v>1</v>
      </c>
    </row>
    <row r="4504" spans="1:4" ht="12.75" x14ac:dyDescent="0.35">
      <c r="A4504" s="4">
        <v>44702</v>
      </c>
      <c r="B4504" s="3" t="s">
        <v>1075</v>
      </c>
      <c r="C4504" s="3">
        <v>0.28999999999999998</v>
      </c>
      <c r="D4504" s="3">
        <v>1</v>
      </c>
    </row>
    <row r="4505" spans="1:4" ht="12.75" x14ac:dyDescent="0.35">
      <c r="A4505" s="5">
        <v>44733</v>
      </c>
      <c r="B4505" s="3" t="s">
        <v>1347</v>
      </c>
      <c r="C4505" s="3">
        <v>0.28999999999999998</v>
      </c>
      <c r="D4505" s="3">
        <v>1</v>
      </c>
    </row>
    <row r="4506" spans="1:4" ht="12.75" x14ac:dyDescent="0.35">
      <c r="A4506" s="5">
        <v>44763</v>
      </c>
      <c r="B4506" s="3" t="s">
        <v>1504</v>
      </c>
      <c r="C4506" s="3">
        <v>0.28999999999999998</v>
      </c>
      <c r="D4506" s="3">
        <v>1</v>
      </c>
    </row>
    <row r="4507" spans="1:4" ht="12.75" x14ac:dyDescent="0.35">
      <c r="A4507" s="5">
        <v>44763</v>
      </c>
      <c r="B4507" s="3" t="s">
        <v>156</v>
      </c>
      <c r="C4507" s="3">
        <v>0.28999999999999998</v>
      </c>
      <c r="D4507" s="3">
        <v>1</v>
      </c>
    </row>
    <row r="4508" spans="1:4" ht="12.75" x14ac:dyDescent="0.35">
      <c r="A4508" s="4">
        <v>44794</v>
      </c>
      <c r="B4508" s="3" t="s">
        <v>1560</v>
      </c>
      <c r="C4508" s="3">
        <v>0.28999999999999998</v>
      </c>
      <c r="D4508" s="3">
        <v>1</v>
      </c>
    </row>
    <row r="4509" spans="1:4" ht="12.75" x14ac:dyDescent="0.35">
      <c r="A4509" s="4">
        <v>44825</v>
      </c>
      <c r="B4509" s="3" t="s">
        <v>622</v>
      </c>
      <c r="C4509" s="3">
        <v>0.28999999999999998</v>
      </c>
      <c r="D4509" s="3">
        <v>4</v>
      </c>
    </row>
    <row r="4510" spans="1:4" ht="12.75" x14ac:dyDescent="0.35">
      <c r="A4510" s="4">
        <v>44855</v>
      </c>
      <c r="B4510" s="3" t="s">
        <v>758</v>
      </c>
      <c r="C4510" s="3">
        <v>0.28999999999999998</v>
      </c>
      <c r="D4510" s="3">
        <v>1</v>
      </c>
    </row>
    <row r="4511" spans="1:4" ht="12.75" x14ac:dyDescent="0.35">
      <c r="A4511" s="4">
        <v>44702</v>
      </c>
      <c r="B4511" s="3" t="s">
        <v>863</v>
      </c>
      <c r="C4511" s="3">
        <v>0.28000000000000003</v>
      </c>
      <c r="D4511" s="3">
        <v>1</v>
      </c>
    </row>
    <row r="4512" spans="1:4" ht="12.75" x14ac:dyDescent="0.35">
      <c r="A4512" s="5">
        <v>44733</v>
      </c>
      <c r="B4512" s="3" t="s">
        <v>1437</v>
      </c>
      <c r="C4512" s="3">
        <v>0.28000000000000003</v>
      </c>
      <c r="D4512" s="3">
        <v>1</v>
      </c>
    </row>
    <row r="4513" spans="1:4" ht="12.75" x14ac:dyDescent="0.35">
      <c r="A4513" s="5">
        <v>44763</v>
      </c>
      <c r="B4513" s="3" t="s">
        <v>1447</v>
      </c>
      <c r="C4513" s="3">
        <v>0.28000000000000003</v>
      </c>
      <c r="D4513" s="3">
        <v>1</v>
      </c>
    </row>
    <row r="4514" spans="1:4" ht="12.75" x14ac:dyDescent="0.35">
      <c r="A4514" s="4">
        <v>44794</v>
      </c>
      <c r="B4514" s="3" t="s">
        <v>1681</v>
      </c>
      <c r="C4514" s="3">
        <v>0.28000000000000003</v>
      </c>
      <c r="D4514" s="3">
        <v>1</v>
      </c>
    </row>
    <row r="4515" spans="1:4" ht="12.75" x14ac:dyDescent="0.35">
      <c r="A4515" s="4">
        <v>44886</v>
      </c>
      <c r="B4515" s="3" t="s">
        <v>273</v>
      </c>
      <c r="C4515" s="3">
        <v>0.28000000000000003</v>
      </c>
      <c r="D4515" s="3">
        <v>2</v>
      </c>
    </row>
    <row r="4516" spans="1:4" ht="12.75" x14ac:dyDescent="0.35">
      <c r="A4516" s="4">
        <v>44916</v>
      </c>
      <c r="B4516" s="3" t="s">
        <v>1476</v>
      </c>
      <c r="C4516" s="3">
        <v>0.28000000000000003</v>
      </c>
      <c r="D4516" s="3">
        <v>1</v>
      </c>
    </row>
    <row r="4517" spans="1:4" ht="12.75" x14ac:dyDescent="0.35">
      <c r="A4517" s="4">
        <v>44641</v>
      </c>
      <c r="B4517" s="3" t="s">
        <v>328</v>
      </c>
      <c r="C4517" s="3">
        <v>0.27</v>
      </c>
      <c r="D4517" s="3">
        <v>4</v>
      </c>
    </row>
    <row r="4518" spans="1:4" ht="12.75" x14ac:dyDescent="0.35">
      <c r="A4518" s="4">
        <v>44702</v>
      </c>
      <c r="B4518" s="3" t="s">
        <v>1064</v>
      </c>
      <c r="C4518" s="3">
        <v>0.27</v>
      </c>
      <c r="D4518" s="3">
        <v>1</v>
      </c>
    </row>
    <row r="4519" spans="1:4" ht="12.75" x14ac:dyDescent="0.35">
      <c r="A4519" s="5">
        <v>44763</v>
      </c>
      <c r="B4519" s="3" t="s">
        <v>1474</v>
      </c>
      <c r="C4519" s="3">
        <v>0.27</v>
      </c>
      <c r="D4519" s="3">
        <v>1</v>
      </c>
    </row>
    <row r="4520" spans="1:4" ht="12.75" x14ac:dyDescent="0.35">
      <c r="A4520" s="5">
        <v>44763</v>
      </c>
      <c r="B4520" s="3" t="s">
        <v>1515</v>
      </c>
      <c r="C4520" s="3">
        <v>0.27</v>
      </c>
      <c r="D4520" s="3">
        <v>1</v>
      </c>
    </row>
    <row r="4521" spans="1:4" ht="12.75" x14ac:dyDescent="0.35">
      <c r="A4521" s="5">
        <v>44763</v>
      </c>
      <c r="B4521" s="3" t="s">
        <v>1136</v>
      </c>
      <c r="C4521" s="3">
        <v>0.27</v>
      </c>
      <c r="D4521" s="3">
        <v>1</v>
      </c>
    </row>
    <row r="4522" spans="1:4" ht="12.75" x14ac:dyDescent="0.35">
      <c r="A4522" s="4">
        <v>44794</v>
      </c>
      <c r="B4522" s="3" t="s">
        <v>1615</v>
      </c>
      <c r="C4522" s="3">
        <v>0.27</v>
      </c>
      <c r="D4522" s="3">
        <v>1</v>
      </c>
    </row>
    <row r="4523" spans="1:4" ht="12.75" x14ac:dyDescent="0.35">
      <c r="A4523" s="4">
        <v>44825</v>
      </c>
      <c r="B4523" s="3" t="s">
        <v>1224</v>
      </c>
      <c r="C4523" s="3">
        <v>0.27</v>
      </c>
      <c r="D4523" s="3">
        <v>1</v>
      </c>
    </row>
    <row r="4524" spans="1:4" ht="12.75" x14ac:dyDescent="0.35">
      <c r="A4524" s="4">
        <v>44825</v>
      </c>
      <c r="B4524" s="3" t="s">
        <v>768</v>
      </c>
      <c r="C4524" s="3">
        <v>0.27</v>
      </c>
      <c r="D4524" s="3">
        <v>1</v>
      </c>
    </row>
    <row r="4525" spans="1:4" ht="12.75" x14ac:dyDescent="0.35">
      <c r="A4525" s="4">
        <v>44886</v>
      </c>
      <c r="B4525" s="3" t="s">
        <v>1817</v>
      </c>
      <c r="C4525" s="3">
        <v>0.27</v>
      </c>
      <c r="D4525" s="3">
        <v>1</v>
      </c>
    </row>
    <row r="4526" spans="1:4" ht="12.75" x14ac:dyDescent="0.35">
      <c r="A4526" s="4">
        <v>44886</v>
      </c>
      <c r="B4526" s="3" t="s">
        <v>1828</v>
      </c>
      <c r="C4526" s="3">
        <v>0.27</v>
      </c>
      <c r="D4526" s="3">
        <v>1</v>
      </c>
    </row>
    <row r="4527" spans="1:4" ht="12.75" x14ac:dyDescent="0.35">
      <c r="A4527" s="4">
        <v>44886</v>
      </c>
      <c r="B4527" s="3" t="s">
        <v>258</v>
      </c>
      <c r="C4527" s="3">
        <v>0.27</v>
      </c>
      <c r="D4527" s="3">
        <v>2</v>
      </c>
    </row>
    <row r="4528" spans="1:4" ht="12.75" x14ac:dyDescent="0.35">
      <c r="A4528" s="4">
        <v>44916</v>
      </c>
      <c r="B4528" s="3" t="s">
        <v>1735</v>
      </c>
      <c r="C4528" s="3">
        <v>0.27</v>
      </c>
      <c r="D4528" s="3">
        <v>3</v>
      </c>
    </row>
    <row r="4529" spans="1:4" ht="12.75" x14ac:dyDescent="0.35">
      <c r="A4529" s="4">
        <v>44916</v>
      </c>
      <c r="B4529" s="3" t="s">
        <v>1937</v>
      </c>
      <c r="C4529" s="3">
        <v>0.27</v>
      </c>
      <c r="D4529" s="3">
        <v>1</v>
      </c>
    </row>
    <row r="4530" spans="1:4" ht="12.75" x14ac:dyDescent="0.35">
      <c r="A4530" s="4">
        <v>44582</v>
      </c>
      <c r="B4530" s="3" t="s">
        <v>50</v>
      </c>
      <c r="C4530" s="3">
        <v>0.26</v>
      </c>
      <c r="D4530" s="3">
        <v>2</v>
      </c>
    </row>
    <row r="4531" spans="1:4" ht="12.75" x14ac:dyDescent="0.35">
      <c r="A4531" s="4">
        <v>44672</v>
      </c>
      <c r="B4531" s="3" t="s">
        <v>940</v>
      </c>
      <c r="C4531" s="3">
        <v>0.26</v>
      </c>
      <c r="D4531" s="3">
        <v>1</v>
      </c>
    </row>
    <row r="4532" spans="1:4" ht="12.75" x14ac:dyDescent="0.35">
      <c r="A4532" s="5">
        <v>44763</v>
      </c>
      <c r="B4532" s="3" t="s">
        <v>1400</v>
      </c>
      <c r="C4532" s="3">
        <v>0.26</v>
      </c>
      <c r="D4532" s="3">
        <v>1</v>
      </c>
    </row>
    <row r="4533" spans="1:4" ht="12.75" x14ac:dyDescent="0.35">
      <c r="A4533" s="4">
        <v>44613</v>
      </c>
      <c r="B4533" s="3" t="s">
        <v>510</v>
      </c>
      <c r="C4533" s="3">
        <v>0.25</v>
      </c>
      <c r="D4533" s="3">
        <v>3</v>
      </c>
    </row>
    <row r="4534" spans="1:4" ht="12.75" x14ac:dyDescent="0.35">
      <c r="A4534" s="4">
        <v>44613</v>
      </c>
      <c r="B4534" s="3" t="s">
        <v>211</v>
      </c>
      <c r="C4534" s="3">
        <v>0.25</v>
      </c>
      <c r="D4534" s="3">
        <v>1</v>
      </c>
    </row>
    <row r="4535" spans="1:4" ht="12.75" x14ac:dyDescent="0.35">
      <c r="A4535" s="4">
        <v>44702</v>
      </c>
      <c r="B4535" s="3" t="s">
        <v>1125</v>
      </c>
      <c r="C4535" s="3">
        <v>0.25</v>
      </c>
      <c r="D4535" s="3">
        <v>1</v>
      </c>
    </row>
    <row r="4536" spans="1:4" ht="12.75" x14ac:dyDescent="0.35">
      <c r="A4536" s="5">
        <v>44733</v>
      </c>
      <c r="B4536" s="3" t="s">
        <v>1261</v>
      </c>
      <c r="C4536" s="3">
        <v>0.25</v>
      </c>
      <c r="D4536" s="3">
        <v>1</v>
      </c>
    </row>
    <row r="4537" spans="1:4" ht="12.75" x14ac:dyDescent="0.35">
      <c r="A4537" s="5">
        <v>44763</v>
      </c>
      <c r="B4537" s="3" t="s">
        <v>1514</v>
      </c>
      <c r="C4537" s="3">
        <v>0.25</v>
      </c>
      <c r="D4537" s="3">
        <v>1</v>
      </c>
    </row>
    <row r="4538" spans="1:4" ht="12.75" x14ac:dyDescent="0.35">
      <c r="A4538" s="4">
        <v>44794</v>
      </c>
      <c r="B4538" s="3" t="s">
        <v>211</v>
      </c>
      <c r="C4538" s="3">
        <v>0.25</v>
      </c>
      <c r="D4538" s="3">
        <v>1</v>
      </c>
    </row>
    <row r="4539" spans="1:4" ht="12.75" x14ac:dyDescent="0.35">
      <c r="A4539" s="4">
        <v>44582</v>
      </c>
      <c r="B4539" s="3" t="s">
        <v>90</v>
      </c>
      <c r="C4539" s="3">
        <v>0.24</v>
      </c>
      <c r="D4539" s="3">
        <v>1</v>
      </c>
    </row>
    <row r="4540" spans="1:4" ht="12.75" x14ac:dyDescent="0.35">
      <c r="A4540" s="4">
        <v>44613</v>
      </c>
      <c r="B4540" s="3" t="s">
        <v>532</v>
      </c>
      <c r="C4540" s="3">
        <v>0.24</v>
      </c>
      <c r="D4540" s="3">
        <v>1</v>
      </c>
    </row>
    <row r="4541" spans="1:4" ht="12.75" x14ac:dyDescent="0.35">
      <c r="A4541" s="4">
        <v>44613</v>
      </c>
      <c r="B4541" s="3" t="s">
        <v>576</v>
      </c>
      <c r="C4541" s="3">
        <v>0.24</v>
      </c>
      <c r="D4541" s="3">
        <v>1</v>
      </c>
    </row>
    <row r="4542" spans="1:4" ht="12.75" x14ac:dyDescent="0.35">
      <c r="A4542" s="4">
        <v>44613</v>
      </c>
      <c r="B4542" s="3" t="s">
        <v>206</v>
      </c>
      <c r="C4542" s="3">
        <v>0.24</v>
      </c>
      <c r="D4542" s="3">
        <v>1</v>
      </c>
    </row>
    <row r="4543" spans="1:4" ht="12.75" x14ac:dyDescent="0.35">
      <c r="A4543" s="4">
        <v>44641</v>
      </c>
      <c r="B4543" s="3" t="s">
        <v>339</v>
      </c>
      <c r="C4543" s="3">
        <v>0.24</v>
      </c>
      <c r="D4543" s="3">
        <v>1</v>
      </c>
    </row>
    <row r="4544" spans="1:4" ht="12.75" x14ac:dyDescent="0.35">
      <c r="A4544" s="4">
        <v>44672</v>
      </c>
      <c r="B4544" s="3" t="s">
        <v>83</v>
      </c>
      <c r="C4544" s="3">
        <v>0.24</v>
      </c>
      <c r="D4544" s="3">
        <v>1</v>
      </c>
    </row>
    <row r="4545" spans="1:4" ht="12.75" x14ac:dyDescent="0.35">
      <c r="A4545" s="4">
        <v>44702</v>
      </c>
      <c r="B4545" s="3" t="s">
        <v>1001</v>
      </c>
      <c r="C4545" s="3">
        <v>0.24</v>
      </c>
      <c r="D4545" s="3">
        <v>1</v>
      </c>
    </row>
    <row r="4546" spans="1:4" ht="12.75" x14ac:dyDescent="0.35">
      <c r="A4546" s="4">
        <v>44702</v>
      </c>
      <c r="B4546" s="3" t="s">
        <v>1057</v>
      </c>
      <c r="C4546" s="3">
        <v>0.24</v>
      </c>
      <c r="D4546" s="3">
        <v>1</v>
      </c>
    </row>
    <row r="4547" spans="1:4" ht="12.75" x14ac:dyDescent="0.35">
      <c r="A4547" s="4">
        <v>44702</v>
      </c>
      <c r="B4547" s="3" t="s">
        <v>1105</v>
      </c>
      <c r="C4547" s="3">
        <v>0.24</v>
      </c>
      <c r="D4547" s="3">
        <v>1</v>
      </c>
    </row>
    <row r="4548" spans="1:4" ht="12.75" x14ac:dyDescent="0.35">
      <c r="A4548" s="5">
        <v>44733</v>
      </c>
      <c r="B4548" s="3" t="s">
        <v>1387</v>
      </c>
      <c r="C4548" s="3">
        <v>0.24</v>
      </c>
      <c r="D4548" s="3">
        <v>1</v>
      </c>
    </row>
    <row r="4549" spans="1:4" ht="12.75" x14ac:dyDescent="0.35">
      <c r="A4549" s="5">
        <v>44763</v>
      </c>
      <c r="B4549" s="3" t="s">
        <v>1244</v>
      </c>
      <c r="C4549" s="3">
        <v>0.24</v>
      </c>
      <c r="D4549" s="3">
        <v>1</v>
      </c>
    </row>
    <row r="4550" spans="1:4" ht="12.75" x14ac:dyDescent="0.35">
      <c r="A4550" s="5">
        <v>44763</v>
      </c>
      <c r="B4550" s="3" t="s">
        <v>1488</v>
      </c>
      <c r="C4550" s="3">
        <v>0.24</v>
      </c>
      <c r="D4550" s="3">
        <v>1</v>
      </c>
    </row>
    <row r="4551" spans="1:4" ht="12.75" x14ac:dyDescent="0.35">
      <c r="A4551" s="5">
        <v>44763</v>
      </c>
      <c r="B4551" s="3" t="s">
        <v>1184</v>
      </c>
      <c r="C4551" s="3">
        <v>0.24</v>
      </c>
      <c r="D4551" s="3">
        <v>1</v>
      </c>
    </row>
    <row r="4552" spans="1:4" ht="12.75" x14ac:dyDescent="0.35">
      <c r="A4552" s="4">
        <v>44794</v>
      </c>
      <c r="B4552" s="3" t="s">
        <v>1575</v>
      </c>
      <c r="C4552" s="3">
        <v>0.24</v>
      </c>
      <c r="D4552" s="3">
        <v>1</v>
      </c>
    </row>
    <row r="4553" spans="1:4" ht="12.75" x14ac:dyDescent="0.35">
      <c r="A4553" s="4">
        <v>44794</v>
      </c>
      <c r="B4553" s="3" t="s">
        <v>1664</v>
      </c>
      <c r="C4553" s="3">
        <v>0.24</v>
      </c>
      <c r="D4553" s="3">
        <v>1</v>
      </c>
    </row>
    <row r="4554" spans="1:4" ht="12.75" x14ac:dyDescent="0.35">
      <c r="A4554" s="4">
        <v>44794</v>
      </c>
      <c r="B4554" s="3" t="s">
        <v>1712</v>
      </c>
      <c r="C4554" s="3">
        <v>0.24</v>
      </c>
      <c r="D4554" s="3">
        <v>1</v>
      </c>
    </row>
    <row r="4555" spans="1:4" ht="12.75" x14ac:dyDescent="0.35">
      <c r="A4555" s="4">
        <v>44855</v>
      </c>
      <c r="B4555" s="3" t="s">
        <v>1460</v>
      </c>
      <c r="C4555" s="3">
        <v>0.24</v>
      </c>
      <c r="D4555" s="3">
        <v>1</v>
      </c>
    </row>
    <row r="4556" spans="1:4" ht="12.75" x14ac:dyDescent="0.35">
      <c r="A4556" s="4">
        <v>44886</v>
      </c>
      <c r="B4556" s="3" t="s">
        <v>1317</v>
      </c>
      <c r="C4556" s="3">
        <v>0.24</v>
      </c>
      <c r="D4556" s="3">
        <v>1</v>
      </c>
    </row>
    <row r="4557" spans="1:4" ht="12.75" x14ac:dyDescent="0.35">
      <c r="A4557" s="4">
        <v>44916</v>
      </c>
      <c r="B4557" s="3" t="s">
        <v>1928</v>
      </c>
      <c r="C4557" s="3">
        <v>0.24</v>
      </c>
      <c r="D4557" s="3">
        <v>1</v>
      </c>
    </row>
    <row r="4558" spans="1:4" ht="12.75" x14ac:dyDescent="0.35">
      <c r="A4558" s="4">
        <v>44613</v>
      </c>
      <c r="B4558" s="3" t="s">
        <v>305</v>
      </c>
      <c r="C4558" s="3">
        <v>0.23</v>
      </c>
      <c r="D4558" s="3">
        <v>1</v>
      </c>
    </row>
    <row r="4559" spans="1:4" ht="12.75" x14ac:dyDescent="0.35">
      <c r="A4559" s="4">
        <v>44613</v>
      </c>
      <c r="B4559" s="3" t="s">
        <v>220</v>
      </c>
      <c r="C4559" s="3">
        <v>0.23</v>
      </c>
      <c r="D4559" s="3">
        <v>3</v>
      </c>
    </row>
    <row r="4560" spans="1:4" ht="12.75" x14ac:dyDescent="0.35">
      <c r="A4560" s="4">
        <v>44613</v>
      </c>
      <c r="B4560" s="3" t="s">
        <v>592</v>
      </c>
      <c r="C4560" s="3">
        <v>0.23</v>
      </c>
      <c r="D4560" s="3">
        <v>1</v>
      </c>
    </row>
    <row r="4561" spans="1:4" ht="12.75" x14ac:dyDescent="0.35">
      <c r="A4561" s="5">
        <v>44733</v>
      </c>
      <c r="B4561" s="3" t="s">
        <v>1331</v>
      </c>
      <c r="C4561" s="3">
        <v>0.23</v>
      </c>
      <c r="D4561" s="3">
        <v>1</v>
      </c>
    </row>
    <row r="4562" spans="1:4" ht="12.75" x14ac:dyDescent="0.35">
      <c r="A4562" s="4">
        <v>44763</v>
      </c>
      <c r="B4562" s="3" t="s">
        <v>1186</v>
      </c>
      <c r="C4562" s="3">
        <v>0.23</v>
      </c>
      <c r="D4562" s="3">
        <v>1</v>
      </c>
    </row>
    <row r="4563" spans="1:4" ht="12.75" x14ac:dyDescent="0.35">
      <c r="A4563" s="5">
        <v>44763</v>
      </c>
      <c r="B4563" s="3" t="s">
        <v>1534</v>
      </c>
      <c r="C4563" s="3">
        <v>0.23</v>
      </c>
      <c r="D4563" s="3">
        <v>2</v>
      </c>
    </row>
    <row r="4564" spans="1:4" ht="12.75" x14ac:dyDescent="0.35">
      <c r="A4564" s="4">
        <v>44794</v>
      </c>
      <c r="B4564" s="3" t="s">
        <v>1714</v>
      </c>
      <c r="C4564" s="3">
        <v>0.23</v>
      </c>
      <c r="D4564" s="3">
        <v>1</v>
      </c>
    </row>
    <row r="4565" spans="1:4" ht="12.75" x14ac:dyDescent="0.35">
      <c r="A4565" s="4">
        <v>44825</v>
      </c>
      <c r="B4565" s="3" t="s">
        <v>1760</v>
      </c>
      <c r="C4565" s="3">
        <v>0.23</v>
      </c>
      <c r="D4565" s="3">
        <v>1</v>
      </c>
    </row>
    <row r="4566" spans="1:4" ht="12.75" x14ac:dyDescent="0.35">
      <c r="A4566" s="4">
        <v>44886</v>
      </c>
      <c r="B4566" s="3" t="s">
        <v>1824</v>
      </c>
      <c r="C4566" s="3">
        <v>0.23</v>
      </c>
      <c r="D4566" s="3">
        <v>1</v>
      </c>
    </row>
    <row r="4567" spans="1:4" ht="12.75" x14ac:dyDescent="0.35">
      <c r="A4567" s="4">
        <v>44916</v>
      </c>
      <c r="B4567" s="3" t="s">
        <v>1926</v>
      </c>
      <c r="C4567" s="3">
        <v>0.23</v>
      </c>
      <c r="D4567" s="3">
        <v>1</v>
      </c>
    </row>
    <row r="4568" spans="1:4" ht="12.75" x14ac:dyDescent="0.35">
      <c r="A4568" s="4">
        <v>44702</v>
      </c>
      <c r="B4568" s="3" t="s">
        <v>1137</v>
      </c>
      <c r="C4568" s="3">
        <v>0.22</v>
      </c>
      <c r="D4568" s="3">
        <v>1</v>
      </c>
    </row>
    <row r="4569" spans="1:4" ht="12.75" x14ac:dyDescent="0.35">
      <c r="A4569" s="5">
        <v>44733</v>
      </c>
      <c r="B4569" s="3" t="s">
        <v>1258</v>
      </c>
      <c r="C4569" s="3">
        <v>0.22</v>
      </c>
      <c r="D4569" s="3">
        <v>1</v>
      </c>
    </row>
    <row r="4570" spans="1:4" ht="12.75" x14ac:dyDescent="0.35">
      <c r="A4570" s="4">
        <v>44763</v>
      </c>
      <c r="B4570" s="3" t="s">
        <v>1117</v>
      </c>
      <c r="C4570" s="3">
        <v>0.22</v>
      </c>
      <c r="D4570" s="3">
        <v>1</v>
      </c>
    </row>
    <row r="4571" spans="1:4" ht="12.75" x14ac:dyDescent="0.35">
      <c r="A4571" s="4">
        <v>44794</v>
      </c>
      <c r="B4571" s="3" t="s">
        <v>1568</v>
      </c>
      <c r="C4571" s="3">
        <v>0.22</v>
      </c>
      <c r="D4571" s="3">
        <v>1</v>
      </c>
    </row>
    <row r="4572" spans="1:4" ht="12.75" x14ac:dyDescent="0.35">
      <c r="A4572" s="4">
        <v>44825</v>
      </c>
      <c r="B4572" s="3" t="s">
        <v>758</v>
      </c>
      <c r="C4572" s="3">
        <v>0.22</v>
      </c>
      <c r="D4572" s="3">
        <v>1</v>
      </c>
    </row>
    <row r="4573" spans="1:4" ht="12.75" x14ac:dyDescent="0.35">
      <c r="A4573" s="4">
        <v>44582</v>
      </c>
      <c r="B4573" s="3" t="s">
        <v>206</v>
      </c>
      <c r="C4573" s="3">
        <v>0.21</v>
      </c>
      <c r="D4573" s="3">
        <v>1</v>
      </c>
    </row>
    <row r="4574" spans="1:4" ht="12.75" x14ac:dyDescent="0.35">
      <c r="A4574" s="5">
        <v>44733</v>
      </c>
      <c r="B4574" s="3" t="s">
        <v>1203</v>
      </c>
      <c r="C4574" s="3">
        <v>0.21</v>
      </c>
      <c r="D4574" s="3">
        <v>1</v>
      </c>
    </row>
    <row r="4575" spans="1:4" ht="12.75" x14ac:dyDescent="0.35">
      <c r="A4575" s="5">
        <v>44733</v>
      </c>
      <c r="B4575" s="3" t="s">
        <v>1140</v>
      </c>
      <c r="C4575" s="3">
        <v>0.21</v>
      </c>
      <c r="D4575" s="3">
        <v>1</v>
      </c>
    </row>
    <row r="4576" spans="1:4" ht="12.75" x14ac:dyDescent="0.35">
      <c r="A4576" s="4">
        <v>44794</v>
      </c>
      <c r="B4576" s="3" t="s">
        <v>1117</v>
      </c>
      <c r="C4576" s="3">
        <v>0.21</v>
      </c>
      <c r="D4576" s="3">
        <v>1</v>
      </c>
    </row>
    <row r="4577" spans="1:4" ht="12.75" x14ac:dyDescent="0.35">
      <c r="A4577" s="4">
        <v>44794</v>
      </c>
      <c r="B4577" s="3" t="s">
        <v>1608</v>
      </c>
      <c r="C4577" s="3">
        <v>0.21</v>
      </c>
      <c r="D4577" s="3">
        <v>1</v>
      </c>
    </row>
    <row r="4578" spans="1:4" ht="12.75" x14ac:dyDescent="0.35">
      <c r="A4578" s="4">
        <v>44794</v>
      </c>
      <c r="B4578" s="3" t="s">
        <v>1365</v>
      </c>
      <c r="C4578" s="3">
        <v>0.21</v>
      </c>
      <c r="D4578" s="3">
        <v>1</v>
      </c>
    </row>
    <row r="4579" spans="1:4" ht="12.75" x14ac:dyDescent="0.35">
      <c r="A4579" s="4">
        <v>44794</v>
      </c>
      <c r="B4579" s="3" t="s">
        <v>1171</v>
      </c>
      <c r="C4579" s="3">
        <v>0.21</v>
      </c>
      <c r="D4579" s="3">
        <v>1</v>
      </c>
    </row>
    <row r="4580" spans="1:4" ht="12.75" x14ac:dyDescent="0.35">
      <c r="A4580" s="4">
        <v>44794</v>
      </c>
      <c r="B4580" s="3" t="s">
        <v>1679</v>
      </c>
      <c r="C4580" s="3">
        <v>0.21</v>
      </c>
      <c r="D4580" s="3">
        <v>1</v>
      </c>
    </row>
    <row r="4581" spans="1:4" ht="12.75" x14ac:dyDescent="0.35">
      <c r="A4581" s="4">
        <v>44794</v>
      </c>
      <c r="B4581" s="3" t="s">
        <v>1547</v>
      </c>
      <c r="C4581" s="3">
        <v>0.21</v>
      </c>
      <c r="D4581" s="3">
        <v>1</v>
      </c>
    </row>
    <row r="4582" spans="1:4" ht="12.75" x14ac:dyDescent="0.35">
      <c r="A4582" s="4">
        <v>44855</v>
      </c>
      <c r="B4582" s="3" t="s">
        <v>1021</v>
      </c>
      <c r="C4582" s="3">
        <v>0.21</v>
      </c>
      <c r="D4582" s="3">
        <v>1</v>
      </c>
    </row>
    <row r="4583" spans="1:4" ht="12.75" x14ac:dyDescent="0.35">
      <c r="A4583" s="4">
        <v>44886</v>
      </c>
      <c r="B4583" s="3" t="s">
        <v>1561</v>
      </c>
      <c r="C4583" s="3">
        <v>0.21</v>
      </c>
      <c r="D4583" s="3">
        <v>1</v>
      </c>
    </row>
    <row r="4584" spans="1:4" ht="12.75" x14ac:dyDescent="0.35">
      <c r="A4584" s="4">
        <v>44613</v>
      </c>
      <c r="B4584" s="3" t="s">
        <v>496</v>
      </c>
      <c r="C4584" s="3">
        <v>0.2</v>
      </c>
      <c r="D4584" s="3">
        <v>4</v>
      </c>
    </row>
    <row r="4585" spans="1:4" ht="12.75" x14ac:dyDescent="0.35">
      <c r="A4585" s="4">
        <v>44613</v>
      </c>
      <c r="B4585" s="3" t="s">
        <v>271</v>
      </c>
      <c r="C4585" s="3">
        <v>0.2</v>
      </c>
      <c r="D4585" s="3">
        <v>1</v>
      </c>
    </row>
    <row r="4586" spans="1:4" ht="12.75" x14ac:dyDescent="0.35">
      <c r="A4586" s="4">
        <v>44641</v>
      </c>
      <c r="B4586" s="3" t="s">
        <v>747</v>
      </c>
      <c r="C4586" s="3">
        <v>0.2</v>
      </c>
      <c r="D4586" s="3">
        <v>1</v>
      </c>
    </row>
    <row r="4587" spans="1:4" ht="12.75" x14ac:dyDescent="0.35">
      <c r="A4587" s="5">
        <v>44733</v>
      </c>
      <c r="B4587" s="3" t="s">
        <v>1176</v>
      </c>
      <c r="C4587" s="3">
        <v>0.2</v>
      </c>
      <c r="D4587" s="3">
        <v>1</v>
      </c>
    </row>
    <row r="4588" spans="1:4" ht="12.75" x14ac:dyDescent="0.35">
      <c r="A4588" s="5">
        <v>44733</v>
      </c>
      <c r="B4588" s="3" t="s">
        <v>1204</v>
      </c>
      <c r="C4588" s="3">
        <v>0.2</v>
      </c>
      <c r="D4588" s="3">
        <v>1</v>
      </c>
    </row>
    <row r="4589" spans="1:4" ht="12.75" x14ac:dyDescent="0.35">
      <c r="A4589" s="4">
        <v>44763</v>
      </c>
      <c r="B4589" s="3" t="s">
        <v>1262</v>
      </c>
      <c r="C4589" s="3">
        <v>0.2</v>
      </c>
      <c r="D4589" s="3">
        <v>1</v>
      </c>
    </row>
    <row r="4590" spans="1:4" ht="12.75" x14ac:dyDescent="0.35">
      <c r="A4590" s="4">
        <v>44794</v>
      </c>
      <c r="B4590" s="3" t="s">
        <v>1499</v>
      </c>
      <c r="C4590" s="3">
        <v>0.2</v>
      </c>
      <c r="D4590" s="3">
        <v>1</v>
      </c>
    </row>
    <row r="4591" spans="1:4" ht="12.75" x14ac:dyDescent="0.35">
      <c r="A4591" s="4">
        <v>44794</v>
      </c>
      <c r="B4591" s="3" t="s">
        <v>1631</v>
      </c>
      <c r="C4591" s="3">
        <v>0.2</v>
      </c>
      <c r="D4591" s="3">
        <v>1</v>
      </c>
    </row>
    <row r="4592" spans="1:4" ht="12.75" x14ac:dyDescent="0.35">
      <c r="A4592" s="4">
        <v>44794</v>
      </c>
      <c r="B4592" s="3" t="s">
        <v>869</v>
      </c>
      <c r="C4592" s="3">
        <v>0.2</v>
      </c>
      <c r="D4592" s="3">
        <v>1</v>
      </c>
    </row>
    <row r="4593" spans="1:4" ht="12.75" x14ac:dyDescent="0.35">
      <c r="A4593" s="4">
        <v>44794</v>
      </c>
      <c r="B4593" s="3" t="s">
        <v>1684</v>
      </c>
      <c r="C4593" s="3">
        <v>0.2</v>
      </c>
      <c r="D4593" s="3">
        <v>1</v>
      </c>
    </row>
    <row r="4594" spans="1:4" ht="12.75" x14ac:dyDescent="0.35">
      <c r="A4594" s="4">
        <v>44794</v>
      </c>
      <c r="B4594" s="3" t="s">
        <v>1701</v>
      </c>
      <c r="C4594" s="3">
        <v>0.2</v>
      </c>
      <c r="D4594" s="3">
        <v>1</v>
      </c>
    </row>
    <row r="4595" spans="1:4" ht="12.75" x14ac:dyDescent="0.35">
      <c r="A4595" s="4">
        <v>44825</v>
      </c>
      <c r="B4595" s="3" t="s">
        <v>1443</v>
      </c>
      <c r="C4595" s="3">
        <v>0.2</v>
      </c>
      <c r="D4595" s="3">
        <v>1</v>
      </c>
    </row>
    <row r="4596" spans="1:4" ht="12.75" x14ac:dyDescent="0.35">
      <c r="A4596" s="4">
        <v>44916</v>
      </c>
      <c r="B4596" s="3" t="s">
        <v>537</v>
      </c>
      <c r="C4596" s="3">
        <v>0.2</v>
      </c>
      <c r="D4596" s="3">
        <v>1</v>
      </c>
    </row>
    <row r="4597" spans="1:4" ht="12.75" x14ac:dyDescent="0.35">
      <c r="A4597" s="4">
        <v>44582</v>
      </c>
      <c r="B4597" s="3" t="s">
        <v>29</v>
      </c>
      <c r="C4597" s="3">
        <v>0.19</v>
      </c>
      <c r="D4597" s="3">
        <v>1</v>
      </c>
    </row>
    <row r="4598" spans="1:4" ht="12.75" x14ac:dyDescent="0.35">
      <c r="A4598" s="4">
        <v>44582</v>
      </c>
      <c r="B4598" s="3" t="s">
        <v>38</v>
      </c>
      <c r="C4598" s="3">
        <v>0.19</v>
      </c>
      <c r="D4598" s="3">
        <v>1</v>
      </c>
    </row>
    <row r="4599" spans="1:4" ht="12.75" x14ac:dyDescent="0.35">
      <c r="A4599" s="4">
        <v>44702</v>
      </c>
      <c r="B4599" s="3" t="s">
        <v>1042</v>
      </c>
      <c r="C4599" s="3">
        <v>0.19</v>
      </c>
      <c r="D4599" s="3">
        <v>1</v>
      </c>
    </row>
    <row r="4600" spans="1:4" ht="12.75" x14ac:dyDescent="0.35">
      <c r="A4600" s="4">
        <v>44702</v>
      </c>
      <c r="B4600" s="3" t="s">
        <v>1092</v>
      </c>
      <c r="C4600" s="3">
        <v>0.19</v>
      </c>
      <c r="D4600" s="3">
        <v>1</v>
      </c>
    </row>
    <row r="4601" spans="1:4" ht="12.75" x14ac:dyDescent="0.35">
      <c r="A4601" s="4">
        <v>44763</v>
      </c>
      <c r="B4601" s="3" t="s">
        <v>1393</v>
      </c>
      <c r="C4601" s="3">
        <v>0.19</v>
      </c>
      <c r="D4601" s="3">
        <v>1</v>
      </c>
    </row>
    <row r="4602" spans="1:4" ht="12.75" x14ac:dyDescent="0.35">
      <c r="A4602" s="4">
        <v>44825</v>
      </c>
      <c r="B4602" s="3" t="s">
        <v>71</v>
      </c>
      <c r="C4602" s="3">
        <v>0.19</v>
      </c>
      <c r="D4602" s="3">
        <v>1</v>
      </c>
    </row>
    <row r="4603" spans="1:4" ht="12.75" x14ac:dyDescent="0.35">
      <c r="A4603" s="4">
        <v>44886</v>
      </c>
      <c r="B4603" s="3" t="s">
        <v>312</v>
      </c>
      <c r="C4603" s="3">
        <v>0.19</v>
      </c>
      <c r="D4603" s="3">
        <v>1</v>
      </c>
    </row>
    <row r="4604" spans="1:4" ht="12.75" x14ac:dyDescent="0.35">
      <c r="A4604" s="4">
        <v>44613</v>
      </c>
      <c r="B4604" s="3" t="s">
        <v>422</v>
      </c>
      <c r="C4604" s="3">
        <v>0.18</v>
      </c>
      <c r="D4604" s="3">
        <v>1</v>
      </c>
    </row>
    <row r="4605" spans="1:4" ht="12.75" x14ac:dyDescent="0.35">
      <c r="A4605" s="4">
        <v>44613</v>
      </c>
      <c r="B4605" s="3" t="s">
        <v>462</v>
      </c>
      <c r="C4605" s="3">
        <v>0.18</v>
      </c>
      <c r="D4605" s="3">
        <v>1</v>
      </c>
    </row>
    <row r="4606" spans="1:4" ht="12.75" x14ac:dyDescent="0.35">
      <c r="A4606" s="4">
        <v>44613</v>
      </c>
      <c r="B4606" s="3" t="s">
        <v>493</v>
      </c>
      <c r="C4606" s="3">
        <v>0.18</v>
      </c>
      <c r="D4606" s="3">
        <v>1</v>
      </c>
    </row>
    <row r="4607" spans="1:4" ht="12.75" x14ac:dyDescent="0.35">
      <c r="A4607" s="4">
        <v>44613</v>
      </c>
      <c r="B4607" s="3" t="s">
        <v>516</v>
      </c>
      <c r="C4607" s="3">
        <v>0.18</v>
      </c>
      <c r="D4607" s="3">
        <v>1</v>
      </c>
    </row>
    <row r="4608" spans="1:4" ht="12.75" x14ac:dyDescent="0.35">
      <c r="A4608" s="4">
        <v>44613</v>
      </c>
      <c r="B4608" s="3" t="s">
        <v>90</v>
      </c>
      <c r="C4608" s="3">
        <v>0.18</v>
      </c>
      <c r="D4608" s="3">
        <v>1</v>
      </c>
    </row>
    <row r="4609" spans="1:4" ht="12.75" x14ac:dyDescent="0.35">
      <c r="A4609" s="4">
        <v>44613</v>
      </c>
      <c r="B4609" s="3" t="s">
        <v>329</v>
      </c>
      <c r="C4609" s="3">
        <v>0.18</v>
      </c>
      <c r="D4609" s="3">
        <v>1</v>
      </c>
    </row>
    <row r="4610" spans="1:4" ht="12.75" x14ac:dyDescent="0.35">
      <c r="A4610" s="4">
        <v>44641</v>
      </c>
      <c r="B4610" s="3" t="s">
        <v>788</v>
      </c>
      <c r="C4610" s="3">
        <v>0.18</v>
      </c>
      <c r="D4610" s="3">
        <v>1</v>
      </c>
    </row>
    <row r="4611" spans="1:4" ht="12.75" x14ac:dyDescent="0.35">
      <c r="A4611" s="4">
        <v>44672</v>
      </c>
      <c r="B4611" s="3" t="s">
        <v>876</v>
      </c>
      <c r="C4611" s="3">
        <v>0.18</v>
      </c>
      <c r="D4611" s="3">
        <v>1</v>
      </c>
    </row>
    <row r="4612" spans="1:4" ht="12.75" x14ac:dyDescent="0.35">
      <c r="A4612" s="4">
        <v>44672</v>
      </c>
      <c r="B4612" s="3" t="s">
        <v>951</v>
      </c>
      <c r="C4612" s="3">
        <v>0.18</v>
      </c>
      <c r="D4612" s="3">
        <v>1</v>
      </c>
    </row>
    <row r="4613" spans="1:4" ht="12.75" x14ac:dyDescent="0.35">
      <c r="A4613" s="4">
        <v>44702</v>
      </c>
      <c r="B4613" s="3" t="s">
        <v>1136</v>
      </c>
      <c r="C4613" s="3">
        <v>0.18</v>
      </c>
      <c r="D4613" s="3">
        <v>1</v>
      </c>
    </row>
    <row r="4614" spans="1:4" ht="12.75" x14ac:dyDescent="0.35">
      <c r="A4614" s="4">
        <v>44702</v>
      </c>
      <c r="B4614" s="3" t="s">
        <v>1159</v>
      </c>
      <c r="C4614" s="3">
        <v>0.18</v>
      </c>
      <c r="D4614" s="3">
        <v>1</v>
      </c>
    </row>
    <row r="4615" spans="1:4" ht="12.75" x14ac:dyDescent="0.35">
      <c r="A4615" s="5">
        <v>44733</v>
      </c>
      <c r="B4615" s="3" t="s">
        <v>1182</v>
      </c>
      <c r="C4615" s="3">
        <v>0.18</v>
      </c>
      <c r="D4615" s="3">
        <v>1</v>
      </c>
    </row>
    <row r="4616" spans="1:4" ht="12.75" x14ac:dyDescent="0.35">
      <c r="A4616" s="5">
        <v>44733</v>
      </c>
      <c r="B4616" s="3" t="s">
        <v>1034</v>
      </c>
      <c r="C4616" s="3">
        <v>0.18</v>
      </c>
      <c r="D4616" s="3">
        <v>1</v>
      </c>
    </row>
    <row r="4617" spans="1:4" ht="12.75" x14ac:dyDescent="0.35">
      <c r="A4617" s="5">
        <v>44733</v>
      </c>
      <c r="B4617" s="3" t="s">
        <v>199</v>
      </c>
      <c r="C4617" s="3">
        <v>0.18</v>
      </c>
      <c r="D4617" s="3">
        <v>1</v>
      </c>
    </row>
    <row r="4618" spans="1:4" ht="12.75" x14ac:dyDescent="0.35">
      <c r="A4618" s="4">
        <v>44763</v>
      </c>
      <c r="B4618" s="3" t="s">
        <v>1472</v>
      </c>
      <c r="C4618" s="3">
        <v>0.18</v>
      </c>
      <c r="D4618" s="3">
        <v>1</v>
      </c>
    </row>
    <row r="4619" spans="1:4" ht="12.75" x14ac:dyDescent="0.35">
      <c r="A4619" s="4">
        <v>44763</v>
      </c>
      <c r="B4619" s="3" t="s">
        <v>211</v>
      </c>
      <c r="C4619" s="3">
        <v>0.18</v>
      </c>
      <c r="D4619" s="3">
        <v>1</v>
      </c>
    </row>
    <row r="4620" spans="1:4" ht="12.75" x14ac:dyDescent="0.35">
      <c r="A4620" s="4">
        <v>44794</v>
      </c>
      <c r="B4620" s="3" t="s">
        <v>1263</v>
      </c>
      <c r="C4620" s="3">
        <v>0.18</v>
      </c>
      <c r="D4620" s="3">
        <v>1</v>
      </c>
    </row>
    <row r="4621" spans="1:4" ht="12.75" x14ac:dyDescent="0.35">
      <c r="A4621" s="4">
        <v>44794</v>
      </c>
      <c r="B4621" s="3" t="s">
        <v>1041</v>
      </c>
      <c r="C4621" s="3">
        <v>0.18</v>
      </c>
      <c r="D4621" s="3">
        <v>1</v>
      </c>
    </row>
    <row r="4622" spans="1:4" ht="12.75" x14ac:dyDescent="0.35">
      <c r="A4622" s="4">
        <v>44794</v>
      </c>
      <c r="B4622" s="3" t="s">
        <v>1467</v>
      </c>
      <c r="C4622" s="3">
        <v>0.18</v>
      </c>
      <c r="D4622" s="3">
        <v>1</v>
      </c>
    </row>
    <row r="4623" spans="1:4" ht="12.75" x14ac:dyDescent="0.35">
      <c r="A4623" s="4">
        <v>44794</v>
      </c>
      <c r="B4623" s="3" t="s">
        <v>1638</v>
      </c>
      <c r="C4623" s="3">
        <v>0.18</v>
      </c>
      <c r="D4623" s="3">
        <v>1</v>
      </c>
    </row>
    <row r="4624" spans="1:4" ht="12.75" x14ac:dyDescent="0.35">
      <c r="A4624" s="4">
        <v>44916</v>
      </c>
      <c r="B4624" s="3" t="s">
        <v>822</v>
      </c>
      <c r="C4624" s="3">
        <v>0.18</v>
      </c>
      <c r="D4624" s="3">
        <v>1</v>
      </c>
    </row>
    <row r="4625" spans="1:4" ht="12.75" x14ac:dyDescent="0.35">
      <c r="A4625" s="4">
        <v>44916</v>
      </c>
      <c r="B4625" s="3" t="s">
        <v>1921</v>
      </c>
      <c r="C4625" s="3">
        <v>0.18</v>
      </c>
      <c r="D4625" s="3">
        <v>1</v>
      </c>
    </row>
    <row r="4626" spans="1:4" ht="12.75" x14ac:dyDescent="0.35">
      <c r="A4626" s="4">
        <v>44582</v>
      </c>
      <c r="B4626" s="3" t="s">
        <v>33</v>
      </c>
      <c r="C4626" s="3">
        <v>0.17</v>
      </c>
      <c r="D4626" s="3">
        <v>1</v>
      </c>
    </row>
    <row r="4627" spans="1:4" ht="12.75" x14ac:dyDescent="0.35">
      <c r="A4627" s="4">
        <v>44613</v>
      </c>
      <c r="B4627" s="3" t="s">
        <v>426</v>
      </c>
      <c r="C4627" s="3">
        <v>0.17</v>
      </c>
      <c r="D4627" s="3">
        <v>1</v>
      </c>
    </row>
    <row r="4628" spans="1:4" ht="12.75" x14ac:dyDescent="0.35">
      <c r="A4628" s="4">
        <v>44641</v>
      </c>
      <c r="B4628" s="3" t="s">
        <v>213</v>
      </c>
      <c r="C4628" s="3">
        <v>0.17</v>
      </c>
      <c r="D4628" s="3">
        <v>1</v>
      </c>
    </row>
    <row r="4629" spans="1:4" ht="12.75" x14ac:dyDescent="0.35">
      <c r="A4629" s="4">
        <v>44702</v>
      </c>
      <c r="B4629" s="3" t="s">
        <v>474</v>
      </c>
      <c r="C4629" s="3">
        <v>0.17</v>
      </c>
      <c r="D4629" s="3">
        <v>2</v>
      </c>
    </row>
    <row r="4630" spans="1:4" ht="12.75" x14ac:dyDescent="0.35">
      <c r="A4630" s="4">
        <v>44702</v>
      </c>
      <c r="B4630" s="3" t="s">
        <v>1032</v>
      </c>
      <c r="C4630" s="3">
        <v>0.17</v>
      </c>
      <c r="D4630" s="3">
        <v>2</v>
      </c>
    </row>
    <row r="4631" spans="1:4" ht="12.75" x14ac:dyDescent="0.35">
      <c r="A4631" s="4">
        <v>44702</v>
      </c>
      <c r="B4631" s="3" t="s">
        <v>263</v>
      </c>
      <c r="C4631" s="3">
        <v>0.17</v>
      </c>
      <c r="D4631" s="3">
        <v>1</v>
      </c>
    </row>
    <row r="4632" spans="1:4" ht="12.75" x14ac:dyDescent="0.35">
      <c r="A4632" s="5">
        <v>44733</v>
      </c>
      <c r="B4632" s="3" t="s">
        <v>1199</v>
      </c>
      <c r="C4632" s="3">
        <v>0.17</v>
      </c>
      <c r="D4632" s="3">
        <v>1</v>
      </c>
    </row>
    <row r="4633" spans="1:4" ht="12.75" x14ac:dyDescent="0.35">
      <c r="A4633" s="5">
        <v>44733</v>
      </c>
      <c r="B4633" s="3" t="s">
        <v>1312</v>
      </c>
      <c r="C4633" s="3">
        <v>0.17</v>
      </c>
      <c r="D4633" s="3">
        <v>1</v>
      </c>
    </row>
    <row r="4634" spans="1:4" ht="12.75" x14ac:dyDescent="0.35">
      <c r="A4634" s="4">
        <v>44794</v>
      </c>
      <c r="B4634" s="3" t="s">
        <v>1644</v>
      </c>
      <c r="C4634" s="3">
        <v>0.17</v>
      </c>
      <c r="D4634" s="3">
        <v>1</v>
      </c>
    </row>
    <row r="4635" spans="1:4" ht="12.75" x14ac:dyDescent="0.35">
      <c r="A4635" s="4">
        <v>44794</v>
      </c>
      <c r="B4635" s="3" t="s">
        <v>1658</v>
      </c>
      <c r="C4635" s="3">
        <v>0.17</v>
      </c>
      <c r="D4635" s="3">
        <v>1</v>
      </c>
    </row>
    <row r="4636" spans="1:4" ht="12.75" x14ac:dyDescent="0.35">
      <c r="A4636" s="4">
        <v>44794</v>
      </c>
      <c r="B4636" s="3" t="s">
        <v>1549</v>
      </c>
      <c r="C4636" s="3">
        <v>0.17</v>
      </c>
      <c r="D4636" s="3">
        <v>1</v>
      </c>
    </row>
    <row r="4637" spans="1:4" ht="12.75" x14ac:dyDescent="0.35">
      <c r="A4637" s="4">
        <v>44886</v>
      </c>
      <c r="B4637" s="3" t="s">
        <v>606</v>
      </c>
      <c r="C4637" s="3">
        <v>0.17</v>
      </c>
      <c r="D4637" s="3">
        <v>3</v>
      </c>
    </row>
    <row r="4638" spans="1:4" ht="12.75" x14ac:dyDescent="0.35">
      <c r="A4638" s="4">
        <v>44582</v>
      </c>
      <c r="B4638" s="3" t="s">
        <v>359</v>
      </c>
      <c r="C4638" s="3">
        <v>0.16</v>
      </c>
      <c r="D4638" s="3">
        <v>1</v>
      </c>
    </row>
    <row r="4639" spans="1:4" ht="12.75" x14ac:dyDescent="0.35">
      <c r="A4639" s="4">
        <v>44613</v>
      </c>
      <c r="B4639" s="3" t="s">
        <v>170</v>
      </c>
      <c r="C4639" s="3">
        <v>0.16</v>
      </c>
      <c r="D4639" s="3">
        <v>1</v>
      </c>
    </row>
    <row r="4640" spans="1:4" ht="12.75" x14ac:dyDescent="0.35">
      <c r="A4640" s="4">
        <v>44641</v>
      </c>
      <c r="B4640" s="3" t="s">
        <v>638</v>
      </c>
      <c r="C4640" s="3">
        <v>0.16</v>
      </c>
      <c r="D4640" s="3">
        <v>1</v>
      </c>
    </row>
    <row r="4641" spans="1:4" ht="12.75" x14ac:dyDescent="0.35">
      <c r="A4641" s="4">
        <v>44702</v>
      </c>
      <c r="B4641" s="3" t="s">
        <v>171</v>
      </c>
      <c r="C4641" s="3">
        <v>0.16</v>
      </c>
      <c r="D4641" s="3">
        <v>1</v>
      </c>
    </row>
    <row r="4642" spans="1:4" ht="12.75" x14ac:dyDescent="0.35">
      <c r="A4642" s="4">
        <v>44702</v>
      </c>
      <c r="B4642" s="3" t="s">
        <v>1061</v>
      </c>
      <c r="C4642" s="3">
        <v>0.16</v>
      </c>
      <c r="D4642" s="3">
        <v>1</v>
      </c>
    </row>
    <row r="4643" spans="1:4" ht="12.75" x14ac:dyDescent="0.35">
      <c r="A4643" s="4">
        <v>44702</v>
      </c>
      <c r="B4643" s="3" t="s">
        <v>1100</v>
      </c>
      <c r="C4643" s="3">
        <v>0.16</v>
      </c>
      <c r="D4643" s="3">
        <v>1</v>
      </c>
    </row>
    <row r="4644" spans="1:4" ht="12.75" x14ac:dyDescent="0.35">
      <c r="A4644" s="5">
        <v>44733</v>
      </c>
      <c r="B4644" s="3" t="s">
        <v>1311</v>
      </c>
      <c r="C4644" s="3">
        <v>0.16</v>
      </c>
      <c r="D4644" s="3">
        <v>1</v>
      </c>
    </row>
    <row r="4645" spans="1:4" ht="12.75" x14ac:dyDescent="0.35">
      <c r="A4645" s="5">
        <v>44733</v>
      </c>
      <c r="B4645" s="3" t="s">
        <v>1455</v>
      </c>
      <c r="C4645" s="3">
        <v>0.16</v>
      </c>
      <c r="D4645" s="3">
        <v>1</v>
      </c>
    </row>
    <row r="4646" spans="1:4" ht="12.75" x14ac:dyDescent="0.35">
      <c r="A4646" s="4">
        <v>44763</v>
      </c>
      <c r="B4646" s="3" t="s">
        <v>1549</v>
      </c>
      <c r="C4646" s="3">
        <v>0.16</v>
      </c>
      <c r="D4646" s="3">
        <v>1</v>
      </c>
    </row>
    <row r="4647" spans="1:4" ht="12.75" x14ac:dyDescent="0.35">
      <c r="A4647" s="4">
        <v>44825</v>
      </c>
      <c r="B4647" s="3" t="s">
        <v>1208</v>
      </c>
      <c r="C4647" s="3">
        <v>0.16</v>
      </c>
      <c r="D4647" s="3">
        <v>2</v>
      </c>
    </row>
    <row r="4648" spans="1:4" ht="12.75" x14ac:dyDescent="0.35">
      <c r="A4648" s="4">
        <v>44855</v>
      </c>
      <c r="B4648" s="3" t="s">
        <v>71</v>
      </c>
      <c r="C4648" s="3">
        <v>0.16</v>
      </c>
      <c r="D4648" s="3">
        <v>1</v>
      </c>
    </row>
    <row r="4649" spans="1:4" ht="12.75" x14ac:dyDescent="0.35">
      <c r="A4649" s="4">
        <v>44582</v>
      </c>
      <c r="B4649" s="3" t="s">
        <v>118</v>
      </c>
      <c r="C4649" s="3">
        <v>0.15</v>
      </c>
      <c r="D4649" s="3">
        <v>1</v>
      </c>
    </row>
    <row r="4650" spans="1:4" ht="12.75" x14ac:dyDescent="0.35">
      <c r="A4650" s="4">
        <v>44582</v>
      </c>
      <c r="B4650" s="3" t="s">
        <v>207</v>
      </c>
      <c r="C4650" s="3">
        <v>0.15</v>
      </c>
      <c r="D4650" s="3">
        <v>1</v>
      </c>
    </row>
    <row r="4651" spans="1:4" ht="12.75" x14ac:dyDescent="0.35">
      <c r="A4651" s="4">
        <v>44763</v>
      </c>
      <c r="B4651" s="3" t="s">
        <v>870</v>
      </c>
      <c r="C4651" s="3">
        <v>0.15</v>
      </c>
      <c r="D4651" s="3">
        <v>1</v>
      </c>
    </row>
    <row r="4652" spans="1:4" ht="12.75" x14ac:dyDescent="0.35">
      <c r="A4652" s="4">
        <v>44794</v>
      </c>
      <c r="B4652" s="3" t="s">
        <v>1713</v>
      </c>
      <c r="C4652" s="3">
        <v>0.15</v>
      </c>
      <c r="D4652" s="3">
        <v>1</v>
      </c>
    </row>
    <row r="4653" spans="1:4" ht="12.75" x14ac:dyDescent="0.35">
      <c r="A4653" s="4">
        <v>44794</v>
      </c>
      <c r="B4653" s="3" t="s">
        <v>1719</v>
      </c>
      <c r="C4653" s="3">
        <v>0.15</v>
      </c>
      <c r="D4653" s="3">
        <v>1</v>
      </c>
    </row>
    <row r="4654" spans="1:4" ht="12.75" x14ac:dyDescent="0.35">
      <c r="A4654" s="4">
        <v>44886</v>
      </c>
      <c r="B4654" s="3" t="s">
        <v>1819</v>
      </c>
      <c r="C4654" s="3">
        <v>0.15</v>
      </c>
      <c r="D4654" s="3">
        <v>1</v>
      </c>
    </row>
    <row r="4655" spans="1:4" ht="12.75" x14ac:dyDescent="0.35">
      <c r="A4655" s="4">
        <v>44886</v>
      </c>
      <c r="B4655" s="3" t="s">
        <v>1682</v>
      </c>
      <c r="C4655" s="3">
        <v>0.15</v>
      </c>
      <c r="D4655" s="3">
        <v>1</v>
      </c>
    </row>
    <row r="4656" spans="1:4" ht="12.75" x14ac:dyDescent="0.35">
      <c r="A4656" s="4">
        <v>44886</v>
      </c>
      <c r="B4656" s="3" t="s">
        <v>1651</v>
      </c>
      <c r="C4656" s="3">
        <v>0.15</v>
      </c>
      <c r="D4656" s="3">
        <v>1</v>
      </c>
    </row>
    <row r="4657" spans="1:4" ht="12.75" x14ac:dyDescent="0.35">
      <c r="A4657" s="4">
        <v>44582</v>
      </c>
      <c r="B4657" s="3" t="s">
        <v>211</v>
      </c>
      <c r="C4657" s="3">
        <v>0.14000000000000001</v>
      </c>
      <c r="D4657" s="3">
        <v>1</v>
      </c>
    </row>
    <row r="4658" spans="1:4" ht="12.75" x14ac:dyDescent="0.35">
      <c r="A4658" s="4">
        <v>44613</v>
      </c>
      <c r="B4658" s="3" t="s">
        <v>492</v>
      </c>
      <c r="C4658" s="3">
        <v>0.14000000000000001</v>
      </c>
      <c r="D4658" s="3">
        <v>1</v>
      </c>
    </row>
    <row r="4659" spans="1:4" ht="12.75" x14ac:dyDescent="0.35">
      <c r="A4659" s="4">
        <v>44613</v>
      </c>
      <c r="B4659" s="3" t="s">
        <v>182</v>
      </c>
      <c r="C4659" s="3">
        <v>0.14000000000000001</v>
      </c>
      <c r="D4659" s="3">
        <v>2</v>
      </c>
    </row>
    <row r="4660" spans="1:4" ht="12.75" x14ac:dyDescent="0.35">
      <c r="A4660" s="4">
        <v>44672</v>
      </c>
      <c r="B4660" s="3" t="s">
        <v>937</v>
      </c>
      <c r="C4660" s="3">
        <v>0.14000000000000001</v>
      </c>
      <c r="D4660" s="3">
        <v>1</v>
      </c>
    </row>
    <row r="4661" spans="1:4" ht="12.75" x14ac:dyDescent="0.35">
      <c r="A4661" s="4">
        <v>44702</v>
      </c>
      <c r="B4661" s="3" t="s">
        <v>1120</v>
      </c>
      <c r="C4661" s="3">
        <v>0.14000000000000001</v>
      </c>
      <c r="D4661" s="3">
        <v>1</v>
      </c>
    </row>
    <row r="4662" spans="1:4" ht="12.75" x14ac:dyDescent="0.35">
      <c r="A4662" s="5">
        <v>44733</v>
      </c>
      <c r="B4662" s="3" t="s">
        <v>431</v>
      </c>
      <c r="C4662" s="3">
        <v>0.14000000000000001</v>
      </c>
      <c r="D4662" s="3">
        <v>3</v>
      </c>
    </row>
    <row r="4663" spans="1:4" ht="12.75" x14ac:dyDescent="0.35">
      <c r="A4663" s="4">
        <v>44763</v>
      </c>
      <c r="B4663" s="3" t="s">
        <v>960</v>
      </c>
      <c r="C4663" s="3">
        <v>0.14000000000000001</v>
      </c>
      <c r="D4663" s="3">
        <v>1</v>
      </c>
    </row>
    <row r="4664" spans="1:4" ht="12.75" x14ac:dyDescent="0.35">
      <c r="A4664" s="4">
        <v>44763</v>
      </c>
      <c r="B4664" s="3" t="s">
        <v>1358</v>
      </c>
      <c r="C4664" s="3">
        <v>0.14000000000000001</v>
      </c>
      <c r="D4664" s="3">
        <v>1</v>
      </c>
    </row>
    <row r="4665" spans="1:4" ht="12.75" x14ac:dyDescent="0.35">
      <c r="A4665" s="4">
        <v>44794</v>
      </c>
      <c r="B4665" s="3" t="s">
        <v>767</v>
      </c>
      <c r="C4665" s="3">
        <v>0.14000000000000001</v>
      </c>
      <c r="D4665" s="3">
        <v>3</v>
      </c>
    </row>
    <row r="4666" spans="1:4" ht="12.75" x14ac:dyDescent="0.35">
      <c r="A4666" s="4">
        <v>44794</v>
      </c>
      <c r="B4666" s="3" t="s">
        <v>1689</v>
      </c>
      <c r="C4666" s="3">
        <v>0.14000000000000001</v>
      </c>
      <c r="D4666" s="3">
        <v>1</v>
      </c>
    </row>
    <row r="4667" spans="1:4" ht="12.75" x14ac:dyDescent="0.35">
      <c r="A4667" s="4">
        <v>44794</v>
      </c>
      <c r="B4667" s="3" t="s">
        <v>1505</v>
      </c>
      <c r="C4667" s="3">
        <v>0.14000000000000001</v>
      </c>
      <c r="D4667" s="3">
        <v>1</v>
      </c>
    </row>
    <row r="4668" spans="1:4" ht="12.75" x14ac:dyDescent="0.35">
      <c r="A4668" s="4">
        <v>44825</v>
      </c>
      <c r="B4668" s="3" t="s">
        <v>1117</v>
      </c>
      <c r="C4668" s="3">
        <v>0.14000000000000001</v>
      </c>
      <c r="D4668" s="3">
        <v>1</v>
      </c>
    </row>
    <row r="4669" spans="1:4" ht="12.75" x14ac:dyDescent="0.35">
      <c r="A4669" s="4">
        <v>44825</v>
      </c>
      <c r="B4669" s="3" t="s">
        <v>1623</v>
      </c>
      <c r="C4669" s="3">
        <v>0.14000000000000001</v>
      </c>
      <c r="D4669" s="3">
        <v>2</v>
      </c>
    </row>
    <row r="4670" spans="1:4" ht="12.75" x14ac:dyDescent="0.35">
      <c r="A4670" s="4">
        <v>44855</v>
      </c>
      <c r="B4670" s="3" t="s">
        <v>1802</v>
      </c>
      <c r="C4670" s="3">
        <v>0.14000000000000001</v>
      </c>
      <c r="D4670" s="3">
        <v>1</v>
      </c>
    </row>
    <row r="4671" spans="1:4" ht="12.75" x14ac:dyDescent="0.35">
      <c r="A4671" s="4">
        <v>44916</v>
      </c>
      <c r="B4671" s="3" t="s">
        <v>1901</v>
      </c>
      <c r="C4671" s="3">
        <v>0.14000000000000001</v>
      </c>
      <c r="D4671" s="3">
        <v>1</v>
      </c>
    </row>
    <row r="4672" spans="1:4" ht="12.75" x14ac:dyDescent="0.35">
      <c r="A4672" s="4">
        <v>44582</v>
      </c>
      <c r="B4672" s="3" t="s">
        <v>303</v>
      </c>
      <c r="C4672" s="3">
        <v>0.13</v>
      </c>
      <c r="D4672" s="3">
        <v>1</v>
      </c>
    </row>
    <row r="4673" spans="1:4" ht="12.75" x14ac:dyDescent="0.35">
      <c r="A4673" s="4">
        <v>44613</v>
      </c>
      <c r="B4673" s="3" t="s">
        <v>352</v>
      </c>
      <c r="C4673" s="3">
        <v>0.13</v>
      </c>
      <c r="D4673" s="3">
        <v>1</v>
      </c>
    </row>
    <row r="4674" spans="1:4" ht="12.75" x14ac:dyDescent="0.35">
      <c r="A4674" s="4">
        <v>44641</v>
      </c>
      <c r="B4674" s="3" t="s">
        <v>754</v>
      </c>
      <c r="C4674" s="3">
        <v>0.13</v>
      </c>
      <c r="D4674" s="3">
        <v>1</v>
      </c>
    </row>
    <row r="4675" spans="1:4" ht="12.75" x14ac:dyDescent="0.35">
      <c r="A4675" s="5">
        <v>44733</v>
      </c>
      <c r="B4675" s="3" t="s">
        <v>685</v>
      </c>
      <c r="C4675" s="3">
        <v>0.13</v>
      </c>
      <c r="D4675" s="3">
        <v>1</v>
      </c>
    </row>
    <row r="4676" spans="1:4" ht="12.75" x14ac:dyDescent="0.35">
      <c r="A4676" s="4">
        <v>44794</v>
      </c>
      <c r="B4676" s="3" t="s">
        <v>813</v>
      </c>
      <c r="C4676" s="3">
        <v>0.13</v>
      </c>
      <c r="D4676" s="3">
        <v>1</v>
      </c>
    </row>
    <row r="4677" spans="1:4" ht="12.75" x14ac:dyDescent="0.35">
      <c r="A4677" s="4">
        <v>44825</v>
      </c>
      <c r="B4677" s="3" t="s">
        <v>1006</v>
      </c>
      <c r="C4677" s="3">
        <v>0.13</v>
      </c>
      <c r="D4677" s="3">
        <v>1</v>
      </c>
    </row>
    <row r="4678" spans="1:4" ht="12.75" x14ac:dyDescent="0.35">
      <c r="A4678" s="4">
        <v>44886</v>
      </c>
      <c r="B4678" s="3" t="s">
        <v>253</v>
      </c>
      <c r="C4678" s="3">
        <v>0.13</v>
      </c>
      <c r="D4678" s="3">
        <v>3</v>
      </c>
    </row>
    <row r="4679" spans="1:4" ht="12.75" x14ac:dyDescent="0.35">
      <c r="A4679" s="4">
        <v>44613</v>
      </c>
      <c r="B4679" s="3" t="s">
        <v>499</v>
      </c>
      <c r="C4679" s="3">
        <v>0.12</v>
      </c>
      <c r="D4679" s="3">
        <v>1</v>
      </c>
    </row>
    <row r="4680" spans="1:4" ht="12.75" x14ac:dyDescent="0.35">
      <c r="A4680" s="4">
        <v>44641</v>
      </c>
      <c r="B4680" s="3" t="s">
        <v>608</v>
      </c>
      <c r="C4680" s="3">
        <v>0.12</v>
      </c>
      <c r="D4680" s="3">
        <v>1</v>
      </c>
    </row>
    <row r="4681" spans="1:4" ht="12.75" x14ac:dyDescent="0.35">
      <c r="A4681" s="4">
        <v>44672</v>
      </c>
      <c r="B4681" s="3" t="s">
        <v>858</v>
      </c>
      <c r="C4681" s="3">
        <v>0.12</v>
      </c>
      <c r="D4681" s="3">
        <v>1</v>
      </c>
    </row>
    <row r="4682" spans="1:4" ht="12.75" x14ac:dyDescent="0.35">
      <c r="A4682" s="4">
        <v>44702</v>
      </c>
      <c r="B4682" s="3" t="s">
        <v>149</v>
      </c>
      <c r="C4682" s="3">
        <v>0.12</v>
      </c>
      <c r="D4682" s="3">
        <v>1</v>
      </c>
    </row>
    <row r="4683" spans="1:4" ht="12.75" x14ac:dyDescent="0.35">
      <c r="A4683" s="4">
        <v>44702</v>
      </c>
      <c r="B4683" s="3" t="s">
        <v>1028</v>
      </c>
      <c r="C4683" s="3">
        <v>0.12</v>
      </c>
      <c r="D4683" s="3">
        <v>1</v>
      </c>
    </row>
    <row r="4684" spans="1:4" ht="12.75" x14ac:dyDescent="0.35">
      <c r="A4684" s="4">
        <v>44702</v>
      </c>
      <c r="B4684" s="3" t="s">
        <v>307</v>
      </c>
      <c r="C4684" s="3">
        <v>0.12</v>
      </c>
      <c r="D4684" s="3">
        <v>5</v>
      </c>
    </row>
    <row r="4685" spans="1:4" ht="12.75" x14ac:dyDescent="0.35">
      <c r="A4685" s="5">
        <v>44733</v>
      </c>
      <c r="B4685" s="3" t="s">
        <v>1385</v>
      </c>
      <c r="C4685" s="3">
        <v>0.12</v>
      </c>
      <c r="D4685" s="3">
        <v>1</v>
      </c>
    </row>
    <row r="4686" spans="1:4" ht="12.75" x14ac:dyDescent="0.35">
      <c r="A4686" s="5">
        <v>44733</v>
      </c>
      <c r="B4686" s="3" t="s">
        <v>1439</v>
      </c>
      <c r="C4686" s="3">
        <v>0.12</v>
      </c>
      <c r="D4686" s="3">
        <v>1</v>
      </c>
    </row>
    <row r="4687" spans="1:4" ht="12.75" x14ac:dyDescent="0.35">
      <c r="A4687" s="4">
        <v>44763</v>
      </c>
      <c r="B4687" s="3" t="s">
        <v>1435</v>
      </c>
      <c r="C4687" s="3">
        <v>0.12</v>
      </c>
      <c r="D4687" s="3">
        <v>1</v>
      </c>
    </row>
    <row r="4688" spans="1:4" ht="12.75" x14ac:dyDescent="0.35">
      <c r="A4688" s="4">
        <v>44763</v>
      </c>
      <c r="B4688" s="3" t="s">
        <v>1272</v>
      </c>
      <c r="C4688" s="3">
        <v>0.12</v>
      </c>
      <c r="D4688" s="3">
        <v>1</v>
      </c>
    </row>
    <row r="4689" spans="1:4" ht="12.75" x14ac:dyDescent="0.35">
      <c r="A4689" s="4">
        <v>44763</v>
      </c>
      <c r="B4689" s="3" t="s">
        <v>1443</v>
      </c>
      <c r="C4689" s="3">
        <v>0.12</v>
      </c>
      <c r="D4689" s="3">
        <v>1</v>
      </c>
    </row>
    <row r="4690" spans="1:4" ht="12.75" x14ac:dyDescent="0.35">
      <c r="A4690" s="4">
        <v>44794</v>
      </c>
      <c r="B4690" s="3" t="s">
        <v>1630</v>
      </c>
      <c r="C4690" s="3">
        <v>0.12</v>
      </c>
      <c r="D4690" s="3">
        <v>1</v>
      </c>
    </row>
    <row r="4691" spans="1:4" ht="12.75" x14ac:dyDescent="0.35">
      <c r="A4691" s="4">
        <v>44794</v>
      </c>
      <c r="B4691" s="3" t="s">
        <v>1220</v>
      </c>
      <c r="C4691" s="3">
        <v>0.12</v>
      </c>
      <c r="D4691" s="3">
        <v>1</v>
      </c>
    </row>
    <row r="4692" spans="1:4" ht="12.75" x14ac:dyDescent="0.35">
      <c r="A4692" s="4">
        <v>44794</v>
      </c>
      <c r="B4692" s="3" t="s">
        <v>1721</v>
      </c>
      <c r="C4692" s="3">
        <v>0.12</v>
      </c>
      <c r="D4692" s="3">
        <v>1</v>
      </c>
    </row>
    <row r="4693" spans="1:4" ht="12.75" x14ac:dyDescent="0.35">
      <c r="A4693" s="4">
        <v>44825</v>
      </c>
      <c r="B4693" s="3" t="s">
        <v>1758</v>
      </c>
      <c r="C4693" s="3">
        <v>0.12</v>
      </c>
      <c r="D4693" s="3">
        <v>1</v>
      </c>
    </row>
    <row r="4694" spans="1:4" ht="12.75" x14ac:dyDescent="0.35">
      <c r="A4694" s="4">
        <v>44855</v>
      </c>
      <c r="B4694" s="3" t="s">
        <v>1337</v>
      </c>
      <c r="C4694" s="3">
        <v>0.12</v>
      </c>
      <c r="D4694" s="3">
        <v>1</v>
      </c>
    </row>
    <row r="4695" spans="1:4" ht="12.75" x14ac:dyDescent="0.35">
      <c r="A4695" s="4">
        <v>44855</v>
      </c>
      <c r="B4695" s="3" t="s">
        <v>898</v>
      </c>
      <c r="C4695" s="3">
        <v>0.12</v>
      </c>
      <c r="D4695" s="3">
        <v>2</v>
      </c>
    </row>
    <row r="4696" spans="1:4" ht="12.75" x14ac:dyDescent="0.35">
      <c r="A4696" s="4">
        <v>44886</v>
      </c>
      <c r="B4696" s="3" t="s">
        <v>1758</v>
      </c>
      <c r="C4696" s="3">
        <v>0.12</v>
      </c>
      <c r="D4696" s="3">
        <v>1</v>
      </c>
    </row>
    <row r="4697" spans="1:4" ht="12.75" x14ac:dyDescent="0.35">
      <c r="A4697" s="4">
        <v>44886</v>
      </c>
      <c r="B4697" s="3" t="s">
        <v>1638</v>
      </c>
      <c r="C4697" s="3">
        <v>0.12</v>
      </c>
      <c r="D4697" s="3">
        <v>1</v>
      </c>
    </row>
    <row r="4698" spans="1:4" ht="12.75" x14ac:dyDescent="0.35">
      <c r="A4698" s="4">
        <v>44886</v>
      </c>
      <c r="B4698" s="3" t="s">
        <v>1835</v>
      </c>
      <c r="C4698" s="3">
        <v>0.12</v>
      </c>
      <c r="D4698" s="3">
        <v>2</v>
      </c>
    </row>
    <row r="4699" spans="1:4" ht="12.75" x14ac:dyDescent="0.35">
      <c r="A4699" s="4">
        <v>44916</v>
      </c>
      <c r="B4699" s="3" t="s">
        <v>1881</v>
      </c>
      <c r="C4699" s="3">
        <v>0.12</v>
      </c>
      <c r="D4699" s="3">
        <v>1</v>
      </c>
    </row>
    <row r="4700" spans="1:4" ht="12.75" x14ac:dyDescent="0.35">
      <c r="A4700" s="4">
        <v>44582</v>
      </c>
      <c r="B4700" s="3" t="s">
        <v>355</v>
      </c>
      <c r="C4700" s="3">
        <v>0.11</v>
      </c>
      <c r="D4700" s="3">
        <v>1</v>
      </c>
    </row>
    <row r="4701" spans="1:4" ht="12.75" x14ac:dyDescent="0.35">
      <c r="A4701" s="4">
        <v>44641</v>
      </c>
      <c r="B4701" s="3" t="s">
        <v>698</v>
      </c>
      <c r="C4701" s="3">
        <v>0.11</v>
      </c>
      <c r="D4701" s="3">
        <v>1</v>
      </c>
    </row>
    <row r="4702" spans="1:4" ht="12.75" x14ac:dyDescent="0.35">
      <c r="A4702" s="4">
        <v>44672</v>
      </c>
      <c r="B4702" s="3" t="s">
        <v>930</v>
      </c>
      <c r="C4702" s="3">
        <v>0.11</v>
      </c>
      <c r="D4702" s="3">
        <v>2</v>
      </c>
    </row>
    <row r="4703" spans="1:4" ht="12.75" x14ac:dyDescent="0.35">
      <c r="A4703" s="4">
        <v>44702</v>
      </c>
      <c r="B4703" s="3" t="s">
        <v>875</v>
      </c>
      <c r="C4703" s="3">
        <v>0.11</v>
      </c>
      <c r="D4703" s="3">
        <v>1</v>
      </c>
    </row>
    <row r="4704" spans="1:4" ht="12.75" x14ac:dyDescent="0.35">
      <c r="A4704" s="5">
        <v>44733</v>
      </c>
      <c r="B4704" s="3" t="s">
        <v>1357</v>
      </c>
      <c r="C4704" s="3">
        <v>0.11</v>
      </c>
      <c r="D4704" s="3">
        <v>1</v>
      </c>
    </row>
    <row r="4705" spans="1:4" ht="12.75" x14ac:dyDescent="0.35">
      <c r="A4705" s="5">
        <v>44733</v>
      </c>
      <c r="B4705" s="3" t="s">
        <v>418</v>
      </c>
      <c r="C4705" s="3">
        <v>0.11</v>
      </c>
      <c r="D4705" s="3">
        <v>1</v>
      </c>
    </row>
    <row r="4706" spans="1:4" ht="12.75" x14ac:dyDescent="0.35">
      <c r="A4706" s="4">
        <v>44763</v>
      </c>
      <c r="B4706" s="3" t="s">
        <v>1510</v>
      </c>
      <c r="C4706" s="3">
        <v>0.11</v>
      </c>
      <c r="D4706" s="3">
        <v>1</v>
      </c>
    </row>
    <row r="4707" spans="1:4" ht="12.75" x14ac:dyDescent="0.35">
      <c r="A4707" s="4">
        <v>44763</v>
      </c>
      <c r="B4707" s="3" t="s">
        <v>71</v>
      </c>
      <c r="C4707" s="3">
        <v>0.11</v>
      </c>
      <c r="D4707" s="3">
        <v>1</v>
      </c>
    </row>
    <row r="4708" spans="1:4" ht="12.75" x14ac:dyDescent="0.35">
      <c r="A4708" s="4">
        <v>44763</v>
      </c>
      <c r="B4708" s="3" t="s">
        <v>1401</v>
      </c>
      <c r="C4708" s="3">
        <v>0.11</v>
      </c>
      <c r="D4708" s="3">
        <v>1</v>
      </c>
    </row>
    <row r="4709" spans="1:4" ht="12.75" x14ac:dyDescent="0.35">
      <c r="A4709" s="4">
        <v>44794</v>
      </c>
      <c r="B4709" s="3" t="s">
        <v>1616</v>
      </c>
      <c r="C4709" s="3">
        <v>0.11</v>
      </c>
      <c r="D4709" s="3">
        <v>1</v>
      </c>
    </row>
    <row r="4710" spans="1:4" ht="12.75" x14ac:dyDescent="0.35">
      <c r="A4710" s="4">
        <v>44794</v>
      </c>
      <c r="B4710" s="3" t="s">
        <v>1682</v>
      </c>
      <c r="C4710" s="3">
        <v>0.11</v>
      </c>
      <c r="D4710" s="3">
        <v>1</v>
      </c>
    </row>
    <row r="4711" spans="1:4" ht="12.75" x14ac:dyDescent="0.35">
      <c r="A4711" s="4">
        <v>44794</v>
      </c>
      <c r="B4711" s="3" t="s">
        <v>1703</v>
      </c>
      <c r="C4711" s="3">
        <v>0.11</v>
      </c>
      <c r="D4711" s="3">
        <v>1</v>
      </c>
    </row>
    <row r="4712" spans="1:4" ht="12.75" x14ac:dyDescent="0.35">
      <c r="A4712" s="4">
        <v>44825</v>
      </c>
      <c r="B4712" s="3" t="s">
        <v>699</v>
      </c>
      <c r="C4712" s="3">
        <v>0.11</v>
      </c>
      <c r="D4712" s="3">
        <v>1</v>
      </c>
    </row>
    <row r="4713" spans="1:4" ht="12.75" x14ac:dyDescent="0.35">
      <c r="A4713" s="4">
        <v>44855</v>
      </c>
      <c r="B4713" s="3" t="s">
        <v>1147</v>
      </c>
      <c r="C4713" s="3">
        <v>0.11</v>
      </c>
      <c r="D4713" s="3">
        <v>1</v>
      </c>
    </row>
    <row r="4714" spans="1:4" ht="12.75" x14ac:dyDescent="0.35">
      <c r="A4714" s="4">
        <v>44582</v>
      </c>
      <c r="B4714" s="3" t="s">
        <v>84</v>
      </c>
      <c r="C4714" s="3">
        <v>0.1</v>
      </c>
      <c r="D4714" s="3">
        <v>1</v>
      </c>
    </row>
    <row r="4715" spans="1:4" ht="12.75" x14ac:dyDescent="0.35">
      <c r="A4715" s="4">
        <v>44582</v>
      </c>
      <c r="B4715" s="3" t="s">
        <v>311</v>
      </c>
      <c r="C4715" s="3">
        <v>0.1</v>
      </c>
      <c r="D4715" s="3">
        <v>1</v>
      </c>
    </row>
    <row r="4716" spans="1:4" ht="12.75" x14ac:dyDescent="0.35">
      <c r="A4716" s="4">
        <v>44613</v>
      </c>
      <c r="B4716" s="3" t="s">
        <v>9</v>
      </c>
      <c r="C4716" s="3">
        <v>0.1</v>
      </c>
      <c r="D4716" s="3">
        <v>1</v>
      </c>
    </row>
    <row r="4717" spans="1:4" ht="12.75" x14ac:dyDescent="0.35">
      <c r="A4717" s="4">
        <v>44613</v>
      </c>
      <c r="B4717" s="3" t="s">
        <v>196</v>
      </c>
      <c r="C4717" s="3">
        <v>0.1</v>
      </c>
      <c r="D4717" s="3">
        <v>1</v>
      </c>
    </row>
    <row r="4718" spans="1:4" ht="12.75" x14ac:dyDescent="0.35">
      <c r="A4718" s="4">
        <v>44613</v>
      </c>
      <c r="B4718" s="3" t="s">
        <v>380</v>
      </c>
      <c r="C4718" s="3">
        <v>0.1</v>
      </c>
      <c r="D4718" s="3">
        <v>4</v>
      </c>
    </row>
    <row r="4719" spans="1:4" ht="12.75" x14ac:dyDescent="0.35">
      <c r="A4719" s="4">
        <v>44613</v>
      </c>
      <c r="B4719" s="3" t="s">
        <v>379</v>
      </c>
      <c r="C4719" s="3">
        <v>0.1</v>
      </c>
      <c r="D4719" s="3">
        <v>1</v>
      </c>
    </row>
    <row r="4720" spans="1:4" ht="12.75" x14ac:dyDescent="0.35">
      <c r="A4720" s="4">
        <v>44641</v>
      </c>
      <c r="B4720" s="3" t="s">
        <v>658</v>
      </c>
      <c r="C4720" s="3">
        <v>0.1</v>
      </c>
      <c r="D4720" s="3">
        <v>1</v>
      </c>
    </row>
    <row r="4721" spans="1:4" ht="12.75" x14ac:dyDescent="0.35">
      <c r="A4721" s="4">
        <v>44672</v>
      </c>
      <c r="B4721" s="3" t="s">
        <v>800</v>
      </c>
      <c r="C4721" s="3">
        <v>0.1</v>
      </c>
      <c r="D4721" s="3">
        <v>1</v>
      </c>
    </row>
    <row r="4722" spans="1:4" ht="12.75" x14ac:dyDescent="0.35">
      <c r="A4722" s="4">
        <v>44672</v>
      </c>
      <c r="B4722" s="3" t="s">
        <v>313</v>
      </c>
      <c r="C4722" s="3">
        <v>0.1</v>
      </c>
      <c r="D4722" s="3">
        <v>2</v>
      </c>
    </row>
    <row r="4723" spans="1:4" ht="12.75" x14ac:dyDescent="0.35">
      <c r="A4723" s="4">
        <v>44672</v>
      </c>
      <c r="B4723" s="3" t="s">
        <v>646</v>
      </c>
      <c r="C4723" s="3">
        <v>0.1</v>
      </c>
      <c r="D4723" s="3">
        <v>1</v>
      </c>
    </row>
    <row r="4724" spans="1:4" ht="12.75" x14ac:dyDescent="0.35">
      <c r="A4724" s="4">
        <v>44702</v>
      </c>
      <c r="B4724" s="3" t="s">
        <v>1007</v>
      </c>
      <c r="C4724" s="3">
        <v>0.1</v>
      </c>
      <c r="D4724" s="3">
        <v>1</v>
      </c>
    </row>
    <row r="4725" spans="1:4" ht="12.75" x14ac:dyDescent="0.35">
      <c r="A4725" s="4">
        <v>44702</v>
      </c>
      <c r="B4725" s="3" t="s">
        <v>211</v>
      </c>
      <c r="C4725" s="3">
        <v>0.1</v>
      </c>
      <c r="D4725" s="3">
        <v>1</v>
      </c>
    </row>
    <row r="4726" spans="1:4" ht="12.75" x14ac:dyDescent="0.35">
      <c r="A4726" s="4">
        <v>44702</v>
      </c>
      <c r="B4726" s="3" t="s">
        <v>1050</v>
      </c>
      <c r="C4726" s="3">
        <v>0.1</v>
      </c>
      <c r="D4726" s="3">
        <v>1</v>
      </c>
    </row>
    <row r="4727" spans="1:4" ht="12.75" x14ac:dyDescent="0.35">
      <c r="A4727" s="4">
        <v>44702</v>
      </c>
      <c r="B4727" s="3" t="s">
        <v>1095</v>
      </c>
      <c r="C4727" s="3">
        <v>0.1</v>
      </c>
      <c r="D4727" s="3">
        <v>1</v>
      </c>
    </row>
    <row r="4728" spans="1:4" ht="12.75" x14ac:dyDescent="0.35">
      <c r="A4728" s="4">
        <v>44702</v>
      </c>
      <c r="B4728" s="3" t="s">
        <v>1109</v>
      </c>
      <c r="C4728" s="3">
        <v>0.1</v>
      </c>
      <c r="D4728" s="3">
        <v>1</v>
      </c>
    </row>
    <row r="4729" spans="1:4" ht="12.75" x14ac:dyDescent="0.35">
      <c r="A4729" s="4">
        <v>44702</v>
      </c>
      <c r="B4729" s="3" t="s">
        <v>1122</v>
      </c>
      <c r="C4729" s="3">
        <v>0.1</v>
      </c>
      <c r="D4729" s="3">
        <v>1</v>
      </c>
    </row>
    <row r="4730" spans="1:4" ht="12.75" x14ac:dyDescent="0.35">
      <c r="A4730" s="5">
        <v>44733</v>
      </c>
      <c r="B4730" s="3" t="s">
        <v>891</v>
      </c>
      <c r="C4730" s="3">
        <v>0.1</v>
      </c>
      <c r="D4730" s="3">
        <v>1</v>
      </c>
    </row>
    <row r="4731" spans="1:4" ht="12.75" x14ac:dyDescent="0.35">
      <c r="A4731" s="5">
        <v>44733</v>
      </c>
      <c r="B4731" s="3" t="s">
        <v>42</v>
      </c>
      <c r="C4731" s="3">
        <v>0.1</v>
      </c>
      <c r="D4731" s="3">
        <v>1</v>
      </c>
    </row>
    <row r="4732" spans="1:4" ht="12.75" x14ac:dyDescent="0.35">
      <c r="A4732" s="4">
        <v>44763</v>
      </c>
      <c r="B4732" s="3" t="s">
        <v>42</v>
      </c>
      <c r="C4732" s="3">
        <v>0.1</v>
      </c>
      <c r="D4732" s="3">
        <v>1</v>
      </c>
    </row>
    <row r="4733" spans="1:4" ht="12.75" x14ac:dyDescent="0.35">
      <c r="A4733" s="4">
        <v>44763</v>
      </c>
      <c r="B4733" s="3" t="s">
        <v>742</v>
      </c>
      <c r="C4733" s="3">
        <v>0.1</v>
      </c>
      <c r="D4733" s="3">
        <v>1</v>
      </c>
    </row>
    <row r="4734" spans="1:4" ht="12.75" x14ac:dyDescent="0.35">
      <c r="A4734" s="4">
        <v>44794</v>
      </c>
      <c r="B4734" s="3" t="s">
        <v>1522</v>
      </c>
      <c r="C4734" s="3">
        <v>0.1</v>
      </c>
      <c r="D4734" s="3">
        <v>1</v>
      </c>
    </row>
    <row r="4735" spans="1:4" ht="12.75" x14ac:dyDescent="0.35">
      <c r="A4735" s="4">
        <v>44825</v>
      </c>
      <c r="B4735" s="3" t="s">
        <v>639</v>
      </c>
      <c r="C4735" s="3">
        <v>0.1</v>
      </c>
      <c r="D4735" s="3">
        <v>1</v>
      </c>
    </row>
    <row r="4736" spans="1:4" ht="12.75" x14ac:dyDescent="0.35">
      <c r="A4736" s="4">
        <v>44855</v>
      </c>
      <c r="B4736" s="3" t="s">
        <v>1335</v>
      </c>
      <c r="C4736" s="3">
        <v>0.1</v>
      </c>
      <c r="D4736" s="3">
        <v>1</v>
      </c>
    </row>
    <row r="4737" spans="1:4" ht="12.75" x14ac:dyDescent="0.35">
      <c r="A4737" s="4">
        <v>44886</v>
      </c>
      <c r="B4737" s="3" t="s">
        <v>1062</v>
      </c>
      <c r="C4737" s="3">
        <v>0.1</v>
      </c>
      <c r="D4737" s="3">
        <v>1</v>
      </c>
    </row>
    <row r="4738" spans="1:4" ht="12.75" x14ac:dyDescent="0.35">
      <c r="A4738" s="4">
        <v>44886</v>
      </c>
      <c r="B4738" s="3" t="s">
        <v>71</v>
      </c>
      <c r="C4738" s="3">
        <v>0.1</v>
      </c>
      <c r="D4738" s="3">
        <v>1</v>
      </c>
    </row>
    <row r="4739" spans="1:4" ht="12.75" x14ac:dyDescent="0.35">
      <c r="A4739" s="4">
        <v>44916</v>
      </c>
      <c r="B4739" s="3" t="s">
        <v>71</v>
      </c>
      <c r="C4739" s="3">
        <v>0.1</v>
      </c>
      <c r="D4739" s="3">
        <v>1</v>
      </c>
    </row>
    <row r="4740" spans="1:4" ht="12.75" x14ac:dyDescent="0.35">
      <c r="A4740" s="4">
        <v>44582</v>
      </c>
      <c r="B4740" s="3" t="s">
        <v>26</v>
      </c>
      <c r="C4740" s="3">
        <v>0.09</v>
      </c>
      <c r="D4740" s="3">
        <v>1</v>
      </c>
    </row>
    <row r="4741" spans="1:4" ht="12.75" x14ac:dyDescent="0.35">
      <c r="A4741" s="4">
        <v>44702</v>
      </c>
      <c r="B4741" s="3" t="s">
        <v>1000</v>
      </c>
      <c r="C4741" s="3">
        <v>0.09</v>
      </c>
      <c r="D4741" s="3">
        <v>1</v>
      </c>
    </row>
    <row r="4742" spans="1:4" ht="12.75" x14ac:dyDescent="0.35">
      <c r="A4742" s="4">
        <v>44702</v>
      </c>
      <c r="B4742" s="3" t="s">
        <v>847</v>
      </c>
      <c r="C4742" s="3">
        <v>0.09</v>
      </c>
      <c r="D4742" s="3">
        <v>1</v>
      </c>
    </row>
    <row r="4743" spans="1:4" ht="12.75" x14ac:dyDescent="0.35">
      <c r="A4743" s="4">
        <v>44702</v>
      </c>
      <c r="B4743" s="3" t="s">
        <v>596</v>
      </c>
      <c r="C4743" s="3">
        <v>0.09</v>
      </c>
      <c r="D4743" s="3">
        <v>1</v>
      </c>
    </row>
    <row r="4744" spans="1:4" ht="12.75" x14ac:dyDescent="0.35">
      <c r="A4744" s="5">
        <v>44733</v>
      </c>
      <c r="B4744" s="3" t="s">
        <v>1166</v>
      </c>
      <c r="C4744" s="3">
        <v>0.09</v>
      </c>
      <c r="D4744" s="3">
        <v>1</v>
      </c>
    </row>
    <row r="4745" spans="1:4" ht="12.75" x14ac:dyDescent="0.35">
      <c r="A4745" s="5">
        <v>44733</v>
      </c>
      <c r="B4745" s="3" t="s">
        <v>1241</v>
      </c>
      <c r="C4745" s="3">
        <v>0.09</v>
      </c>
      <c r="D4745" s="3">
        <v>1</v>
      </c>
    </row>
    <row r="4746" spans="1:4" ht="12.75" x14ac:dyDescent="0.35">
      <c r="A4746" s="5">
        <v>44733</v>
      </c>
      <c r="B4746" s="3" t="s">
        <v>1363</v>
      </c>
      <c r="C4746" s="3">
        <v>0.09</v>
      </c>
      <c r="D4746" s="3">
        <v>1</v>
      </c>
    </row>
    <row r="4747" spans="1:4" ht="12.75" x14ac:dyDescent="0.35">
      <c r="A4747" s="4">
        <v>44763</v>
      </c>
      <c r="B4747" s="3" t="s">
        <v>1471</v>
      </c>
      <c r="C4747" s="3">
        <v>0.09</v>
      </c>
      <c r="D4747" s="3">
        <v>1</v>
      </c>
    </row>
    <row r="4748" spans="1:4" ht="12.75" x14ac:dyDescent="0.35">
      <c r="A4748" s="4">
        <v>44763</v>
      </c>
      <c r="B4748" s="3" t="s">
        <v>1458</v>
      </c>
      <c r="C4748" s="3">
        <v>0.09</v>
      </c>
      <c r="D4748" s="3">
        <v>1</v>
      </c>
    </row>
    <row r="4749" spans="1:4" ht="12.75" x14ac:dyDescent="0.35">
      <c r="A4749" s="4">
        <v>44763</v>
      </c>
      <c r="B4749" s="3" t="s">
        <v>1213</v>
      </c>
      <c r="C4749" s="3">
        <v>0.09</v>
      </c>
      <c r="D4749" s="3">
        <v>1</v>
      </c>
    </row>
    <row r="4750" spans="1:4" ht="12.75" x14ac:dyDescent="0.35">
      <c r="A4750" s="4">
        <v>44763</v>
      </c>
      <c r="B4750" s="3" t="s">
        <v>1556</v>
      </c>
      <c r="C4750" s="3">
        <v>0.09</v>
      </c>
      <c r="D4750" s="3">
        <v>1</v>
      </c>
    </row>
    <row r="4751" spans="1:4" ht="12.75" x14ac:dyDescent="0.35">
      <c r="A4751" s="4">
        <v>44794</v>
      </c>
      <c r="B4751" s="3" t="s">
        <v>1661</v>
      </c>
      <c r="C4751" s="3">
        <v>0.09</v>
      </c>
      <c r="D4751" s="3">
        <v>1</v>
      </c>
    </row>
    <row r="4752" spans="1:4" ht="12.75" x14ac:dyDescent="0.35">
      <c r="A4752" s="4">
        <v>44794</v>
      </c>
      <c r="B4752" s="3" t="s">
        <v>1705</v>
      </c>
      <c r="C4752" s="3">
        <v>0.09</v>
      </c>
      <c r="D4752" s="3">
        <v>1</v>
      </c>
    </row>
    <row r="4753" spans="1:4" ht="12.75" x14ac:dyDescent="0.35">
      <c r="A4753" s="4">
        <v>44794</v>
      </c>
      <c r="B4753" s="3" t="s">
        <v>1725</v>
      </c>
      <c r="C4753" s="3">
        <v>0.09</v>
      </c>
      <c r="D4753" s="3">
        <v>1</v>
      </c>
    </row>
    <row r="4754" spans="1:4" ht="12.75" x14ac:dyDescent="0.35">
      <c r="A4754" s="4">
        <v>44794</v>
      </c>
      <c r="B4754" s="3" t="s">
        <v>1726</v>
      </c>
      <c r="C4754" s="3">
        <v>0.09</v>
      </c>
      <c r="D4754" s="3">
        <v>1</v>
      </c>
    </row>
    <row r="4755" spans="1:4" ht="12.75" x14ac:dyDescent="0.35">
      <c r="A4755" s="4">
        <v>44825</v>
      </c>
      <c r="B4755" s="3" t="s">
        <v>835</v>
      </c>
      <c r="C4755" s="3">
        <v>0.09</v>
      </c>
      <c r="D4755" s="3">
        <v>2</v>
      </c>
    </row>
    <row r="4756" spans="1:4" ht="12.75" x14ac:dyDescent="0.35">
      <c r="A4756" s="4">
        <v>44825</v>
      </c>
      <c r="B4756" s="3" t="s">
        <v>1771</v>
      </c>
      <c r="C4756" s="3">
        <v>0.09</v>
      </c>
      <c r="D4756" s="3">
        <v>1</v>
      </c>
    </row>
    <row r="4757" spans="1:4" ht="12.75" x14ac:dyDescent="0.35">
      <c r="A4757" s="4">
        <v>44855</v>
      </c>
      <c r="B4757" s="3" t="s">
        <v>568</v>
      </c>
      <c r="C4757" s="3">
        <v>0.09</v>
      </c>
      <c r="D4757" s="3">
        <v>6</v>
      </c>
    </row>
    <row r="4758" spans="1:4" ht="12.75" x14ac:dyDescent="0.35">
      <c r="A4758" s="4">
        <v>44886</v>
      </c>
      <c r="B4758" s="3" t="s">
        <v>1610</v>
      </c>
      <c r="C4758" s="3">
        <v>0.09</v>
      </c>
      <c r="D4758" s="3">
        <v>1</v>
      </c>
    </row>
    <row r="4759" spans="1:4" ht="12.75" x14ac:dyDescent="0.35">
      <c r="A4759" s="4">
        <v>44886</v>
      </c>
      <c r="B4759" s="3" t="s">
        <v>1086</v>
      </c>
      <c r="C4759" s="3">
        <v>0.09</v>
      </c>
      <c r="D4759" s="3">
        <v>1</v>
      </c>
    </row>
    <row r="4760" spans="1:4" ht="12.75" x14ac:dyDescent="0.35">
      <c r="A4760" s="4">
        <v>44916</v>
      </c>
      <c r="B4760" s="3" t="s">
        <v>1841</v>
      </c>
      <c r="C4760" s="3">
        <v>0.09</v>
      </c>
      <c r="D4760" s="3">
        <v>1</v>
      </c>
    </row>
    <row r="4761" spans="1:4" ht="12.75" x14ac:dyDescent="0.35">
      <c r="A4761" s="4">
        <v>44582</v>
      </c>
      <c r="B4761" s="3" t="s">
        <v>54</v>
      </c>
      <c r="C4761" s="3">
        <v>0.08</v>
      </c>
      <c r="D4761" s="3">
        <v>1</v>
      </c>
    </row>
    <row r="4762" spans="1:4" ht="12.75" x14ac:dyDescent="0.35">
      <c r="A4762" s="4">
        <v>44582</v>
      </c>
      <c r="B4762" s="3" t="s">
        <v>199</v>
      </c>
      <c r="C4762" s="3">
        <v>0.08</v>
      </c>
      <c r="D4762" s="3">
        <v>1</v>
      </c>
    </row>
    <row r="4763" spans="1:4" ht="12.75" x14ac:dyDescent="0.35">
      <c r="A4763" s="4">
        <v>44582</v>
      </c>
      <c r="B4763" s="3" t="s">
        <v>256</v>
      </c>
      <c r="C4763" s="3">
        <v>0.08</v>
      </c>
      <c r="D4763" s="3">
        <v>1</v>
      </c>
    </row>
    <row r="4764" spans="1:4" ht="12.75" x14ac:dyDescent="0.35">
      <c r="A4764" s="4">
        <v>44582</v>
      </c>
      <c r="B4764" s="3" t="s">
        <v>345</v>
      </c>
      <c r="C4764" s="3">
        <v>0.08</v>
      </c>
      <c r="D4764" s="3">
        <v>1</v>
      </c>
    </row>
    <row r="4765" spans="1:4" ht="12.75" x14ac:dyDescent="0.35">
      <c r="A4765" s="4">
        <v>44582</v>
      </c>
      <c r="B4765" s="3" t="s">
        <v>349</v>
      </c>
      <c r="C4765" s="3">
        <v>0.08</v>
      </c>
      <c r="D4765" s="3">
        <v>1</v>
      </c>
    </row>
    <row r="4766" spans="1:4" ht="12.75" x14ac:dyDescent="0.35">
      <c r="A4766" s="4">
        <v>44613</v>
      </c>
      <c r="B4766" s="3" t="s">
        <v>71</v>
      </c>
      <c r="C4766" s="3">
        <v>0.08</v>
      </c>
      <c r="D4766" s="3">
        <v>1</v>
      </c>
    </row>
    <row r="4767" spans="1:4" ht="12.75" x14ac:dyDescent="0.35">
      <c r="A4767" s="4">
        <v>44613</v>
      </c>
      <c r="B4767" s="3" t="s">
        <v>393</v>
      </c>
      <c r="C4767" s="3">
        <v>0.08</v>
      </c>
      <c r="D4767" s="3">
        <v>1</v>
      </c>
    </row>
    <row r="4768" spans="1:4" ht="12.75" x14ac:dyDescent="0.35">
      <c r="A4768" s="4">
        <v>44613</v>
      </c>
      <c r="B4768" s="3" t="s">
        <v>547</v>
      </c>
      <c r="C4768" s="3">
        <v>0.08</v>
      </c>
      <c r="D4768" s="3">
        <v>1</v>
      </c>
    </row>
    <row r="4769" spans="1:4" ht="12.75" x14ac:dyDescent="0.35">
      <c r="A4769" s="4">
        <v>44613</v>
      </c>
      <c r="B4769" s="3" t="s">
        <v>313</v>
      </c>
      <c r="C4769" s="3">
        <v>0.08</v>
      </c>
      <c r="D4769" s="3">
        <v>2</v>
      </c>
    </row>
    <row r="4770" spans="1:4" ht="12.75" x14ac:dyDescent="0.35">
      <c r="A4770" s="4">
        <v>44641</v>
      </c>
      <c r="B4770" s="3" t="s">
        <v>204</v>
      </c>
      <c r="C4770" s="3">
        <v>0.08</v>
      </c>
      <c r="D4770" s="3">
        <v>1</v>
      </c>
    </row>
    <row r="4771" spans="1:4" ht="12.75" x14ac:dyDescent="0.35">
      <c r="A4771" s="4">
        <v>44672</v>
      </c>
      <c r="B4771" s="3" t="s">
        <v>990</v>
      </c>
      <c r="C4771" s="3">
        <v>0.08</v>
      </c>
      <c r="D4771" s="3">
        <v>1</v>
      </c>
    </row>
    <row r="4772" spans="1:4" ht="12.75" x14ac:dyDescent="0.35">
      <c r="A4772" s="4">
        <v>44702</v>
      </c>
      <c r="B4772" s="3" t="s">
        <v>1044</v>
      </c>
      <c r="C4772" s="3">
        <v>0.08</v>
      </c>
      <c r="D4772" s="3">
        <v>1</v>
      </c>
    </row>
    <row r="4773" spans="1:4" ht="12.75" x14ac:dyDescent="0.35">
      <c r="A4773" s="4">
        <v>44702</v>
      </c>
      <c r="B4773" s="3" t="s">
        <v>1116</v>
      </c>
      <c r="C4773" s="3">
        <v>0.08</v>
      </c>
      <c r="D4773" s="3">
        <v>1</v>
      </c>
    </row>
    <row r="4774" spans="1:4" ht="12.75" x14ac:dyDescent="0.35">
      <c r="A4774" s="4">
        <v>44702</v>
      </c>
      <c r="B4774" s="3" t="s">
        <v>1117</v>
      </c>
      <c r="C4774" s="3">
        <v>0.08</v>
      </c>
      <c r="D4774" s="3">
        <v>1</v>
      </c>
    </row>
    <row r="4775" spans="1:4" ht="12.75" x14ac:dyDescent="0.35">
      <c r="A4775" s="5">
        <v>44733</v>
      </c>
      <c r="B4775" s="3" t="s">
        <v>1330</v>
      </c>
      <c r="C4775" s="3">
        <v>0.08</v>
      </c>
      <c r="D4775" s="3">
        <v>1</v>
      </c>
    </row>
    <row r="4776" spans="1:4" ht="12.75" x14ac:dyDescent="0.35">
      <c r="A4776" s="5">
        <v>44733</v>
      </c>
      <c r="B4776" s="3" t="s">
        <v>211</v>
      </c>
      <c r="C4776" s="3">
        <v>0.08</v>
      </c>
      <c r="D4776" s="3">
        <v>1</v>
      </c>
    </row>
    <row r="4777" spans="1:4" ht="12.75" x14ac:dyDescent="0.35">
      <c r="A4777" s="4">
        <v>44763</v>
      </c>
      <c r="B4777" s="3" t="s">
        <v>1477</v>
      </c>
      <c r="C4777" s="3">
        <v>0.08</v>
      </c>
      <c r="D4777" s="3">
        <v>1</v>
      </c>
    </row>
    <row r="4778" spans="1:4" ht="12.75" x14ac:dyDescent="0.35">
      <c r="A4778" s="4">
        <v>44763</v>
      </c>
      <c r="B4778" s="3" t="s">
        <v>1310</v>
      </c>
      <c r="C4778" s="3">
        <v>0.08</v>
      </c>
      <c r="D4778" s="3">
        <v>2</v>
      </c>
    </row>
    <row r="4779" spans="1:4" ht="12.75" x14ac:dyDescent="0.35">
      <c r="A4779" s="4">
        <v>44794</v>
      </c>
      <c r="B4779" s="3" t="s">
        <v>822</v>
      </c>
      <c r="C4779" s="3">
        <v>0.08</v>
      </c>
      <c r="D4779" s="3">
        <v>1</v>
      </c>
    </row>
    <row r="4780" spans="1:4" ht="12.75" x14ac:dyDescent="0.35">
      <c r="A4780" s="4">
        <v>44794</v>
      </c>
      <c r="B4780" s="3" t="s">
        <v>1182</v>
      </c>
      <c r="C4780" s="3">
        <v>0.08</v>
      </c>
      <c r="D4780" s="3">
        <v>1</v>
      </c>
    </row>
    <row r="4781" spans="1:4" ht="12.75" x14ac:dyDescent="0.35">
      <c r="A4781" s="4">
        <v>44794</v>
      </c>
      <c r="B4781" s="3" t="s">
        <v>199</v>
      </c>
      <c r="C4781" s="3">
        <v>0.08</v>
      </c>
      <c r="D4781" s="3">
        <v>1</v>
      </c>
    </row>
    <row r="4782" spans="1:4" ht="12.75" x14ac:dyDescent="0.35">
      <c r="A4782" s="4">
        <v>44794</v>
      </c>
      <c r="B4782" s="3" t="s">
        <v>1595</v>
      </c>
      <c r="C4782" s="3">
        <v>0.08</v>
      </c>
      <c r="D4782" s="3">
        <v>1</v>
      </c>
    </row>
    <row r="4783" spans="1:4" ht="12.75" x14ac:dyDescent="0.35">
      <c r="A4783" s="4">
        <v>44794</v>
      </c>
      <c r="B4783" s="3" t="s">
        <v>1609</v>
      </c>
      <c r="C4783" s="3">
        <v>0.08</v>
      </c>
      <c r="D4783" s="3">
        <v>1</v>
      </c>
    </row>
    <row r="4784" spans="1:4" ht="12.75" x14ac:dyDescent="0.35">
      <c r="A4784" s="4">
        <v>44794</v>
      </c>
      <c r="B4784" s="3" t="s">
        <v>1216</v>
      </c>
      <c r="C4784" s="3">
        <v>0.08</v>
      </c>
      <c r="D4784" s="3">
        <v>1</v>
      </c>
    </row>
    <row r="4785" spans="1:4" ht="12.75" x14ac:dyDescent="0.35">
      <c r="A4785" s="4">
        <v>44794</v>
      </c>
      <c r="B4785" s="3" t="s">
        <v>1637</v>
      </c>
      <c r="C4785" s="3">
        <v>0.08</v>
      </c>
      <c r="D4785" s="3">
        <v>1</v>
      </c>
    </row>
    <row r="4786" spans="1:4" ht="12.75" x14ac:dyDescent="0.35">
      <c r="A4786" s="4">
        <v>44794</v>
      </c>
      <c r="B4786" s="3" t="s">
        <v>1227</v>
      </c>
      <c r="C4786" s="3">
        <v>0.08</v>
      </c>
      <c r="D4786" s="3">
        <v>2</v>
      </c>
    </row>
    <row r="4787" spans="1:4" ht="12.75" x14ac:dyDescent="0.35">
      <c r="A4787" s="4">
        <v>44794</v>
      </c>
      <c r="B4787" s="3" t="s">
        <v>1460</v>
      </c>
      <c r="C4787" s="3">
        <v>0.08</v>
      </c>
      <c r="D4787" s="3">
        <v>1</v>
      </c>
    </row>
    <row r="4788" spans="1:4" ht="12.75" x14ac:dyDescent="0.35">
      <c r="A4788" s="4">
        <v>44794</v>
      </c>
      <c r="B4788" s="3" t="s">
        <v>1437</v>
      </c>
      <c r="C4788" s="3">
        <v>0.08</v>
      </c>
      <c r="D4788" s="3">
        <v>1</v>
      </c>
    </row>
    <row r="4789" spans="1:4" ht="12.75" x14ac:dyDescent="0.35">
      <c r="A4789" s="4">
        <v>44794</v>
      </c>
      <c r="B4789" s="3" t="s">
        <v>1398</v>
      </c>
      <c r="C4789" s="3">
        <v>0.08</v>
      </c>
      <c r="D4789" s="3">
        <v>1</v>
      </c>
    </row>
    <row r="4790" spans="1:4" ht="12.75" x14ac:dyDescent="0.35">
      <c r="A4790" s="4">
        <v>44825</v>
      </c>
      <c r="B4790" s="3" t="s">
        <v>568</v>
      </c>
      <c r="C4790" s="3">
        <v>0.08</v>
      </c>
      <c r="D4790" s="3">
        <v>6</v>
      </c>
    </row>
    <row r="4791" spans="1:4" ht="12.75" x14ac:dyDescent="0.35">
      <c r="A4791" s="4">
        <v>44825</v>
      </c>
      <c r="B4791" s="3" t="s">
        <v>431</v>
      </c>
      <c r="C4791" s="3">
        <v>0.08</v>
      </c>
      <c r="D4791" s="3">
        <v>3</v>
      </c>
    </row>
    <row r="4792" spans="1:4" ht="12.75" x14ac:dyDescent="0.35">
      <c r="A4792" s="4">
        <v>44825</v>
      </c>
      <c r="B4792" s="3" t="s">
        <v>1725</v>
      </c>
      <c r="C4792" s="3">
        <v>0.08</v>
      </c>
      <c r="D4792" s="3">
        <v>1</v>
      </c>
    </row>
    <row r="4793" spans="1:4" ht="12.75" x14ac:dyDescent="0.35">
      <c r="A4793" s="4">
        <v>44825</v>
      </c>
      <c r="B4793" s="3" t="s">
        <v>1269</v>
      </c>
      <c r="C4793" s="3">
        <v>0.08</v>
      </c>
      <c r="D4793" s="3">
        <v>1</v>
      </c>
    </row>
    <row r="4794" spans="1:4" ht="12.75" x14ac:dyDescent="0.35">
      <c r="A4794" s="4">
        <v>44855</v>
      </c>
      <c r="B4794" s="3" t="s">
        <v>666</v>
      </c>
      <c r="C4794" s="3">
        <v>0.08</v>
      </c>
      <c r="D4794" s="3">
        <v>1</v>
      </c>
    </row>
    <row r="4795" spans="1:4" ht="12.75" x14ac:dyDescent="0.35">
      <c r="A4795" s="4">
        <v>44886</v>
      </c>
      <c r="B4795" s="3" t="s">
        <v>1774</v>
      </c>
      <c r="C4795" s="3">
        <v>0.08</v>
      </c>
      <c r="D4795" s="3">
        <v>2</v>
      </c>
    </row>
    <row r="4796" spans="1:4" ht="12.75" x14ac:dyDescent="0.35">
      <c r="A4796" s="4">
        <v>44916</v>
      </c>
      <c r="B4796" s="3" t="s">
        <v>1894</v>
      </c>
      <c r="C4796" s="3">
        <v>0.08</v>
      </c>
      <c r="D4796" s="3">
        <v>1</v>
      </c>
    </row>
    <row r="4797" spans="1:4" ht="12.75" x14ac:dyDescent="0.35">
      <c r="A4797" s="4">
        <v>44582</v>
      </c>
      <c r="B4797" s="3" t="s">
        <v>32</v>
      </c>
      <c r="C4797" s="3">
        <v>7.0000000000000007E-2</v>
      </c>
      <c r="D4797" s="3">
        <v>1</v>
      </c>
    </row>
    <row r="4798" spans="1:4" ht="12.75" x14ac:dyDescent="0.35">
      <c r="A4798" s="4">
        <v>44582</v>
      </c>
      <c r="B4798" s="3" t="s">
        <v>77</v>
      </c>
      <c r="C4798" s="3">
        <v>7.0000000000000007E-2</v>
      </c>
      <c r="D4798" s="3">
        <v>1</v>
      </c>
    </row>
    <row r="4799" spans="1:4" ht="12.75" x14ac:dyDescent="0.35">
      <c r="A4799" s="4">
        <v>44582</v>
      </c>
      <c r="B4799" s="3" t="s">
        <v>208</v>
      </c>
      <c r="C4799" s="3">
        <v>7.0000000000000007E-2</v>
      </c>
      <c r="D4799" s="3">
        <v>1</v>
      </c>
    </row>
    <row r="4800" spans="1:4" ht="12.75" x14ac:dyDescent="0.35">
      <c r="A4800" s="4">
        <v>44582</v>
      </c>
      <c r="B4800" s="3" t="s">
        <v>263</v>
      </c>
      <c r="C4800" s="3">
        <v>7.0000000000000007E-2</v>
      </c>
      <c r="D4800" s="3">
        <v>1</v>
      </c>
    </row>
    <row r="4801" spans="1:4" ht="12.75" x14ac:dyDescent="0.35">
      <c r="A4801" s="4">
        <v>44582</v>
      </c>
      <c r="B4801" s="3" t="s">
        <v>288</v>
      </c>
      <c r="C4801" s="3">
        <v>7.0000000000000007E-2</v>
      </c>
      <c r="D4801" s="3">
        <v>1</v>
      </c>
    </row>
    <row r="4802" spans="1:4" ht="12.75" x14ac:dyDescent="0.35">
      <c r="A4802" s="4">
        <v>44613</v>
      </c>
      <c r="B4802" s="3" t="s">
        <v>468</v>
      </c>
      <c r="C4802" s="3">
        <v>7.0000000000000007E-2</v>
      </c>
      <c r="D4802" s="3">
        <v>1</v>
      </c>
    </row>
    <row r="4803" spans="1:4" ht="12.75" x14ac:dyDescent="0.35">
      <c r="A4803" s="4">
        <v>44613</v>
      </c>
      <c r="B4803" s="3" t="s">
        <v>184</v>
      </c>
      <c r="C4803" s="3">
        <v>7.0000000000000007E-2</v>
      </c>
      <c r="D4803" s="3">
        <v>2</v>
      </c>
    </row>
    <row r="4804" spans="1:4" ht="12.75" x14ac:dyDescent="0.35">
      <c r="A4804" s="4">
        <v>44641</v>
      </c>
      <c r="B4804" s="3" t="s">
        <v>796</v>
      </c>
      <c r="C4804" s="3">
        <v>7.0000000000000007E-2</v>
      </c>
      <c r="D4804" s="3">
        <v>1</v>
      </c>
    </row>
    <row r="4805" spans="1:4" ht="12.75" x14ac:dyDescent="0.35">
      <c r="A4805" s="4">
        <v>44672</v>
      </c>
      <c r="B4805" s="3" t="s">
        <v>905</v>
      </c>
      <c r="C4805" s="3">
        <v>7.0000000000000007E-2</v>
      </c>
      <c r="D4805" s="3">
        <v>1</v>
      </c>
    </row>
    <row r="4806" spans="1:4" ht="12.75" x14ac:dyDescent="0.35">
      <c r="A4806" s="4">
        <v>44702</v>
      </c>
      <c r="B4806" s="3" t="s">
        <v>1106</v>
      </c>
      <c r="C4806" s="3">
        <v>7.0000000000000007E-2</v>
      </c>
      <c r="D4806" s="3">
        <v>1</v>
      </c>
    </row>
    <row r="4807" spans="1:4" ht="12.75" x14ac:dyDescent="0.35">
      <c r="A4807" s="5">
        <v>44733</v>
      </c>
      <c r="B4807" s="3" t="s">
        <v>1218</v>
      </c>
      <c r="C4807" s="3">
        <v>7.0000000000000007E-2</v>
      </c>
      <c r="D4807" s="3">
        <v>1</v>
      </c>
    </row>
    <row r="4808" spans="1:4" ht="12.75" x14ac:dyDescent="0.35">
      <c r="A4808" s="4">
        <v>44763</v>
      </c>
      <c r="B4808" s="3" t="s">
        <v>356</v>
      </c>
      <c r="C4808" s="3">
        <v>7.0000000000000007E-2</v>
      </c>
      <c r="D4808" s="3">
        <v>2</v>
      </c>
    </row>
    <row r="4809" spans="1:4" ht="12.75" x14ac:dyDescent="0.35">
      <c r="A4809" s="4">
        <v>44794</v>
      </c>
      <c r="B4809" s="3" t="s">
        <v>1581</v>
      </c>
      <c r="C4809" s="3">
        <v>7.0000000000000007E-2</v>
      </c>
      <c r="D4809" s="3">
        <v>1</v>
      </c>
    </row>
    <row r="4810" spans="1:4" ht="12.75" x14ac:dyDescent="0.35">
      <c r="A4810" s="4">
        <v>44794</v>
      </c>
      <c r="B4810" s="3" t="s">
        <v>1649</v>
      </c>
      <c r="C4810" s="3">
        <v>7.0000000000000007E-2</v>
      </c>
      <c r="D4810" s="3">
        <v>1</v>
      </c>
    </row>
    <row r="4811" spans="1:4" ht="12.75" x14ac:dyDescent="0.35">
      <c r="A4811" s="4">
        <v>44794</v>
      </c>
      <c r="B4811" s="3" t="s">
        <v>28</v>
      </c>
      <c r="C4811" s="3">
        <v>7.0000000000000007E-2</v>
      </c>
      <c r="D4811" s="3">
        <v>1</v>
      </c>
    </row>
    <row r="4812" spans="1:4" ht="12.75" x14ac:dyDescent="0.35">
      <c r="A4812" s="4">
        <v>44855</v>
      </c>
      <c r="B4812" s="3" t="s">
        <v>1178</v>
      </c>
      <c r="C4812" s="3">
        <v>7.0000000000000007E-2</v>
      </c>
      <c r="D4812" s="3">
        <v>1</v>
      </c>
    </row>
    <row r="4813" spans="1:4" ht="12.75" x14ac:dyDescent="0.35">
      <c r="A4813" s="4">
        <v>44886</v>
      </c>
      <c r="B4813" s="3" t="s">
        <v>1180</v>
      </c>
      <c r="C4813" s="3">
        <v>7.0000000000000007E-2</v>
      </c>
      <c r="D4813" s="3">
        <v>1</v>
      </c>
    </row>
    <row r="4814" spans="1:4" ht="12.75" x14ac:dyDescent="0.35">
      <c r="A4814" s="4">
        <v>44886</v>
      </c>
      <c r="B4814" s="3" t="s">
        <v>1057</v>
      </c>
      <c r="C4814" s="3">
        <v>7.0000000000000007E-2</v>
      </c>
      <c r="D4814" s="3">
        <v>1</v>
      </c>
    </row>
    <row r="4815" spans="1:4" ht="12.75" x14ac:dyDescent="0.35">
      <c r="A4815" s="4">
        <v>44886</v>
      </c>
      <c r="B4815" s="3" t="s">
        <v>1178</v>
      </c>
      <c r="C4815" s="3">
        <v>7.0000000000000007E-2</v>
      </c>
      <c r="D4815" s="3">
        <v>1</v>
      </c>
    </row>
    <row r="4816" spans="1:4" ht="12.75" x14ac:dyDescent="0.35">
      <c r="A4816" s="4">
        <v>44886</v>
      </c>
      <c r="B4816" s="3" t="s">
        <v>1233</v>
      </c>
      <c r="C4816" s="3">
        <v>7.0000000000000007E-2</v>
      </c>
      <c r="D4816" s="3">
        <v>1</v>
      </c>
    </row>
    <row r="4817" spans="1:4" ht="12.75" x14ac:dyDescent="0.35">
      <c r="A4817" s="4">
        <v>44916</v>
      </c>
      <c r="B4817" s="3" t="s">
        <v>1875</v>
      </c>
      <c r="C4817" s="3">
        <v>7.0000000000000007E-2</v>
      </c>
      <c r="D4817" s="3">
        <v>1</v>
      </c>
    </row>
    <row r="4818" spans="1:4" ht="12.75" x14ac:dyDescent="0.35">
      <c r="A4818" s="4">
        <v>44916</v>
      </c>
      <c r="B4818" s="3" t="s">
        <v>1888</v>
      </c>
      <c r="C4818" s="3">
        <v>7.0000000000000007E-2</v>
      </c>
      <c r="D4818" s="3">
        <v>1</v>
      </c>
    </row>
    <row r="4819" spans="1:4" ht="12.75" x14ac:dyDescent="0.35">
      <c r="A4819" s="4">
        <v>44582</v>
      </c>
      <c r="B4819" s="3" t="s">
        <v>170</v>
      </c>
      <c r="C4819" s="3">
        <v>0.06</v>
      </c>
      <c r="D4819" s="3">
        <v>1</v>
      </c>
    </row>
    <row r="4820" spans="1:4" ht="12.75" x14ac:dyDescent="0.35">
      <c r="A4820" s="4">
        <v>44582</v>
      </c>
      <c r="B4820" s="3" t="s">
        <v>193</v>
      </c>
      <c r="C4820" s="3">
        <v>0.06</v>
      </c>
      <c r="D4820" s="3">
        <v>1</v>
      </c>
    </row>
    <row r="4821" spans="1:4" ht="12.75" x14ac:dyDescent="0.35">
      <c r="A4821" s="4">
        <v>44582</v>
      </c>
      <c r="B4821" s="3" t="s">
        <v>214</v>
      </c>
      <c r="C4821" s="3">
        <v>0.06</v>
      </c>
      <c r="D4821" s="3">
        <v>1</v>
      </c>
    </row>
    <row r="4822" spans="1:4" ht="12.75" x14ac:dyDescent="0.35">
      <c r="A4822" s="4">
        <v>44582</v>
      </c>
      <c r="B4822" s="3" t="s">
        <v>300</v>
      </c>
      <c r="C4822" s="3">
        <v>0.06</v>
      </c>
      <c r="D4822" s="3">
        <v>1</v>
      </c>
    </row>
    <row r="4823" spans="1:4" ht="12.75" x14ac:dyDescent="0.35">
      <c r="A4823" s="4">
        <v>44613</v>
      </c>
      <c r="B4823" s="3" t="s">
        <v>450</v>
      </c>
      <c r="C4823" s="3">
        <v>0.06</v>
      </c>
      <c r="D4823" s="3">
        <v>1</v>
      </c>
    </row>
    <row r="4824" spans="1:4" ht="12.75" x14ac:dyDescent="0.35">
      <c r="A4824" s="4">
        <v>44613</v>
      </c>
      <c r="B4824" s="3" t="s">
        <v>26</v>
      </c>
      <c r="C4824" s="3">
        <v>0.06</v>
      </c>
      <c r="D4824" s="3">
        <v>1</v>
      </c>
    </row>
    <row r="4825" spans="1:4" ht="12.75" x14ac:dyDescent="0.35">
      <c r="A4825" s="4">
        <v>44672</v>
      </c>
      <c r="B4825" s="3" t="s">
        <v>896</v>
      </c>
      <c r="C4825" s="3">
        <v>0.06</v>
      </c>
      <c r="D4825" s="3">
        <v>1</v>
      </c>
    </row>
    <row r="4826" spans="1:4" ht="12.75" x14ac:dyDescent="0.35">
      <c r="A4826" s="4">
        <v>44672</v>
      </c>
      <c r="B4826" s="3" t="s">
        <v>29</v>
      </c>
      <c r="C4826" s="3">
        <v>0.06</v>
      </c>
      <c r="D4826" s="3">
        <v>1</v>
      </c>
    </row>
    <row r="4827" spans="1:4" ht="12.75" x14ac:dyDescent="0.35">
      <c r="A4827" s="4">
        <v>44702</v>
      </c>
      <c r="B4827" s="3" t="s">
        <v>1110</v>
      </c>
      <c r="C4827" s="3">
        <v>0.06</v>
      </c>
      <c r="D4827" s="3">
        <v>1</v>
      </c>
    </row>
    <row r="4828" spans="1:4" ht="12.75" x14ac:dyDescent="0.35">
      <c r="A4828" s="5">
        <v>44733</v>
      </c>
      <c r="B4828" s="3" t="s">
        <v>1275</v>
      </c>
      <c r="C4828" s="3">
        <v>0.06</v>
      </c>
      <c r="D4828" s="3">
        <v>1</v>
      </c>
    </row>
    <row r="4829" spans="1:4" ht="12.75" x14ac:dyDescent="0.35">
      <c r="A4829" s="5">
        <v>44733</v>
      </c>
      <c r="B4829" s="3" t="s">
        <v>1287</v>
      </c>
      <c r="C4829" s="3">
        <v>0.06</v>
      </c>
      <c r="D4829" s="3">
        <v>1</v>
      </c>
    </row>
    <row r="4830" spans="1:4" ht="12.75" x14ac:dyDescent="0.35">
      <c r="A4830" s="4">
        <v>44763</v>
      </c>
      <c r="B4830" s="3" t="s">
        <v>1007</v>
      </c>
      <c r="C4830" s="3">
        <v>0.06</v>
      </c>
      <c r="D4830" s="3">
        <v>1</v>
      </c>
    </row>
    <row r="4831" spans="1:4" ht="12.75" x14ac:dyDescent="0.35">
      <c r="A4831" s="4">
        <v>44763</v>
      </c>
      <c r="B4831" s="3" t="s">
        <v>1503</v>
      </c>
      <c r="C4831" s="3">
        <v>0.06</v>
      </c>
      <c r="D4831" s="3">
        <v>1</v>
      </c>
    </row>
    <row r="4832" spans="1:4" ht="12.75" x14ac:dyDescent="0.35">
      <c r="A4832" s="4">
        <v>44763</v>
      </c>
      <c r="B4832" s="3" t="s">
        <v>1530</v>
      </c>
      <c r="C4832" s="3">
        <v>0.06</v>
      </c>
      <c r="D4832" s="3">
        <v>1</v>
      </c>
    </row>
    <row r="4833" spans="1:4" ht="12.75" x14ac:dyDescent="0.35">
      <c r="A4833" s="4">
        <v>44763</v>
      </c>
      <c r="B4833" s="3" t="s">
        <v>1103</v>
      </c>
      <c r="C4833" s="3">
        <v>0.06</v>
      </c>
      <c r="D4833" s="3">
        <v>1</v>
      </c>
    </row>
    <row r="4834" spans="1:4" ht="12.75" x14ac:dyDescent="0.35">
      <c r="A4834" s="4">
        <v>44794</v>
      </c>
      <c r="B4834" s="3" t="s">
        <v>1273</v>
      </c>
      <c r="C4834" s="3">
        <v>0.06</v>
      </c>
      <c r="D4834" s="3">
        <v>1</v>
      </c>
    </row>
    <row r="4835" spans="1:4" ht="12.75" x14ac:dyDescent="0.35">
      <c r="A4835" s="4">
        <v>44794</v>
      </c>
      <c r="B4835" s="3" t="s">
        <v>1671</v>
      </c>
      <c r="C4835" s="3">
        <v>0.06</v>
      </c>
      <c r="D4835" s="3">
        <v>1</v>
      </c>
    </row>
    <row r="4836" spans="1:4" ht="12.75" x14ac:dyDescent="0.35">
      <c r="A4836" s="4">
        <v>44794</v>
      </c>
      <c r="B4836" s="3" t="s">
        <v>1354</v>
      </c>
      <c r="C4836" s="3">
        <v>0.06</v>
      </c>
      <c r="D4836" s="3">
        <v>1</v>
      </c>
    </row>
    <row r="4837" spans="1:4" ht="12.75" x14ac:dyDescent="0.35">
      <c r="A4837" s="4">
        <v>44794</v>
      </c>
      <c r="B4837" s="3" t="s">
        <v>1178</v>
      </c>
      <c r="C4837" s="3">
        <v>0.06</v>
      </c>
      <c r="D4837" s="3">
        <v>1</v>
      </c>
    </row>
    <row r="4838" spans="1:4" ht="12.75" x14ac:dyDescent="0.35">
      <c r="A4838" s="4">
        <v>44825</v>
      </c>
      <c r="B4838" s="3" t="s">
        <v>1742</v>
      </c>
      <c r="C4838" s="3">
        <v>0.06</v>
      </c>
      <c r="D4838" s="3">
        <v>1</v>
      </c>
    </row>
    <row r="4839" spans="1:4" ht="12.75" x14ac:dyDescent="0.35">
      <c r="A4839" s="4">
        <v>44825</v>
      </c>
      <c r="B4839" s="3" t="s">
        <v>375</v>
      </c>
      <c r="C4839" s="3">
        <v>0.06</v>
      </c>
      <c r="D4839" s="3">
        <v>1</v>
      </c>
    </row>
    <row r="4840" spans="1:4" ht="12.75" x14ac:dyDescent="0.35">
      <c r="A4840" s="4">
        <v>44855</v>
      </c>
      <c r="B4840" s="3" t="s">
        <v>814</v>
      </c>
      <c r="C4840" s="3">
        <v>0.06</v>
      </c>
      <c r="D4840" s="3">
        <v>1</v>
      </c>
    </row>
    <row r="4841" spans="1:4" ht="12.75" x14ac:dyDescent="0.35">
      <c r="A4841" s="4">
        <v>44855</v>
      </c>
      <c r="B4841" s="3" t="s">
        <v>838</v>
      </c>
      <c r="C4841" s="3">
        <v>0.06</v>
      </c>
      <c r="D4841" s="3">
        <v>2</v>
      </c>
    </row>
    <row r="4842" spans="1:4" ht="12.75" x14ac:dyDescent="0.35">
      <c r="A4842" s="4">
        <v>44886</v>
      </c>
      <c r="B4842" s="3" t="s">
        <v>1564</v>
      </c>
      <c r="C4842" s="3">
        <v>0.06</v>
      </c>
      <c r="D4842" s="3">
        <v>1</v>
      </c>
    </row>
    <row r="4843" spans="1:4" ht="12.75" x14ac:dyDescent="0.35">
      <c r="A4843" s="4">
        <v>44886</v>
      </c>
      <c r="B4843" s="3" t="s">
        <v>1642</v>
      </c>
      <c r="C4843" s="3">
        <v>0.06</v>
      </c>
      <c r="D4843" s="3">
        <v>1</v>
      </c>
    </row>
    <row r="4844" spans="1:4" ht="12.75" x14ac:dyDescent="0.35">
      <c r="A4844" s="4">
        <v>44886</v>
      </c>
      <c r="B4844" s="3" t="s">
        <v>1324</v>
      </c>
      <c r="C4844" s="3">
        <v>0.06</v>
      </c>
      <c r="D4844" s="3">
        <v>1</v>
      </c>
    </row>
    <row r="4845" spans="1:4" ht="12.75" x14ac:dyDescent="0.35">
      <c r="A4845" s="4">
        <v>44886</v>
      </c>
      <c r="B4845" s="3" t="s">
        <v>1335</v>
      </c>
      <c r="C4845" s="3">
        <v>0.06</v>
      </c>
      <c r="D4845" s="3">
        <v>1</v>
      </c>
    </row>
    <row r="4846" spans="1:4" ht="12.75" x14ac:dyDescent="0.35">
      <c r="A4846" s="4">
        <v>44886</v>
      </c>
      <c r="B4846" s="3" t="s">
        <v>685</v>
      </c>
      <c r="C4846" s="3">
        <v>0.06</v>
      </c>
      <c r="D4846" s="3">
        <v>1</v>
      </c>
    </row>
    <row r="4847" spans="1:4" ht="12.75" x14ac:dyDescent="0.35">
      <c r="A4847" s="4">
        <v>44916</v>
      </c>
      <c r="B4847" s="3" t="s">
        <v>865</v>
      </c>
      <c r="C4847" s="3">
        <v>0.06</v>
      </c>
      <c r="D4847" s="3">
        <v>2</v>
      </c>
    </row>
    <row r="4848" spans="1:4" ht="12.75" x14ac:dyDescent="0.35">
      <c r="A4848" s="4">
        <v>44582</v>
      </c>
      <c r="B4848" s="3" t="s">
        <v>19</v>
      </c>
      <c r="C4848" s="3">
        <v>0.05</v>
      </c>
      <c r="D4848" s="3">
        <v>1</v>
      </c>
    </row>
    <row r="4849" spans="1:4" ht="12.75" x14ac:dyDescent="0.35">
      <c r="A4849" s="4">
        <v>44613</v>
      </c>
      <c r="B4849" s="3" t="s">
        <v>322</v>
      </c>
      <c r="C4849" s="3">
        <v>0.05</v>
      </c>
      <c r="D4849" s="3">
        <v>1</v>
      </c>
    </row>
    <row r="4850" spans="1:4" ht="12.75" x14ac:dyDescent="0.35">
      <c r="A4850" s="4">
        <v>44613</v>
      </c>
      <c r="B4850" s="3" t="s">
        <v>266</v>
      </c>
      <c r="C4850" s="3">
        <v>0.05</v>
      </c>
      <c r="D4850" s="3">
        <v>2</v>
      </c>
    </row>
    <row r="4851" spans="1:4" ht="12.75" x14ac:dyDescent="0.35">
      <c r="A4851" s="4">
        <v>44613</v>
      </c>
      <c r="B4851" s="3" t="s">
        <v>560</v>
      </c>
      <c r="C4851" s="3">
        <v>0.05</v>
      </c>
      <c r="D4851" s="3">
        <v>1</v>
      </c>
    </row>
    <row r="4852" spans="1:4" ht="12.75" x14ac:dyDescent="0.35">
      <c r="A4852" s="4">
        <v>44641</v>
      </c>
      <c r="B4852" s="3" t="s">
        <v>642</v>
      </c>
      <c r="C4852" s="3">
        <v>0.05</v>
      </c>
      <c r="D4852" s="3">
        <v>1</v>
      </c>
    </row>
    <row r="4853" spans="1:4" ht="12.75" x14ac:dyDescent="0.35">
      <c r="A4853" s="4">
        <v>44641</v>
      </c>
      <c r="B4853" s="3" t="s">
        <v>305</v>
      </c>
      <c r="C4853" s="3">
        <v>0.05</v>
      </c>
      <c r="D4853" s="3">
        <v>1</v>
      </c>
    </row>
    <row r="4854" spans="1:4" ht="12.75" x14ac:dyDescent="0.35">
      <c r="A4854" s="4">
        <v>44641</v>
      </c>
      <c r="B4854" s="3" t="s">
        <v>769</v>
      </c>
      <c r="C4854" s="3">
        <v>0.05</v>
      </c>
      <c r="D4854" s="3">
        <v>1</v>
      </c>
    </row>
    <row r="4855" spans="1:4" ht="12.75" x14ac:dyDescent="0.35">
      <c r="A4855" s="4">
        <v>44672</v>
      </c>
      <c r="B4855" s="3" t="s">
        <v>734</v>
      </c>
      <c r="C4855" s="3">
        <v>0.05</v>
      </c>
      <c r="D4855" s="3">
        <v>3</v>
      </c>
    </row>
    <row r="4856" spans="1:4" ht="12.75" x14ac:dyDescent="0.35">
      <c r="A4856" s="4">
        <v>44672</v>
      </c>
      <c r="B4856" s="3" t="s">
        <v>150</v>
      </c>
      <c r="C4856" s="3">
        <v>0.05</v>
      </c>
      <c r="D4856" s="3">
        <v>1</v>
      </c>
    </row>
    <row r="4857" spans="1:4" ht="12.75" x14ac:dyDescent="0.35">
      <c r="A4857" s="4">
        <v>44702</v>
      </c>
      <c r="B4857" s="3" t="s">
        <v>1162</v>
      </c>
      <c r="C4857" s="3">
        <v>0.05</v>
      </c>
      <c r="D4857" s="3">
        <v>1</v>
      </c>
    </row>
    <row r="4858" spans="1:4" ht="12.75" x14ac:dyDescent="0.35">
      <c r="A4858" s="5">
        <v>44733</v>
      </c>
      <c r="B4858" s="3" t="s">
        <v>1414</v>
      </c>
      <c r="C4858" s="3">
        <v>0.05</v>
      </c>
      <c r="D4858" s="3">
        <v>1</v>
      </c>
    </row>
    <row r="4859" spans="1:4" ht="12.75" x14ac:dyDescent="0.35">
      <c r="A4859" s="4">
        <v>44763</v>
      </c>
      <c r="B4859" s="3" t="s">
        <v>1180</v>
      </c>
      <c r="C4859" s="3">
        <v>0.05</v>
      </c>
      <c r="D4859" s="3">
        <v>1</v>
      </c>
    </row>
    <row r="4860" spans="1:4" ht="12.75" x14ac:dyDescent="0.35">
      <c r="A4860" s="4">
        <v>44763</v>
      </c>
      <c r="B4860" s="3" t="s">
        <v>796</v>
      </c>
      <c r="C4860" s="3">
        <v>0.05</v>
      </c>
      <c r="D4860" s="3">
        <v>1</v>
      </c>
    </row>
    <row r="4861" spans="1:4" ht="12.75" x14ac:dyDescent="0.35">
      <c r="A4861" s="4">
        <v>44763</v>
      </c>
      <c r="B4861" s="3" t="s">
        <v>1516</v>
      </c>
      <c r="C4861" s="3">
        <v>0.05</v>
      </c>
      <c r="D4861" s="3">
        <v>1</v>
      </c>
    </row>
    <row r="4862" spans="1:4" ht="12.75" x14ac:dyDescent="0.35">
      <c r="A4862" s="4">
        <v>44763</v>
      </c>
      <c r="B4862" s="3" t="s">
        <v>1466</v>
      </c>
      <c r="C4862" s="3">
        <v>0.05</v>
      </c>
      <c r="D4862" s="3">
        <v>1</v>
      </c>
    </row>
    <row r="4863" spans="1:4" ht="12.75" x14ac:dyDescent="0.35">
      <c r="A4863" s="4">
        <v>44794</v>
      </c>
      <c r="B4863" s="3" t="s">
        <v>171</v>
      </c>
      <c r="C4863" s="3">
        <v>0.05</v>
      </c>
      <c r="D4863" s="3">
        <v>1</v>
      </c>
    </row>
    <row r="4864" spans="1:4" ht="12.75" x14ac:dyDescent="0.35">
      <c r="A4864" s="4">
        <v>44794</v>
      </c>
      <c r="B4864" s="3" t="s">
        <v>1571</v>
      </c>
      <c r="C4864" s="3">
        <v>0.05</v>
      </c>
      <c r="D4864" s="3">
        <v>1</v>
      </c>
    </row>
    <row r="4865" spans="1:4" ht="12.75" x14ac:dyDescent="0.35">
      <c r="A4865" s="4">
        <v>44794</v>
      </c>
      <c r="B4865" s="3" t="s">
        <v>375</v>
      </c>
      <c r="C4865" s="3">
        <v>0.05</v>
      </c>
      <c r="D4865" s="3">
        <v>1</v>
      </c>
    </row>
    <row r="4866" spans="1:4" ht="12.75" x14ac:dyDescent="0.35">
      <c r="A4866" s="4">
        <v>44794</v>
      </c>
      <c r="B4866" s="3" t="s">
        <v>1587</v>
      </c>
      <c r="C4866" s="3">
        <v>0.05</v>
      </c>
      <c r="D4866" s="3">
        <v>1</v>
      </c>
    </row>
    <row r="4867" spans="1:4" ht="12.75" x14ac:dyDescent="0.35">
      <c r="A4867" s="4">
        <v>44794</v>
      </c>
      <c r="B4867" s="3" t="s">
        <v>1591</v>
      </c>
      <c r="C4867" s="3">
        <v>0.05</v>
      </c>
      <c r="D4867" s="3">
        <v>1</v>
      </c>
    </row>
    <row r="4868" spans="1:4" ht="12.75" x14ac:dyDescent="0.35">
      <c r="A4868" s="4">
        <v>44794</v>
      </c>
      <c r="B4868" s="3" t="s">
        <v>1604</v>
      </c>
      <c r="C4868" s="3">
        <v>0.05</v>
      </c>
      <c r="D4868" s="3">
        <v>1</v>
      </c>
    </row>
    <row r="4869" spans="1:4" ht="12.75" x14ac:dyDescent="0.35">
      <c r="A4869" s="4">
        <v>44794</v>
      </c>
      <c r="B4869" s="3" t="s">
        <v>1633</v>
      </c>
      <c r="C4869" s="3">
        <v>0.05</v>
      </c>
      <c r="D4869" s="3">
        <v>1</v>
      </c>
    </row>
    <row r="4870" spans="1:4" ht="12.75" x14ac:dyDescent="0.35">
      <c r="A4870" s="4">
        <v>44794</v>
      </c>
      <c r="B4870" s="3" t="s">
        <v>1326</v>
      </c>
      <c r="C4870" s="3">
        <v>0.05</v>
      </c>
      <c r="D4870" s="3">
        <v>1</v>
      </c>
    </row>
    <row r="4871" spans="1:4" ht="12.75" x14ac:dyDescent="0.35">
      <c r="A4871" s="4">
        <v>44825</v>
      </c>
      <c r="B4871" s="3" t="s">
        <v>1140</v>
      </c>
      <c r="C4871" s="3">
        <v>0.05</v>
      </c>
      <c r="D4871" s="3">
        <v>1</v>
      </c>
    </row>
    <row r="4872" spans="1:4" ht="12.75" x14ac:dyDescent="0.35">
      <c r="A4872" s="4">
        <v>44825</v>
      </c>
      <c r="B4872" s="3" t="s">
        <v>1100</v>
      </c>
      <c r="C4872" s="3">
        <v>0.05</v>
      </c>
      <c r="D4872" s="3">
        <v>1</v>
      </c>
    </row>
    <row r="4873" spans="1:4" ht="12.75" x14ac:dyDescent="0.35">
      <c r="A4873" s="4">
        <v>44855</v>
      </c>
      <c r="B4873" s="3" t="s">
        <v>1156</v>
      </c>
      <c r="C4873" s="3">
        <v>0.05</v>
      </c>
      <c r="D4873" s="3">
        <v>2</v>
      </c>
    </row>
    <row r="4874" spans="1:4" ht="12.75" x14ac:dyDescent="0.35">
      <c r="A4874" s="4">
        <v>44855</v>
      </c>
      <c r="B4874" s="3" t="s">
        <v>965</v>
      </c>
      <c r="C4874" s="3">
        <v>0.05</v>
      </c>
      <c r="D4874" s="3">
        <v>1</v>
      </c>
    </row>
    <row r="4875" spans="1:4" ht="12.75" x14ac:dyDescent="0.35">
      <c r="A4875" s="4">
        <v>44886</v>
      </c>
      <c r="B4875" s="3" t="s">
        <v>1814</v>
      </c>
      <c r="C4875" s="3">
        <v>0.05</v>
      </c>
      <c r="D4875" s="3">
        <v>1</v>
      </c>
    </row>
    <row r="4876" spans="1:4" ht="12.75" x14ac:dyDescent="0.35">
      <c r="A4876" s="4">
        <v>44916</v>
      </c>
      <c r="B4876" s="3" t="s">
        <v>1932</v>
      </c>
      <c r="C4876" s="3">
        <v>0.05</v>
      </c>
      <c r="D4876" s="3">
        <v>1</v>
      </c>
    </row>
    <row r="4877" spans="1:4" ht="12.75" x14ac:dyDescent="0.35">
      <c r="A4877" s="4">
        <v>44916</v>
      </c>
      <c r="B4877" s="3" t="s">
        <v>674</v>
      </c>
      <c r="C4877" s="3">
        <v>0.05</v>
      </c>
      <c r="D4877" s="3">
        <v>1</v>
      </c>
    </row>
    <row r="4878" spans="1:4" ht="12.75" x14ac:dyDescent="0.35">
      <c r="A4878" s="4">
        <v>44582</v>
      </c>
      <c r="B4878" s="3" t="s">
        <v>171</v>
      </c>
      <c r="C4878" s="3">
        <v>0.04</v>
      </c>
      <c r="D4878" s="3">
        <v>1</v>
      </c>
    </row>
    <row r="4879" spans="1:4" ht="12.75" x14ac:dyDescent="0.35">
      <c r="A4879" s="4">
        <v>44613</v>
      </c>
      <c r="B4879" s="3" t="s">
        <v>13</v>
      </c>
      <c r="C4879" s="3">
        <v>0.04</v>
      </c>
      <c r="D4879" s="3">
        <v>1</v>
      </c>
    </row>
    <row r="4880" spans="1:4" ht="12.75" x14ac:dyDescent="0.35">
      <c r="A4880" s="4">
        <v>44613</v>
      </c>
      <c r="B4880" s="3" t="s">
        <v>445</v>
      </c>
      <c r="C4880" s="3">
        <v>0.04</v>
      </c>
      <c r="D4880" s="3">
        <v>1</v>
      </c>
    </row>
    <row r="4881" spans="1:4" ht="12.75" x14ac:dyDescent="0.35">
      <c r="A4881" s="4">
        <v>44641</v>
      </c>
      <c r="B4881" s="3" t="s">
        <v>170</v>
      </c>
      <c r="C4881" s="3">
        <v>0.04</v>
      </c>
      <c r="D4881" s="3">
        <v>1</v>
      </c>
    </row>
    <row r="4882" spans="1:4" ht="12.75" x14ac:dyDescent="0.35">
      <c r="A4882" s="5">
        <v>44702</v>
      </c>
      <c r="B4882" s="3" t="s">
        <v>1006</v>
      </c>
      <c r="C4882" s="3">
        <v>0.04</v>
      </c>
      <c r="D4882" s="3">
        <v>1</v>
      </c>
    </row>
    <row r="4883" spans="1:4" ht="12.75" x14ac:dyDescent="0.35">
      <c r="A4883" s="5">
        <v>44702</v>
      </c>
      <c r="B4883" s="3" t="s">
        <v>1036</v>
      </c>
      <c r="C4883" s="3">
        <v>0.04</v>
      </c>
      <c r="D4883" s="3">
        <v>1</v>
      </c>
    </row>
    <row r="4884" spans="1:4" ht="12.75" x14ac:dyDescent="0.35">
      <c r="A4884" s="4">
        <v>44702</v>
      </c>
      <c r="B4884" s="3" t="s">
        <v>165</v>
      </c>
      <c r="C4884" s="3">
        <v>0.04</v>
      </c>
      <c r="D4884" s="3">
        <v>2</v>
      </c>
    </row>
    <row r="4885" spans="1:4" ht="12.75" x14ac:dyDescent="0.35">
      <c r="A4885" s="4">
        <v>44702</v>
      </c>
      <c r="B4885" s="3" t="s">
        <v>182</v>
      </c>
      <c r="C4885" s="3">
        <v>0.04</v>
      </c>
      <c r="D4885" s="3">
        <v>2</v>
      </c>
    </row>
    <row r="4886" spans="1:4" ht="12.75" x14ac:dyDescent="0.35">
      <c r="A4886" s="5">
        <v>44702</v>
      </c>
      <c r="B4886" s="3" t="s">
        <v>970</v>
      </c>
      <c r="C4886" s="3">
        <v>0.04</v>
      </c>
      <c r="D4886" s="3">
        <v>1</v>
      </c>
    </row>
    <row r="4887" spans="1:4" ht="12.75" x14ac:dyDescent="0.35">
      <c r="A4887" s="5">
        <v>44733</v>
      </c>
      <c r="B4887" s="3" t="s">
        <v>1394</v>
      </c>
      <c r="C4887" s="3">
        <v>0.04</v>
      </c>
      <c r="D4887" s="3">
        <v>1</v>
      </c>
    </row>
    <row r="4888" spans="1:4" ht="12.75" x14ac:dyDescent="0.35">
      <c r="A4888" s="4">
        <v>44763</v>
      </c>
      <c r="B4888" s="3" t="s">
        <v>1469</v>
      </c>
      <c r="C4888" s="3">
        <v>0.04</v>
      </c>
      <c r="D4888" s="3">
        <v>1</v>
      </c>
    </row>
    <row r="4889" spans="1:4" ht="12.75" x14ac:dyDescent="0.35">
      <c r="A4889" s="4">
        <v>44794</v>
      </c>
      <c r="B4889" s="3" t="s">
        <v>669</v>
      </c>
      <c r="C4889" s="3">
        <v>0.04</v>
      </c>
      <c r="D4889" s="3">
        <v>1</v>
      </c>
    </row>
    <row r="4890" spans="1:4" ht="12.75" x14ac:dyDescent="0.35">
      <c r="A4890" s="4">
        <v>44825</v>
      </c>
      <c r="B4890" s="3" t="s">
        <v>964</v>
      </c>
      <c r="C4890" s="3">
        <v>0.04</v>
      </c>
      <c r="D4890" s="3">
        <v>1</v>
      </c>
    </row>
    <row r="4891" spans="1:4" ht="12.75" x14ac:dyDescent="0.35">
      <c r="A4891" s="4">
        <v>44855</v>
      </c>
      <c r="B4891" s="3" t="s">
        <v>1041</v>
      </c>
      <c r="C4891" s="3">
        <v>0.04</v>
      </c>
      <c r="D4891" s="3">
        <v>1</v>
      </c>
    </row>
    <row r="4892" spans="1:4" ht="12.75" x14ac:dyDescent="0.35">
      <c r="A4892" s="4">
        <v>44916</v>
      </c>
      <c r="B4892" s="3" t="s">
        <v>1845</v>
      </c>
      <c r="C4892" s="3">
        <v>0.04</v>
      </c>
      <c r="D4892" s="3">
        <v>1</v>
      </c>
    </row>
    <row r="4893" spans="1:4" ht="12.75" x14ac:dyDescent="0.35">
      <c r="A4893" s="4">
        <v>44916</v>
      </c>
      <c r="B4893" s="3" t="s">
        <v>692</v>
      </c>
      <c r="C4893" s="3">
        <v>0.04</v>
      </c>
      <c r="D4893" s="3">
        <v>3</v>
      </c>
    </row>
    <row r="4894" spans="1:4" ht="12.75" x14ac:dyDescent="0.35">
      <c r="A4894" s="4">
        <v>44582</v>
      </c>
      <c r="B4894" s="3" t="s">
        <v>92</v>
      </c>
      <c r="C4894" s="3">
        <v>0.03</v>
      </c>
      <c r="D4894" s="3">
        <v>1</v>
      </c>
    </row>
    <row r="4895" spans="1:4" ht="12.75" x14ac:dyDescent="0.35">
      <c r="A4895" s="4">
        <v>44582</v>
      </c>
      <c r="B4895" s="3" t="s">
        <v>120</v>
      </c>
      <c r="C4895" s="3">
        <v>0.03</v>
      </c>
      <c r="D4895" s="3">
        <v>1</v>
      </c>
    </row>
    <row r="4896" spans="1:4" ht="12.75" x14ac:dyDescent="0.35">
      <c r="A4896" s="4">
        <v>44582</v>
      </c>
      <c r="B4896" s="3" t="s">
        <v>133</v>
      </c>
      <c r="C4896" s="3">
        <v>0.03</v>
      </c>
      <c r="D4896" s="3">
        <v>1</v>
      </c>
    </row>
    <row r="4897" spans="1:4" ht="12.75" x14ac:dyDescent="0.35">
      <c r="A4897" s="4">
        <v>44582</v>
      </c>
      <c r="B4897" s="3" t="s">
        <v>192</v>
      </c>
      <c r="C4897" s="3">
        <v>0.03</v>
      </c>
      <c r="D4897" s="3">
        <v>1</v>
      </c>
    </row>
    <row r="4898" spans="1:4" ht="12.75" x14ac:dyDescent="0.35">
      <c r="A4898" s="4">
        <v>44582</v>
      </c>
      <c r="B4898" s="3" t="s">
        <v>325</v>
      </c>
      <c r="C4898" s="3">
        <v>0.03</v>
      </c>
      <c r="D4898" s="3">
        <v>1</v>
      </c>
    </row>
    <row r="4899" spans="1:4" ht="12.75" x14ac:dyDescent="0.35">
      <c r="A4899" s="4">
        <v>44613</v>
      </c>
      <c r="B4899" s="3" t="s">
        <v>436</v>
      </c>
      <c r="C4899" s="3">
        <v>0.03</v>
      </c>
      <c r="D4899" s="3">
        <v>1</v>
      </c>
    </row>
    <row r="4900" spans="1:4" ht="12.75" x14ac:dyDescent="0.35">
      <c r="A4900" s="4">
        <v>44613</v>
      </c>
      <c r="B4900" s="3" t="s">
        <v>491</v>
      </c>
      <c r="C4900" s="3">
        <v>0.03</v>
      </c>
      <c r="D4900" s="3">
        <v>1</v>
      </c>
    </row>
    <row r="4901" spans="1:4" ht="12.75" x14ac:dyDescent="0.35">
      <c r="A4901" s="4">
        <v>44613</v>
      </c>
      <c r="B4901" s="3" t="s">
        <v>511</v>
      </c>
      <c r="C4901" s="3">
        <v>0.03</v>
      </c>
      <c r="D4901" s="3">
        <v>1</v>
      </c>
    </row>
    <row r="4902" spans="1:4" ht="12.75" x14ac:dyDescent="0.35">
      <c r="A4902" s="4">
        <v>44613</v>
      </c>
      <c r="B4902" s="3" t="s">
        <v>530</v>
      </c>
      <c r="C4902" s="3">
        <v>0.03</v>
      </c>
      <c r="D4902" s="3">
        <v>1</v>
      </c>
    </row>
    <row r="4903" spans="1:4" ht="12.75" x14ac:dyDescent="0.35">
      <c r="A4903" s="4">
        <v>44613</v>
      </c>
      <c r="B4903" s="3" t="s">
        <v>573</v>
      </c>
      <c r="C4903" s="3">
        <v>0.03</v>
      </c>
      <c r="D4903" s="3">
        <v>1</v>
      </c>
    </row>
    <row r="4904" spans="1:4" ht="12.75" x14ac:dyDescent="0.35">
      <c r="A4904" s="4">
        <v>44641</v>
      </c>
      <c r="B4904" s="3" t="s">
        <v>144</v>
      </c>
      <c r="C4904" s="3">
        <v>0.03</v>
      </c>
      <c r="D4904" s="3">
        <v>1</v>
      </c>
    </row>
    <row r="4905" spans="1:4" ht="12.75" x14ac:dyDescent="0.35">
      <c r="A4905" s="4">
        <v>44672</v>
      </c>
      <c r="B4905" s="3" t="s">
        <v>448</v>
      </c>
      <c r="C4905" s="3">
        <v>0.03</v>
      </c>
      <c r="D4905" s="3">
        <v>1</v>
      </c>
    </row>
    <row r="4906" spans="1:4" ht="12.75" x14ac:dyDescent="0.35">
      <c r="A4906" s="4">
        <v>44672</v>
      </c>
      <c r="B4906" s="3" t="s">
        <v>968</v>
      </c>
      <c r="C4906" s="3">
        <v>0.03</v>
      </c>
      <c r="D4906" s="3">
        <v>1</v>
      </c>
    </row>
    <row r="4907" spans="1:4" ht="12.75" x14ac:dyDescent="0.35">
      <c r="A4907" s="4">
        <v>44702</v>
      </c>
      <c r="B4907" s="3" t="s">
        <v>204</v>
      </c>
      <c r="C4907" s="3">
        <v>0.03</v>
      </c>
      <c r="D4907" s="3">
        <v>1</v>
      </c>
    </row>
    <row r="4908" spans="1:4" ht="12.75" x14ac:dyDescent="0.35">
      <c r="A4908" s="5">
        <v>44702</v>
      </c>
      <c r="B4908" s="3" t="s">
        <v>867</v>
      </c>
      <c r="C4908" s="3">
        <v>0.03</v>
      </c>
      <c r="D4908" s="3">
        <v>1</v>
      </c>
    </row>
    <row r="4909" spans="1:4" ht="12.75" x14ac:dyDescent="0.35">
      <c r="A4909" s="4">
        <v>44702</v>
      </c>
      <c r="B4909" s="3" t="s">
        <v>1115</v>
      </c>
      <c r="C4909" s="3">
        <v>0.03</v>
      </c>
      <c r="D4909" s="3">
        <v>1</v>
      </c>
    </row>
    <row r="4910" spans="1:4" ht="12.75" x14ac:dyDescent="0.35">
      <c r="A4910" s="5">
        <v>44702</v>
      </c>
      <c r="B4910" s="3" t="s">
        <v>365</v>
      </c>
      <c r="C4910" s="3">
        <v>0.03</v>
      </c>
      <c r="D4910" s="3">
        <v>1</v>
      </c>
    </row>
    <row r="4911" spans="1:4" ht="12.75" x14ac:dyDescent="0.35">
      <c r="A4911" s="5">
        <v>44702</v>
      </c>
      <c r="B4911" s="3" t="s">
        <v>1160</v>
      </c>
      <c r="C4911" s="3">
        <v>0.03</v>
      </c>
      <c r="D4911" s="3">
        <v>1</v>
      </c>
    </row>
    <row r="4912" spans="1:4" ht="12.75" x14ac:dyDescent="0.35">
      <c r="A4912" s="4">
        <v>44702</v>
      </c>
      <c r="B4912" s="3" t="s">
        <v>882</v>
      </c>
      <c r="C4912" s="3">
        <v>0.03</v>
      </c>
      <c r="D4912" s="3">
        <v>1</v>
      </c>
    </row>
    <row r="4913" spans="1:4" ht="12.75" x14ac:dyDescent="0.35">
      <c r="A4913" s="5">
        <v>44733</v>
      </c>
      <c r="B4913" s="3" t="s">
        <v>1290</v>
      </c>
      <c r="C4913" s="3">
        <v>0.03</v>
      </c>
      <c r="D4913" s="3">
        <v>1</v>
      </c>
    </row>
    <row r="4914" spans="1:4" ht="12.75" x14ac:dyDescent="0.35">
      <c r="A4914" s="5">
        <v>44733</v>
      </c>
      <c r="B4914" s="3" t="s">
        <v>1297</v>
      </c>
      <c r="C4914" s="3">
        <v>0.03</v>
      </c>
      <c r="D4914" s="3">
        <v>2</v>
      </c>
    </row>
    <row r="4915" spans="1:4" ht="12.75" x14ac:dyDescent="0.35">
      <c r="A4915" s="5">
        <v>44733</v>
      </c>
      <c r="B4915" s="3" t="s">
        <v>1335</v>
      </c>
      <c r="C4915" s="3">
        <v>0.03</v>
      </c>
      <c r="D4915" s="3">
        <v>1</v>
      </c>
    </row>
    <row r="4916" spans="1:4" ht="12.75" x14ac:dyDescent="0.35">
      <c r="A4916" s="4">
        <v>44763</v>
      </c>
      <c r="B4916" s="3" t="s">
        <v>1475</v>
      </c>
      <c r="C4916" s="3">
        <v>0.03</v>
      </c>
      <c r="D4916" s="3">
        <v>1</v>
      </c>
    </row>
    <row r="4917" spans="1:4" ht="12.75" x14ac:dyDescent="0.35">
      <c r="A4917" s="4">
        <v>44763</v>
      </c>
      <c r="B4917" s="3" t="s">
        <v>186</v>
      </c>
      <c r="C4917" s="3">
        <v>0.03</v>
      </c>
      <c r="D4917" s="3">
        <v>2</v>
      </c>
    </row>
    <row r="4918" spans="1:4" ht="12.75" x14ac:dyDescent="0.35">
      <c r="A4918" s="4">
        <v>44763</v>
      </c>
      <c r="B4918" s="3" t="s">
        <v>1489</v>
      </c>
      <c r="C4918" s="3">
        <v>0.03</v>
      </c>
      <c r="D4918" s="3">
        <v>1</v>
      </c>
    </row>
    <row r="4919" spans="1:4" ht="12.75" x14ac:dyDescent="0.35">
      <c r="A4919" s="4">
        <v>44763</v>
      </c>
      <c r="B4919" s="3" t="s">
        <v>1051</v>
      </c>
      <c r="C4919" s="3">
        <v>0.03</v>
      </c>
      <c r="D4919" s="3">
        <v>1</v>
      </c>
    </row>
    <row r="4920" spans="1:4" ht="12.75" x14ac:dyDescent="0.35">
      <c r="A4920" s="4">
        <v>44763</v>
      </c>
      <c r="B4920" s="3" t="s">
        <v>1128</v>
      </c>
      <c r="C4920" s="3">
        <v>0.03</v>
      </c>
      <c r="D4920" s="3">
        <v>1</v>
      </c>
    </row>
    <row r="4921" spans="1:4" ht="12.75" x14ac:dyDescent="0.35">
      <c r="A4921" s="4">
        <v>44763</v>
      </c>
      <c r="B4921" s="3" t="s">
        <v>1384</v>
      </c>
      <c r="C4921" s="3">
        <v>0.03</v>
      </c>
      <c r="D4921" s="3">
        <v>1</v>
      </c>
    </row>
    <row r="4922" spans="1:4" ht="12.75" x14ac:dyDescent="0.35">
      <c r="A4922" s="4">
        <v>44763</v>
      </c>
      <c r="B4922" s="3" t="s">
        <v>1531</v>
      </c>
      <c r="C4922" s="3">
        <v>0.03</v>
      </c>
      <c r="D4922" s="3">
        <v>1</v>
      </c>
    </row>
    <row r="4923" spans="1:4" ht="12.75" x14ac:dyDescent="0.35">
      <c r="A4923" s="4">
        <v>44763</v>
      </c>
      <c r="B4923" s="3" t="s">
        <v>1176</v>
      </c>
      <c r="C4923" s="3">
        <v>0.03</v>
      </c>
      <c r="D4923" s="3">
        <v>1</v>
      </c>
    </row>
    <row r="4924" spans="1:4" ht="12.75" x14ac:dyDescent="0.35">
      <c r="A4924" s="4">
        <v>44763</v>
      </c>
      <c r="B4924" s="3" t="s">
        <v>1243</v>
      </c>
      <c r="C4924" s="3">
        <v>0.03</v>
      </c>
      <c r="D4924" s="3">
        <v>1</v>
      </c>
    </row>
    <row r="4925" spans="1:4" ht="12.75" x14ac:dyDescent="0.35">
      <c r="A4925" s="4">
        <v>44794</v>
      </c>
      <c r="B4925" s="3" t="s">
        <v>1559</v>
      </c>
      <c r="C4925" s="3">
        <v>0.03</v>
      </c>
      <c r="D4925" s="3">
        <v>1</v>
      </c>
    </row>
    <row r="4926" spans="1:4" ht="12.75" x14ac:dyDescent="0.35">
      <c r="A4926" s="4">
        <v>44794</v>
      </c>
      <c r="B4926" s="3" t="s">
        <v>1566</v>
      </c>
      <c r="C4926" s="3">
        <v>0.03</v>
      </c>
      <c r="D4926" s="3">
        <v>1</v>
      </c>
    </row>
    <row r="4927" spans="1:4" ht="12.75" x14ac:dyDescent="0.35">
      <c r="A4927" s="4">
        <v>44794</v>
      </c>
      <c r="B4927" s="3" t="s">
        <v>1607</v>
      </c>
      <c r="C4927" s="3">
        <v>0.03</v>
      </c>
      <c r="D4927" s="3">
        <v>1</v>
      </c>
    </row>
    <row r="4928" spans="1:4" ht="12.75" x14ac:dyDescent="0.35">
      <c r="A4928" s="4">
        <v>44794</v>
      </c>
      <c r="B4928" s="3" t="s">
        <v>1646</v>
      </c>
      <c r="C4928" s="3">
        <v>0.03</v>
      </c>
      <c r="D4928" s="3">
        <v>1</v>
      </c>
    </row>
    <row r="4929" spans="1:4" ht="12.75" x14ac:dyDescent="0.35">
      <c r="A4929" s="4">
        <v>44916</v>
      </c>
      <c r="B4929" s="3" t="s">
        <v>1870</v>
      </c>
      <c r="C4929" s="3">
        <v>294.97000000000003</v>
      </c>
      <c r="D4929" s="3">
        <v>2</v>
      </c>
    </row>
    <row r="4930" spans="1:4" ht="12.75" x14ac:dyDescent="0.35">
      <c r="A4930" s="4">
        <v>44794</v>
      </c>
      <c r="B4930" s="3" t="s">
        <v>1692</v>
      </c>
      <c r="C4930" s="3">
        <v>0.03</v>
      </c>
      <c r="D4930" s="3">
        <v>1</v>
      </c>
    </row>
    <row r="4931" spans="1:4" ht="12.75" x14ac:dyDescent="0.35">
      <c r="A4931" s="4">
        <v>44794</v>
      </c>
      <c r="B4931" s="3" t="s">
        <v>1693</v>
      </c>
      <c r="C4931" s="3">
        <v>0.03</v>
      </c>
      <c r="D4931" s="3">
        <v>1</v>
      </c>
    </row>
    <row r="4932" spans="1:4" ht="12.75" x14ac:dyDescent="0.35">
      <c r="A4932" s="4">
        <v>44794</v>
      </c>
      <c r="B4932" s="3" t="s">
        <v>1707</v>
      </c>
      <c r="C4932" s="3">
        <v>0.03</v>
      </c>
      <c r="D4932" s="3">
        <v>1</v>
      </c>
    </row>
    <row r="4933" spans="1:4" ht="12.75" x14ac:dyDescent="0.35">
      <c r="A4933" s="4">
        <v>44825</v>
      </c>
      <c r="B4933" s="3" t="s">
        <v>1745</v>
      </c>
      <c r="C4933" s="3">
        <v>0.03</v>
      </c>
      <c r="D4933" s="3">
        <v>1</v>
      </c>
    </row>
    <row r="4934" spans="1:4" ht="12.75" x14ac:dyDescent="0.35">
      <c r="A4934" s="4">
        <v>44825</v>
      </c>
      <c r="B4934" s="3" t="s">
        <v>1749</v>
      </c>
      <c r="C4934" s="3">
        <v>0.03</v>
      </c>
      <c r="D4934" s="3">
        <v>1</v>
      </c>
    </row>
    <row r="4935" spans="1:4" ht="12.75" x14ac:dyDescent="0.35">
      <c r="A4935" s="4">
        <v>44855</v>
      </c>
      <c r="B4935" s="3" t="s">
        <v>1386</v>
      </c>
      <c r="C4935" s="3">
        <v>0.03</v>
      </c>
      <c r="D4935" s="3">
        <v>1</v>
      </c>
    </row>
    <row r="4936" spans="1:4" ht="12.75" x14ac:dyDescent="0.35">
      <c r="A4936" s="4">
        <v>44855</v>
      </c>
      <c r="B4936" s="3" t="s">
        <v>1117</v>
      </c>
      <c r="C4936" s="3">
        <v>0.03</v>
      </c>
      <c r="D4936" s="3">
        <v>1</v>
      </c>
    </row>
    <row r="4937" spans="1:4" ht="12.75" x14ac:dyDescent="0.35">
      <c r="A4937" s="4">
        <v>44855</v>
      </c>
      <c r="B4937" s="3" t="s">
        <v>813</v>
      </c>
      <c r="C4937" s="3">
        <v>0.03</v>
      </c>
      <c r="D4937" s="3">
        <v>1</v>
      </c>
    </row>
    <row r="4938" spans="1:4" ht="12.75" x14ac:dyDescent="0.35">
      <c r="A4938" s="4">
        <v>44886</v>
      </c>
      <c r="B4938" s="3" t="s">
        <v>1826</v>
      </c>
      <c r="C4938" s="3">
        <v>0.03</v>
      </c>
      <c r="D4938" s="3">
        <v>1</v>
      </c>
    </row>
    <row r="4939" spans="1:4" ht="12.75" x14ac:dyDescent="0.35">
      <c r="A4939" s="4">
        <v>44886</v>
      </c>
      <c r="B4939" s="3" t="s">
        <v>1608</v>
      </c>
      <c r="C4939" s="3">
        <v>0.03</v>
      </c>
      <c r="D4939" s="3">
        <v>1</v>
      </c>
    </row>
    <row r="4940" spans="1:4" ht="12.75" x14ac:dyDescent="0.35">
      <c r="A4940" s="4">
        <v>44886</v>
      </c>
      <c r="B4940" s="3" t="s">
        <v>916</v>
      </c>
      <c r="C4940" s="3">
        <v>0.03</v>
      </c>
      <c r="D4940" s="3">
        <v>1</v>
      </c>
    </row>
    <row r="4941" spans="1:4" ht="12.75" x14ac:dyDescent="0.35">
      <c r="A4941" s="4">
        <v>44886</v>
      </c>
      <c r="B4941" s="3" t="s">
        <v>1687</v>
      </c>
      <c r="C4941" s="3">
        <v>0.03</v>
      </c>
      <c r="D4941" s="3">
        <v>1</v>
      </c>
    </row>
    <row r="4942" spans="1:4" ht="12.75" x14ac:dyDescent="0.35">
      <c r="A4942" s="4">
        <v>44886</v>
      </c>
      <c r="B4942" s="3" t="s">
        <v>1831</v>
      </c>
      <c r="C4942" s="3">
        <v>0.03</v>
      </c>
      <c r="D4942" s="3">
        <v>1</v>
      </c>
    </row>
    <row r="4943" spans="1:4" ht="12.75" x14ac:dyDescent="0.35">
      <c r="A4943" s="4">
        <v>44886</v>
      </c>
      <c r="B4943" s="3" t="s">
        <v>1696</v>
      </c>
      <c r="C4943" s="3">
        <v>0.03</v>
      </c>
      <c r="D4943" s="3">
        <v>1</v>
      </c>
    </row>
    <row r="4944" spans="1:4" ht="12.75" x14ac:dyDescent="0.35">
      <c r="A4944" s="4">
        <v>44886</v>
      </c>
      <c r="B4944" s="3" t="s">
        <v>1836</v>
      </c>
      <c r="C4944" s="3">
        <v>0.03</v>
      </c>
      <c r="D4944" s="3">
        <v>1</v>
      </c>
    </row>
    <row r="4945" spans="1:4" ht="12.75" x14ac:dyDescent="0.35">
      <c r="A4945" s="4">
        <v>44582</v>
      </c>
      <c r="B4945" s="3" t="s">
        <v>99</v>
      </c>
      <c r="C4945" s="3">
        <v>0.02</v>
      </c>
      <c r="D4945" s="3">
        <v>1</v>
      </c>
    </row>
    <row r="4946" spans="1:4" ht="12.75" x14ac:dyDescent="0.35">
      <c r="A4946" s="4">
        <v>44582</v>
      </c>
      <c r="B4946" s="3" t="s">
        <v>225</v>
      </c>
      <c r="C4946" s="3">
        <v>0.02</v>
      </c>
      <c r="D4946" s="3">
        <v>1</v>
      </c>
    </row>
    <row r="4947" spans="1:4" ht="12.75" x14ac:dyDescent="0.35">
      <c r="A4947" s="4">
        <v>44582</v>
      </c>
      <c r="B4947" s="3" t="s">
        <v>234</v>
      </c>
      <c r="C4947" s="3">
        <v>0.02</v>
      </c>
      <c r="D4947" s="3">
        <v>1</v>
      </c>
    </row>
    <row r="4948" spans="1:4" ht="12.75" x14ac:dyDescent="0.35">
      <c r="A4948" s="4">
        <v>44582</v>
      </c>
      <c r="B4948" s="3" t="s">
        <v>282</v>
      </c>
      <c r="C4948" s="3">
        <v>0.02</v>
      </c>
      <c r="D4948" s="3">
        <v>1</v>
      </c>
    </row>
    <row r="4949" spans="1:4" ht="12.75" x14ac:dyDescent="0.35">
      <c r="A4949" s="4">
        <v>44582</v>
      </c>
      <c r="B4949" s="3" t="s">
        <v>326</v>
      </c>
      <c r="C4949" s="3">
        <v>0.02</v>
      </c>
      <c r="D4949" s="3">
        <v>2</v>
      </c>
    </row>
    <row r="4950" spans="1:4" ht="12.75" x14ac:dyDescent="0.35">
      <c r="A4950" s="4">
        <v>44582</v>
      </c>
      <c r="B4950" s="3" t="s">
        <v>335</v>
      </c>
      <c r="C4950" s="3">
        <v>0.02</v>
      </c>
      <c r="D4950" s="3">
        <v>1</v>
      </c>
    </row>
    <row r="4951" spans="1:4" ht="12.75" x14ac:dyDescent="0.35">
      <c r="A4951" s="4">
        <v>44582</v>
      </c>
      <c r="B4951" s="3" t="s">
        <v>365</v>
      </c>
      <c r="C4951" s="3">
        <v>0.02</v>
      </c>
      <c r="D4951" s="3">
        <v>1</v>
      </c>
    </row>
    <row r="4952" spans="1:4" ht="12.75" x14ac:dyDescent="0.35">
      <c r="A4952" s="4">
        <v>44582</v>
      </c>
      <c r="B4952" s="3" t="s">
        <v>379</v>
      </c>
      <c r="C4952" s="3">
        <v>0.02</v>
      </c>
      <c r="D4952" s="3">
        <v>1</v>
      </c>
    </row>
    <row r="4953" spans="1:4" ht="12.75" x14ac:dyDescent="0.35">
      <c r="A4953" s="4">
        <v>44613</v>
      </c>
      <c r="B4953" s="3" t="s">
        <v>263</v>
      </c>
      <c r="C4953" s="3">
        <v>0.02</v>
      </c>
      <c r="D4953" s="3">
        <v>1</v>
      </c>
    </row>
    <row r="4954" spans="1:4" ht="12.75" x14ac:dyDescent="0.35">
      <c r="A4954" s="4">
        <v>44613</v>
      </c>
      <c r="B4954" s="3" t="s">
        <v>42</v>
      </c>
      <c r="C4954" s="3">
        <v>0.02</v>
      </c>
      <c r="D4954" s="3">
        <v>1</v>
      </c>
    </row>
    <row r="4955" spans="1:4" ht="12.75" x14ac:dyDescent="0.35">
      <c r="A4955" s="4">
        <v>44613</v>
      </c>
      <c r="B4955" s="3" t="s">
        <v>448</v>
      </c>
      <c r="C4955" s="3">
        <v>0.02</v>
      </c>
      <c r="D4955" s="3">
        <v>1</v>
      </c>
    </row>
    <row r="4956" spans="1:4" ht="12.75" x14ac:dyDescent="0.35">
      <c r="A4956" s="4">
        <v>44613</v>
      </c>
      <c r="B4956" s="3" t="s">
        <v>475</v>
      </c>
      <c r="C4956" s="3">
        <v>0.02</v>
      </c>
      <c r="D4956" s="3">
        <v>1</v>
      </c>
    </row>
    <row r="4957" spans="1:4" ht="12.75" x14ac:dyDescent="0.35">
      <c r="A4957" s="4">
        <v>44613</v>
      </c>
      <c r="B4957" s="3" t="s">
        <v>481</v>
      </c>
      <c r="C4957" s="3">
        <v>0.02</v>
      </c>
      <c r="D4957" s="3">
        <v>1</v>
      </c>
    </row>
    <row r="4958" spans="1:4" ht="12.75" x14ac:dyDescent="0.35">
      <c r="A4958" s="4">
        <v>44613</v>
      </c>
      <c r="B4958" s="3" t="s">
        <v>498</v>
      </c>
      <c r="C4958" s="3">
        <v>0.02</v>
      </c>
      <c r="D4958" s="3">
        <v>1</v>
      </c>
    </row>
    <row r="4959" spans="1:4" ht="12.75" x14ac:dyDescent="0.35">
      <c r="A4959" s="4">
        <v>44613</v>
      </c>
      <c r="B4959" s="3" t="s">
        <v>501</v>
      </c>
      <c r="C4959" s="3">
        <v>0.02</v>
      </c>
      <c r="D4959" s="3">
        <v>1</v>
      </c>
    </row>
    <row r="4960" spans="1:4" ht="12.75" x14ac:dyDescent="0.35">
      <c r="A4960" s="4">
        <v>44613</v>
      </c>
      <c r="B4960" s="3" t="s">
        <v>349</v>
      </c>
      <c r="C4960" s="3">
        <v>0.02</v>
      </c>
      <c r="D4960" s="3">
        <v>1</v>
      </c>
    </row>
    <row r="4961" spans="1:4" ht="12.75" x14ac:dyDescent="0.35">
      <c r="A4961" s="4">
        <v>44702</v>
      </c>
      <c r="B4961" s="3" t="s">
        <v>1013</v>
      </c>
      <c r="C4961" s="3">
        <v>0.02</v>
      </c>
      <c r="D4961" s="3">
        <v>1</v>
      </c>
    </row>
    <row r="4962" spans="1:4" ht="12.75" x14ac:dyDescent="0.35">
      <c r="A4962" s="5">
        <v>44702</v>
      </c>
      <c r="B4962" s="3" t="s">
        <v>826</v>
      </c>
      <c r="C4962" s="3">
        <v>0.02</v>
      </c>
      <c r="D4962" s="3">
        <v>1</v>
      </c>
    </row>
    <row r="4963" spans="1:4" ht="12.75" x14ac:dyDescent="0.35">
      <c r="A4963" s="5">
        <v>44702</v>
      </c>
      <c r="B4963" s="3" t="s">
        <v>1079</v>
      </c>
      <c r="C4963" s="3">
        <v>0.02</v>
      </c>
      <c r="D4963" s="3">
        <v>1</v>
      </c>
    </row>
    <row r="4964" spans="1:4" ht="12.75" x14ac:dyDescent="0.35">
      <c r="A4964" s="4">
        <v>44702</v>
      </c>
      <c r="B4964" s="3" t="s">
        <v>455</v>
      </c>
      <c r="C4964" s="3">
        <v>0.02</v>
      </c>
      <c r="D4964" s="3">
        <v>1</v>
      </c>
    </row>
    <row r="4965" spans="1:4" ht="12.75" x14ac:dyDescent="0.35">
      <c r="A4965" s="4">
        <v>44702</v>
      </c>
      <c r="B4965" s="3" t="s">
        <v>1084</v>
      </c>
      <c r="C4965" s="3">
        <v>0.02</v>
      </c>
      <c r="D4965" s="3">
        <v>1</v>
      </c>
    </row>
    <row r="4966" spans="1:4" ht="12.75" x14ac:dyDescent="0.35">
      <c r="A4966" s="4">
        <v>44702</v>
      </c>
      <c r="B4966" s="3" t="s">
        <v>1096</v>
      </c>
      <c r="C4966" s="3">
        <v>0.02</v>
      </c>
      <c r="D4966" s="3">
        <v>1</v>
      </c>
    </row>
    <row r="4967" spans="1:4" ht="12.75" x14ac:dyDescent="0.35">
      <c r="A4967" s="5">
        <v>44702</v>
      </c>
      <c r="B4967" s="3" t="s">
        <v>1126</v>
      </c>
      <c r="C4967" s="3">
        <v>0.02</v>
      </c>
      <c r="D4967" s="3">
        <v>1</v>
      </c>
    </row>
    <row r="4968" spans="1:4" ht="12.75" x14ac:dyDescent="0.35">
      <c r="A4968" s="5">
        <v>44702</v>
      </c>
      <c r="B4968" s="3" t="s">
        <v>1153</v>
      </c>
      <c r="C4968" s="3">
        <v>0.02</v>
      </c>
      <c r="D4968" s="3">
        <v>1</v>
      </c>
    </row>
    <row r="4969" spans="1:4" ht="12.75" x14ac:dyDescent="0.35">
      <c r="A4969" s="5">
        <v>44733</v>
      </c>
      <c r="B4969" s="3" t="s">
        <v>91</v>
      </c>
      <c r="C4969" s="3">
        <v>0.02</v>
      </c>
      <c r="D4969" s="3">
        <v>2</v>
      </c>
    </row>
    <row r="4970" spans="1:4" ht="12.75" x14ac:dyDescent="0.35">
      <c r="A4970" s="5">
        <v>44733</v>
      </c>
      <c r="B4970" s="3" t="s">
        <v>831</v>
      </c>
      <c r="C4970" s="3">
        <v>0.02</v>
      </c>
      <c r="D4970" s="3">
        <v>1</v>
      </c>
    </row>
    <row r="4971" spans="1:4" ht="12.75" x14ac:dyDescent="0.35">
      <c r="A4971" s="5">
        <v>44733</v>
      </c>
      <c r="B4971" s="3" t="s">
        <v>1018</v>
      </c>
      <c r="C4971" s="3">
        <v>0.02</v>
      </c>
      <c r="D4971" s="3">
        <v>1</v>
      </c>
    </row>
    <row r="4972" spans="1:4" ht="12.75" x14ac:dyDescent="0.35">
      <c r="A4972" s="5">
        <v>44733</v>
      </c>
      <c r="B4972" s="3" t="s">
        <v>1281</v>
      </c>
      <c r="C4972" s="3">
        <v>0.02</v>
      </c>
      <c r="D4972" s="3">
        <v>1</v>
      </c>
    </row>
    <row r="4973" spans="1:4" ht="12.75" x14ac:dyDescent="0.35">
      <c r="A4973" s="4">
        <v>44763</v>
      </c>
      <c r="B4973" s="3" t="s">
        <v>1084</v>
      </c>
      <c r="C4973" s="3">
        <v>0.02</v>
      </c>
      <c r="D4973" s="3">
        <v>1</v>
      </c>
    </row>
    <row r="4974" spans="1:4" ht="12.75" x14ac:dyDescent="0.35">
      <c r="A4974" s="4">
        <v>44763</v>
      </c>
      <c r="B4974" s="3" t="s">
        <v>1517</v>
      </c>
      <c r="C4974" s="3">
        <v>0.02</v>
      </c>
      <c r="D4974" s="3">
        <v>1</v>
      </c>
    </row>
    <row r="4975" spans="1:4" ht="12.75" x14ac:dyDescent="0.35">
      <c r="A4975" s="4">
        <v>44763</v>
      </c>
      <c r="B4975" s="3" t="s">
        <v>780</v>
      </c>
      <c r="C4975" s="3">
        <v>0.02</v>
      </c>
      <c r="D4975" s="3">
        <v>2</v>
      </c>
    </row>
    <row r="4976" spans="1:4" ht="12.75" x14ac:dyDescent="0.35">
      <c r="A4976" s="4">
        <v>44763</v>
      </c>
      <c r="B4976" s="3" t="s">
        <v>1523</v>
      </c>
      <c r="C4976" s="3">
        <v>0.02</v>
      </c>
      <c r="D4976" s="3">
        <v>1</v>
      </c>
    </row>
    <row r="4977" spans="1:4" ht="12.75" x14ac:dyDescent="0.35">
      <c r="A4977" s="4">
        <v>44763</v>
      </c>
      <c r="B4977" s="3" t="s">
        <v>1157</v>
      </c>
      <c r="C4977" s="3">
        <v>0.02</v>
      </c>
      <c r="D4977" s="3">
        <v>1</v>
      </c>
    </row>
    <row r="4978" spans="1:4" ht="12.75" x14ac:dyDescent="0.35">
      <c r="A4978" s="4">
        <v>44763</v>
      </c>
      <c r="B4978" s="3" t="s">
        <v>1392</v>
      </c>
      <c r="C4978" s="3">
        <v>0.02</v>
      </c>
      <c r="D4978" s="3">
        <v>1</v>
      </c>
    </row>
    <row r="4979" spans="1:4" ht="12.75" x14ac:dyDescent="0.35">
      <c r="A4979" s="4">
        <v>44763</v>
      </c>
      <c r="B4979" s="3" t="s">
        <v>309</v>
      </c>
      <c r="C4979" s="3">
        <v>0.02</v>
      </c>
      <c r="D4979" s="3">
        <v>2</v>
      </c>
    </row>
    <row r="4980" spans="1:4" ht="12.75" x14ac:dyDescent="0.35">
      <c r="A4980" s="4">
        <v>44763</v>
      </c>
      <c r="B4980" s="3" t="s">
        <v>802</v>
      </c>
      <c r="C4980" s="3">
        <v>0.02</v>
      </c>
      <c r="D4980" s="3">
        <v>3</v>
      </c>
    </row>
    <row r="4981" spans="1:4" ht="12.75" x14ac:dyDescent="0.35">
      <c r="A4981" s="4">
        <v>44763</v>
      </c>
      <c r="B4981" s="3" t="s">
        <v>1308</v>
      </c>
      <c r="C4981" s="3">
        <v>0.02</v>
      </c>
      <c r="D4981" s="3">
        <v>1</v>
      </c>
    </row>
    <row r="4982" spans="1:4" ht="12.75" x14ac:dyDescent="0.35">
      <c r="A4982" s="4">
        <v>44763</v>
      </c>
      <c r="B4982" s="3" t="s">
        <v>1551</v>
      </c>
      <c r="C4982" s="3">
        <v>0.02</v>
      </c>
      <c r="D4982" s="3">
        <v>1</v>
      </c>
    </row>
    <row r="4983" spans="1:4" ht="12.75" x14ac:dyDescent="0.35">
      <c r="A4983" s="4">
        <v>44763</v>
      </c>
      <c r="B4983" s="3" t="s">
        <v>837</v>
      </c>
      <c r="C4983" s="3">
        <v>0.02</v>
      </c>
      <c r="D4983" s="3">
        <v>3</v>
      </c>
    </row>
    <row r="4984" spans="1:4" ht="12.75" x14ac:dyDescent="0.35">
      <c r="A4984" s="4">
        <v>44794</v>
      </c>
      <c r="B4984" s="3" t="s">
        <v>1556</v>
      </c>
      <c r="C4984" s="3">
        <v>0.02</v>
      </c>
      <c r="D4984" s="3">
        <v>1</v>
      </c>
    </row>
    <row r="4985" spans="1:4" ht="12.75" x14ac:dyDescent="0.35">
      <c r="A4985" s="4">
        <v>44794</v>
      </c>
      <c r="B4985" s="3" t="s">
        <v>1170</v>
      </c>
      <c r="C4985" s="3">
        <v>0.02</v>
      </c>
      <c r="D4985" s="3">
        <v>1</v>
      </c>
    </row>
    <row r="4986" spans="1:4" ht="12.75" x14ac:dyDescent="0.35">
      <c r="A4986" s="4">
        <v>44794</v>
      </c>
      <c r="B4986" s="3" t="s">
        <v>1618</v>
      </c>
      <c r="C4986" s="3">
        <v>0.02</v>
      </c>
      <c r="D4986" s="3">
        <v>1</v>
      </c>
    </row>
    <row r="4987" spans="1:4" ht="12.75" x14ac:dyDescent="0.35">
      <c r="A4987" s="4">
        <v>44794</v>
      </c>
      <c r="B4987" s="3" t="s">
        <v>1532</v>
      </c>
      <c r="C4987" s="3">
        <v>0.02</v>
      </c>
      <c r="D4987" s="3">
        <v>1</v>
      </c>
    </row>
    <row r="4988" spans="1:4" ht="12.75" x14ac:dyDescent="0.35">
      <c r="A4988" s="4">
        <v>44794</v>
      </c>
      <c r="B4988" s="3" t="s">
        <v>1314</v>
      </c>
      <c r="C4988" s="3">
        <v>0.02</v>
      </c>
      <c r="D4988" s="3">
        <v>1</v>
      </c>
    </row>
    <row r="4989" spans="1:4" ht="12.75" x14ac:dyDescent="0.35">
      <c r="A4989" s="4">
        <v>44794</v>
      </c>
      <c r="B4989" s="3" t="s">
        <v>1659</v>
      </c>
      <c r="C4989" s="3">
        <v>0.02</v>
      </c>
      <c r="D4989" s="3">
        <v>1</v>
      </c>
    </row>
    <row r="4990" spans="1:4" ht="12.75" x14ac:dyDescent="0.35">
      <c r="A4990" s="4">
        <v>44794</v>
      </c>
      <c r="B4990" s="3" t="s">
        <v>1667</v>
      </c>
      <c r="C4990" s="3">
        <v>0.02</v>
      </c>
      <c r="D4990" s="3">
        <v>1</v>
      </c>
    </row>
    <row r="4991" spans="1:4" ht="12.75" x14ac:dyDescent="0.35">
      <c r="A4991" s="4">
        <v>44825</v>
      </c>
      <c r="B4991" s="3" t="s">
        <v>1518</v>
      </c>
      <c r="C4991" s="3">
        <v>0.02</v>
      </c>
      <c r="D4991" s="3">
        <v>1</v>
      </c>
    </row>
    <row r="4992" spans="1:4" ht="12.75" x14ac:dyDescent="0.35">
      <c r="A4992" s="4">
        <v>44825</v>
      </c>
      <c r="B4992" s="3" t="s">
        <v>1653</v>
      </c>
      <c r="C4992" s="3">
        <v>0.02</v>
      </c>
      <c r="D4992" s="3">
        <v>2</v>
      </c>
    </row>
    <row r="4993" spans="1:4" ht="12.75" x14ac:dyDescent="0.35">
      <c r="A4993" s="4">
        <v>44855</v>
      </c>
      <c r="B4993" s="3" t="s">
        <v>1807</v>
      </c>
      <c r="C4993" s="3">
        <v>0.02</v>
      </c>
      <c r="D4993" s="3">
        <v>2</v>
      </c>
    </row>
    <row r="4994" spans="1:4" ht="12.75" x14ac:dyDescent="0.35">
      <c r="A4994" s="4">
        <v>44886</v>
      </c>
      <c r="B4994" s="3" t="s">
        <v>1816</v>
      </c>
      <c r="C4994" s="3">
        <v>0.02</v>
      </c>
      <c r="D4994" s="3">
        <v>1</v>
      </c>
    </row>
    <row r="4995" spans="1:4" ht="12.75" x14ac:dyDescent="0.35">
      <c r="A4995" s="4">
        <v>44916</v>
      </c>
      <c r="B4995" s="3" t="s">
        <v>1922</v>
      </c>
      <c r="C4995" s="3">
        <v>0.02</v>
      </c>
      <c r="D4995" s="3">
        <v>1</v>
      </c>
    </row>
    <row r="4996" spans="1:4" ht="12.75" x14ac:dyDescent="0.35">
      <c r="A4996" s="4">
        <v>44582</v>
      </c>
      <c r="B4996" s="3" t="s">
        <v>40</v>
      </c>
      <c r="C4996" s="3">
        <v>0.01</v>
      </c>
      <c r="D4996" s="3">
        <v>1</v>
      </c>
    </row>
    <row r="4997" spans="1:4" ht="12.75" x14ac:dyDescent="0.35">
      <c r="A4997" s="4">
        <v>44582</v>
      </c>
      <c r="B4997" s="3" t="s">
        <v>129</v>
      </c>
      <c r="C4997" s="3">
        <v>0.01</v>
      </c>
      <c r="D4997" s="3">
        <v>1</v>
      </c>
    </row>
    <row r="4998" spans="1:4" ht="12.75" x14ac:dyDescent="0.35">
      <c r="A4998" s="4">
        <v>44582</v>
      </c>
      <c r="B4998" s="3" t="s">
        <v>363</v>
      </c>
      <c r="C4998" s="3">
        <v>0.01</v>
      </c>
      <c r="D4998" s="3">
        <v>1</v>
      </c>
    </row>
    <row r="4999" spans="1:4" ht="12.75" x14ac:dyDescent="0.35">
      <c r="A4999" s="4">
        <v>44582</v>
      </c>
      <c r="B4999" s="3" t="s">
        <v>403</v>
      </c>
      <c r="C4999" s="3">
        <v>0.01</v>
      </c>
      <c r="D4999" s="3">
        <v>1</v>
      </c>
    </row>
    <row r="5000" spans="1:4" ht="12.75" x14ac:dyDescent="0.35">
      <c r="A5000" s="4">
        <v>44613</v>
      </c>
      <c r="B5000" s="3" t="s">
        <v>431</v>
      </c>
      <c r="C5000" s="3">
        <v>0.01</v>
      </c>
      <c r="D5000" s="3">
        <v>3</v>
      </c>
    </row>
    <row r="5001" spans="1:4" ht="12.75" x14ac:dyDescent="0.35">
      <c r="A5001" s="4">
        <v>44613</v>
      </c>
      <c r="B5001" s="3" t="s">
        <v>77</v>
      </c>
      <c r="C5001" s="3">
        <v>0.01</v>
      </c>
      <c r="D5001" s="3">
        <v>1</v>
      </c>
    </row>
    <row r="5002" spans="1:4" ht="12.75" x14ac:dyDescent="0.35">
      <c r="A5002" s="4">
        <v>44613</v>
      </c>
      <c r="B5002" s="3" t="s">
        <v>204</v>
      </c>
      <c r="C5002" s="3">
        <v>0.01</v>
      </c>
      <c r="D5002" s="3">
        <v>1</v>
      </c>
    </row>
    <row r="5003" spans="1:4" ht="12.75" x14ac:dyDescent="0.35">
      <c r="A5003" s="4">
        <v>44641</v>
      </c>
      <c r="B5003" s="3" t="s">
        <v>617</v>
      </c>
      <c r="C5003" s="3">
        <v>0.01</v>
      </c>
      <c r="D5003" s="3">
        <v>1</v>
      </c>
    </row>
    <row r="5004" spans="1:4" ht="12.75" x14ac:dyDescent="0.35">
      <c r="A5004" s="4">
        <v>44641</v>
      </c>
      <c r="B5004" s="3" t="s">
        <v>649</v>
      </c>
      <c r="C5004" s="3">
        <v>0.01</v>
      </c>
      <c r="D5004" s="3">
        <v>2</v>
      </c>
    </row>
    <row r="5005" spans="1:4" ht="12.75" x14ac:dyDescent="0.35">
      <c r="A5005" s="4">
        <v>44641</v>
      </c>
      <c r="B5005" s="3" t="s">
        <v>776</v>
      </c>
      <c r="C5005" s="3">
        <v>0.01</v>
      </c>
      <c r="D5005" s="3">
        <v>1</v>
      </c>
    </row>
    <row r="5006" spans="1:4" ht="12.75" x14ac:dyDescent="0.35">
      <c r="A5006" s="4">
        <v>44672</v>
      </c>
      <c r="B5006" s="3" t="s">
        <v>602</v>
      </c>
      <c r="C5006" s="3">
        <v>0.01</v>
      </c>
      <c r="D5006" s="3">
        <v>2</v>
      </c>
    </row>
    <row r="5007" spans="1:4" ht="12.75" x14ac:dyDescent="0.35">
      <c r="A5007" s="4">
        <v>44672</v>
      </c>
      <c r="B5007" s="3" t="s">
        <v>843</v>
      </c>
      <c r="C5007" s="3">
        <v>0.01</v>
      </c>
      <c r="D5007" s="3">
        <v>1</v>
      </c>
    </row>
    <row r="5008" spans="1:4" ht="12.75" x14ac:dyDescent="0.35">
      <c r="A5008" s="4">
        <v>44672</v>
      </c>
      <c r="B5008" s="3" t="s">
        <v>170</v>
      </c>
      <c r="C5008" s="3">
        <v>0.01</v>
      </c>
      <c r="D5008" s="3">
        <v>1</v>
      </c>
    </row>
    <row r="5009" spans="1:4" ht="12.75" x14ac:dyDescent="0.35">
      <c r="A5009" s="4">
        <v>44702</v>
      </c>
      <c r="B5009" s="3" t="s">
        <v>937</v>
      </c>
      <c r="C5009" s="3">
        <v>0.01</v>
      </c>
      <c r="D5009" s="3">
        <v>1</v>
      </c>
    </row>
    <row r="5010" spans="1:4" ht="12.75" x14ac:dyDescent="0.35">
      <c r="A5010" s="4">
        <v>44702</v>
      </c>
      <c r="B5010" s="3" t="s">
        <v>1009</v>
      </c>
      <c r="C5010" s="3">
        <v>0.01</v>
      </c>
      <c r="D5010" s="3">
        <v>1</v>
      </c>
    </row>
    <row r="5011" spans="1:4" ht="12.75" x14ac:dyDescent="0.35">
      <c r="A5011" s="5">
        <v>44702</v>
      </c>
      <c r="B5011" s="3" t="s">
        <v>1018</v>
      </c>
      <c r="C5011" s="3">
        <v>0.01</v>
      </c>
      <c r="D5011" s="3">
        <v>1</v>
      </c>
    </row>
    <row r="5012" spans="1:4" ht="12.75" x14ac:dyDescent="0.35">
      <c r="A5012" s="4">
        <v>44702</v>
      </c>
      <c r="B5012" s="3" t="s">
        <v>1047</v>
      </c>
      <c r="C5012" s="3">
        <v>0.01</v>
      </c>
      <c r="D5012" s="3">
        <v>1</v>
      </c>
    </row>
    <row r="5013" spans="1:4" ht="12.75" x14ac:dyDescent="0.35">
      <c r="A5013" s="4">
        <v>44702</v>
      </c>
      <c r="B5013" s="3" t="s">
        <v>1049</v>
      </c>
      <c r="C5013" s="3">
        <v>0.01</v>
      </c>
      <c r="D5013" s="3">
        <v>1</v>
      </c>
    </row>
    <row r="5014" spans="1:4" ht="12.75" x14ac:dyDescent="0.35">
      <c r="A5014" s="5">
        <v>44702</v>
      </c>
      <c r="B5014" s="3" t="s">
        <v>410</v>
      </c>
      <c r="C5014" s="3">
        <v>0.01</v>
      </c>
      <c r="D5014" s="3">
        <v>2</v>
      </c>
    </row>
    <row r="5015" spans="1:4" ht="12.75" x14ac:dyDescent="0.35">
      <c r="A5015" s="5">
        <v>44702</v>
      </c>
      <c r="B5015" s="3" t="s">
        <v>1082</v>
      </c>
      <c r="C5015" s="3">
        <v>0.01</v>
      </c>
      <c r="D5015" s="3">
        <v>1</v>
      </c>
    </row>
    <row r="5016" spans="1:4" ht="12.75" x14ac:dyDescent="0.35">
      <c r="A5016" s="5">
        <v>44702</v>
      </c>
      <c r="B5016" s="3" t="s">
        <v>805</v>
      </c>
      <c r="C5016" s="3">
        <v>0.01</v>
      </c>
      <c r="D5016" s="3">
        <v>1</v>
      </c>
    </row>
    <row r="5017" spans="1:4" ht="12.75" x14ac:dyDescent="0.35">
      <c r="A5017" s="4">
        <v>44702</v>
      </c>
      <c r="B5017" s="3" t="s">
        <v>565</v>
      </c>
      <c r="C5017" s="3">
        <v>0.01</v>
      </c>
      <c r="D5017" s="3">
        <v>3</v>
      </c>
    </row>
    <row r="5018" spans="1:4" ht="12.75" x14ac:dyDescent="0.35">
      <c r="A5018" s="4">
        <v>44702</v>
      </c>
      <c r="B5018" s="3" t="s">
        <v>1129</v>
      </c>
      <c r="C5018" s="3">
        <v>0.01</v>
      </c>
      <c r="D5018" s="3">
        <v>1</v>
      </c>
    </row>
    <row r="5019" spans="1:4" ht="12.75" x14ac:dyDescent="0.35">
      <c r="A5019" s="4">
        <v>44702</v>
      </c>
      <c r="B5019" s="3" t="s">
        <v>1158</v>
      </c>
      <c r="C5019" s="3">
        <v>0.01</v>
      </c>
      <c r="D5019" s="3">
        <v>1</v>
      </c>
    </row>
    <row r="5020" spans="1:4" ht="12.75" x14ac:dyDescent="0.35">
      <c r="A5020" s="5">
        <v>44733</v>
      </c>
      <c r="B5020" s="3" t="s">
        <v>886</v>
      </c>
      <c r="C5020" s="3">
        <v>0.01</v>
      </c>
      <c r="D5020" s="3">
        <v>2</v>
      </c>
    </row>
    <row r="5021" spans="1:4" ht="12.75" x14ac:dyDescent="0.35">
      <c r="A5021" s="5">
        <v>44733</v>
      </c>
      <c r="B5021" s="3" t="s">
        <v>1207</v>
      </c>
      <c r="C5021" s="3">
        <v>0.01</v>
      </c>
      <c r="D5021" s="3">
        <v>1</v>
      </c>
    </row>
    <row r="5022" spans="1:4" ht="12.75" x14ac:dyDescent="0.35">
      <c r="A5022" s="5">
        <v>44733</v>
      </c>
      <c r="B5022" s="3" t="s">
        <v>1299</v>
      </c>
      <c r="C5022" s="3">
        <v>0.01</v>
      </c>
      <c r="D5022" s="3">
        <v>1</v>
      </c>
    </row>
    <row r="5023" spans="1:4" ht="12.75" x14ac:dyDescent="0.35">
      <c r="A5023" s="5">
        <v>44733</v>
      </c>
      <c r="B5023" s="3" t="s">
        <v>1126</v>
      </c>
      <c r="C5023" s="3">
        <v>0.01</v>
      </c>
      <c r="D5023" s="3">
        <v>1</v>
      </c>
    </row>
    <row r="5024" spans="1:4" ht="12.75" x14ac:dyDescent="0.35">
      <c r="A5024" s="5">
        <v>44733</v>
      </c>
      <c r="B5024" s="3" t="s">
        <v>1374</v>
      </c>
      <c r="C5024" s="3">
        <v>0.01</v>
      </c>
      <c r="D5024" s="3">
        <v>1</v>
      </c>
    </row>
    <row r="5025" spans="1:4" ht="12.75" x14ac:dyDescent="0.35">
      <c r="A5025" s="5">
        <v>44733</v>
      </c>
      <c r="B5025" s="3" t="s">
        <v>1406</v>
      </c>
      <c r="C5025" s="3">
        <v>0.01</v>
      </c>
      <c r="D5025" s="3">
        <v>1</v>
      </c>
    </row>
    <row r="5026" spans="1:4" ht="12.75" x14ac:dyDescent="0.35">
      <c r="A5026" s="4">
        <v>44763</v>
      </c>
      <c r="B5026" s="3" t="s">
        <v>1057</v>
      </c>
      <c r="C5026" s="3">
        <v>0.01</v>
      </c>
      <c r="D5026" s="3">
        <v>1</v>
      </c>
    </row>
    <row r="5027" spans="1:4" ht="12.75" x14ac:dyDescent="0.35">
      <c r="A5027" s="4">
        <v>44763</v>
      </c>
      <c r="B5027" s="3" t="s">
        <v>418</v>
      </c>
      <c r="C5027" s="3">
        <v>0.01</v>
      </c>
      <c r="D5027" s="3">
        <v>1</v>
      </c>
    </row>
    <row r="5028" spans="1:4" ht="12.75" x14ac:dyDescent="0.35">
      <c r="A5028" s="4">
        <v>44763</v>
      </c>
      <c r="B5028" s="3" t="s">
        <v>1047</v>
      </c>
      <c r="C5028" s="3">
        <v>0.01</v>
      </c>
      <c r="D5028" s="3">
        <v>1</v>
      </c>
    </row>
    <row r="5029" spans="1:4" ht="12.75" x14ac:dyDescent="0.35">
      <c r="A5029" s="4">
        <v>44763</v>
      </c>
      <c r="B5029" s="3" t="s">
        <v>1509</v>
      </c>
      <c r="C5029" s="3">
        <v>0.01</v>
      </c>
      <c r="D5029" s="3">
        <v>1</v>
      </c>
    </row>
    <row r="5030" spans="1:4" ht="12.75" x14ac:dyDescent="0.35">
      <c r="A5030" s="4">
        <v>44763</v>
      </c>
      <c r="B5030" s="3" t="s">
        <v>1239</v>
      </c>
      <c r="C5030" s="3">
        <v>0.01</v>
      </c>
      <c r="D5030" s="3">
        <v>1</v>
      </c>
    </row>
    <row r="5031" spans="1:4" ht="12.75" x14ac:dyDescent="0.35">
      <c r="A5031" s="4">
        <v>44763</v>
      </c>
      <c r="B5031" s="3" t="s">
        <v>823</v>
      </c>
      <c r="C5031" s="3">
        <v>0.01</v>
      </c>
      <c r="D5031" s="3">
        <v>2</v>
      </c>
    </row>
    <row r="5032" spans="1:4" ht="12.75" x14ac:dyDescent="0.35">
      <c r="A5032" s="4">
        <v>44763</v>
      </c>
      <c r="B5032" s="3" t="s">
        <v>1092</v>
      </c>
      <c r="C5032" s="3">
        <v>0.01</v>
      </c>
      <c r="D5032" s="3">
        <v>1</v>
      </c>
    </row>
    <row r="5033" spans="1:4" ht="12.75" x14ac:dyDescent="0.35">
      <c r="A5033" s="4">
        <v>44763</v>
      </c>
      <c r="B5033" s="3" t="s">
        <v>795</v>
      </c>
      <c r="C5033" s="3">
        <v>0.01</v>
      </c>
      <c r="D5033" s="3">
        <v>1</v>
      </c>
    </row>
    <row r="5034" spans="1:4" ht="12.75" x14ac:dyDescent="0.35">
      <c r="A5034" s="4">
        <v>44794</v>
      </c>
      <c r="B5034" s="3" t="s">
        <v>1673</v>
      </c>
      <c r="C5034" s="3">
        <v>0.01</v>
      </c>
      <c r="D5034" s="3">
        <v>1</v>
      </c>
    </row>
    <row r="5035" spans="1:4" ht="12.75" x14ac:dyDescent="0.35">
      <c r="A5035" s="4">
        <v>44794</v>
      </c>
      <c r="B5035" s="3" t="s">
        <v>263</v>
      </c>
      <c r="C5035" s="3">
        <v>0.01</v>
      </c>
      <c r="D5035" s="3">
        <v>1</v>
      </c>
    </row>
    <row r="5036" spans="1:4" ht="12.75" x14ac:dyDescent="0.35">
      <c r="A5036" s="4">
        <v>44794</v>
      </c>
      <c r="B5036" s="3" t="s">
        <v>1208</v>
      </c>
      <c r="C5036" s="3">
        <v>0.01</v>
      </c>
      <c r="D5036" s="3">
        <v>2</v>
      </c>
    </row>
    <row r="5037" spans="1:4" ht="12.75" x14ac:dyDescent="0.35">
      <c r="A5037" s="4">
        <v>44825</v>
      </c>
      <c r="B5037" s="3" t="s">
        <v>211</v>
      </c>
      <c r="C5037" s="3">
        <v>0.01</v>
      </c>
      <c r="D5037" s="3">
        <v>1</v>
      </c>
    </row>
    <row r="5038" spans="1:4" ht="12.75" x14ac:dyDescent="0.35">
      <c r="A5038" s="4">
        <v>44825</v>
      </c>
      <c r="B5038" s="3" t="s">
        <v>478</v>
      </c>
      <c r="C5038" s="3">
        <v>0.01</v>
      </c>
      <c r="D5038" s="3">
        <v>1</v>
      </c>
    </row>
    <row r="5039" spans="1:4" ht="12.75" x14ac:dyDescent="0.35">
      <c r="A5039" s="4">
        <v>44825</v>
      </c>
      <c r="B5039" s="3" t="s">
        <v>1077</v>
      </c>
      <c r="C5039" s="3">
        <v>0.01</v>
      </c>
      <c r="D5039" s="3">
        <v>1</v>
      </c>
    </row>
    <row r="5040" spans="1:4" ht="12.75" x14ac:dyDescent="0.35">
      <c r="A5040" s="4">
        <v>44825</v>
      </c>
      <c r="B5040" s="3" t="s">
        <v>29</v>
      </c>
      <c r="C5040" s="3">
        <v>0.01</v>
      </c>
      <c r="D5040" s="3">
        <v>1</v>
      </c>
    </row>
    <row r="5041" spans="1:4" ht="12.75" x14ac:dyDescent="0.35">
      <c r="A5041" s="4">
        <v>44825</v>
      </c>
      <c r="B5041" s="3" t="s">
        <v>1213</v>
      </c>
      <c r="C5041" s="3">
        <v>0.01</v>
      </c>
      <c r="D5041" s="3">
        <v>1</v>
      </c>
    </row>
    <row r="5042" spans="1:4" ht="12.75" x14ac:dyDescent="0.35">
      <c r="A5042" s="4">
        <v>44825</v>
      </c>
      <c r="B5042" s="3" t="s">
        <v>1790</v>
      </c>
      <c r="C5042" s="3">
        <v>0.01</v>
      </c>
      <c r="D5042" s="3">
        <v>1</v>
      </c>
    </row>
    <row r="5043" spans="1:4" ht="12.75" x14ac:dyDescent="0.35">
      <c r="A5043" s="4">
        <v>44855</v>
      </c>
      <c r="B5043" s="3" t="s">
        <v>1803</v>
      </c>
      <c r="C5043" s="3">
        <v>0.01</v>
      </c>
      <c r="D5043" s="3">
        <v>1</v>
      </c>
    </row>
    <row r="5044" spans="1:4" ht="12.75" x14ac:dyDescent="0.35">
      <c r="A5044" s="4">
        <v>44855</v>
      </c>
      <c r="B5044" s="3" t="s">
        <v>1658</v>
      </c>
      <c r="C5044" s="3">
        <v>0.01</v>
      </c>
      <c r="D5044" s="3">
        <v>1</v>
      </c>
    </row>
    <row r="5045" spans="1:4" ht="12.75" x14ac:dyDescent="0.35">
      <c r="A5045" s="4">
        <v>44855</v>
      </c>
      <c r="B5045" s="3" t="s">
        <v>1003</v>
      </c>
      <c r="C5045" s="3">
        <v>0.01</v>
      </c>
      <c r="D5045" s="3">
        <v>1</v>
      </c>
    </row>
    <row r="5046" spans="1:4" ht="12.75" x14ac:dyDescent="0.35">
      <c r="A5046" s="4">
        <v>44886</v>
      </c>
      <c r="B5046" s="3" t="s">
        <v>836</v>
      </c>
      <c r="C5046" s="3">
        <v>0.01</v>
      </c>
      <c r="D5046" s="3">
        <v>1</v>
      </c>
    </row>
    <row r="5047" spans="1:4" ht="12.75" x14ac:dyDescent="0.35">
      <c r="A5047" s="4">
        <v>44886</v>
      </c>
      <c r="B5047" s="3" t="s">
        <v>1041</v>
      </c>
      <c r="C5047" s="3">
        <v>0.01</v>
      </c>
      <c r="D5047" s="3">
        <v>1</v>
      </c>
    </row>
    <row r="5048" spans="1:4" ht="12.75" x14ac:dyDescent="0.35">
      <c r="A5048" s="4">
        <v>44886</v>
      </c>
      <c r="B5048" s="3" t="s">
        <v>948</v>
      </c>
      <c r="C5048" s="3">
        <v>0.01</v>
      </c>
      <c r="D5048" s="3">
        <v>3</v>
      </c>
    </row>
    <row r="5049" spans="1:4" ht="12.75" x14ac:dyDescent="0.35">
      <c r="A5049" s="4">
        <v>44916</v>
      </c>
      <c r="B5049" s="3" t="s">
        <v>883</v>
      </c>
      <c r="C5049" s="3">
        <v>0.01</v>
      </c>
      <c r="D5049" s="3">
        <v>2</v>
      </c>
    </row>
    <row r="5050" spans="1:4" ht="12.75" x14ac:dyDescent="0.35">
      <c r="A5050" s="4">
        <v>44916</v>
      </c>
      <c r="B5050" s="3" t="s">
        <v>639</v>
      </c>
      <c r="C5050" s="3">
        <v>0.01</v>
      </c>
      <c r="D5050" s="3">
        <v>1</v>
      </c>
    </row>
    <row r="5051" spans="1:4" ht="12.75" x14ac:dyDescent="0.35">
      <c r="A5051" s="4">
        <v>44916</v>
      </c>
      <c r="B5051" s="3" t="s">
        <v>1960</v>
      </c>
      <c r="C5051" s="3">
        <v>0.01</v>
      </c>
      <c r="D5051" s="3">
        <v>1</v>
      </c>
    </row>
    <row r="5052" spans="1:4" ht="12.75" x14ac:dyDescent="0.35">
      <c r="A5052" s="4"/>
      <c r="B5052" s="3"/>
      <c r="C5052" s="3"/>
      <c r="D5052" s="3"/>
    </row>
    <row r="5053" spans="1:4" ht="12.75" x14ac:dyDescent="0.35">
      <c r="A5053" s="4"/>
      <c r="B5053" s="3"/>
      <c r="C5053" s="3"/>
      <c r="D5053" s="3"/>
    </row>
    <row r="5054" spans="1:4" ht="12.75" x14ac:dyDescent="0.35">
      <c r="A5054" s="4"/>
      <c r="B5054" s="3"/>
      <c r="C5054" s="3"/>
      <c r="D5054" s="3"/>
    </row>
    <row r="5055" spans="1:4" ht="12.75" x14ac:dyDescent="0.35">
      <c r="A5055" s="4"/>
      <c r="B5055" s="3"/>
      <c r="C5055" s="3"/>
      <c r="D5055" s="3"/>
    </row>
    <row r="5056" spans="1:4" ht="12.75" x14ac:dyDescent="0.35">
      <c r="A5056" s="4"/>
      <c r="B5056" s="3"/>
      <c r="C5056" s="3"/>
      <c r="D5056" s="3"/>
    </row>
    <row r="5057" spans="1:4" ht="12.75" x14ac:dyDescent="0.35">
      <c r="A5057" s="4"/>
      <c r="B5057" s="3"/>
      <c r="C5057" s="3"/>
      <c r="D5057" s="3"/>
    </row>
    <row r="5058" spans="1:4" ht="12.75" x14ac:dyDescent="0.35">
      <c r="A5058" s="4"/>
      <c r="B5058" s="3"/>
      <c r="C5058" s="3"/>
      <c r="D5058" s="3"/>
    </row>
    <row r="5059" spans="1:4" ht="12.75" x14ac:dyDescent="0.35">
      <c r="A5059" s="4"/>
      <c r="B5059" s="3"/>
      <c r="C5059" s="3"/>
      <c r="D5059" s="3"/>
    </row>
    <row r="5060" spans="1:4" ht="12.75" x14ac:dyDescent="0.35">
      <c r="A5060" s="4"/>
      <c r="B5060" s="3"/>
      <c r="C5060" s="3"/>
      <c r="D5060" s="3"/>
    </row>
    <row r="5061" spans="1:4" ht="12.75" x14ac:dyDescent="0.35">
      <c r="A5061" s="4"/>
      <c r="B5061" s="3"/>
      <c r="C5061" s="3"/>
      <c r="D5061" s="3"/>
    </row>
    <row r="5062" spans="1:4" ht="12.75" x14ac:dyDescent="0.35">
      <c r="A5062" s="4"/>
      <c r="B5062" s="3"/>
      <c r="C5062" s="3"/>
      <c r="D5062" s="3"/>
    </row>
    <row r="5063" spans="1:4" ht="12.75" x14ac:dyDescent="0.35">
      <c r="A5063" s="4"/>
      <c r="B5063" s="3"/>
      <c r="C5063" s="3"/>
      <c r="D5063" s="3"/>
    </row>
    <row r="5064" spans="1:4" ht="12.75" x14ac:dyDescent="0.35">
      <c r="A5064" s="4"/>
      <c r="B5064" s="3"/>
      <c r="C5064" s="3"/>
      <c r="D5064" s="3"/>
    </row>
    <row r="5065" spans="1:4" ht="12.75" x14ac:dyDescent="0.35">
      <c r="A5065" s="4"/>
      <c r="B5065" s="3"/>
      <c r="C5065" s="3"/>
      <c r="D5065" s="3"/>
    </row>
    <row r="5066" spans="1:4" ht="12.75" x14ac:dyDescent="0.35">
      <c r="A5066" s="4"/>
      <c r="B5066" s="3"/>
      <c r="C5066" s="3"/>
      <c r="D5066" s="3"/>
    </row>
    <row r="5067" spans="1:4" ht="12.75" x14ac:dyDescent="0.35">
      <c r="A5067" s="4"/>
      <c r="B5067" s="3"/>
      <c r="C5067" s="3"/>
      <c r="D5067" s="3"/>
    </row>
    <row r="5068" spans="1:4" ht="12.75" x14ac:dyDescent="0.35">
      <c r="A5068" s="4"/>
      <c r="B5068" s="3"/>
      <c r="C5068" s="3"/>
      <c r="D5068" s="3"/>
    </row>
    <row r="5069" spans="1:4" ht="12.75" x14ac:dyDescent="0.35">
      <c r="A5069" s="4"/>
      <c r="B5069" s="3"/>
      <c r="C5069" s="3"/>
      <c r="D5069" s="3"/>
    </row>
    <row r="5070" spans="1:4" ht="12.75" x14ac:dyDescent="0.35">
      <c r="A5070" s="4"/>
      <c r="B5070" s="3"/>
      <c r="C5070" s="3"/>
      <c r="D5070" s="3"/>
    </row>
    <row r="5071" spans="1:4" ht="12.75" x14ac:dyDescent="0.35">
      <c r="A5071" s="4"/>
      <c r="B5071" s="3"/>
      <c r="C5071" s="3"/>
      <c r="D5071" s="3"/>
    </row>
    <row r="5072" spans="1:4" ht="12.75" x14ac:dyDescent="0.35">
      <c r="A5072" s="4"/>
      <c r="B5072" s="3"/>
      <c r="C5072" s="3"/>
      <c r="D5072" s="3"/>
    </row>
    <row r="5073" spans="1:4" ht="12.75" x14ac:dyDescent="0.35">
      <c r="A5073" s="4"/>
      <c r="B5073" s="3"/>
      <c r="C5073" s="3"/>
      <c r="D5073" s="3"/>
    </row>
    <row r="5074" spans="1:4" ht="12.75" x14ac:dyDescent="0.35">
      <c r="A5074" s="4"/>
      <c r="B5074" s="3"/>
      <c r="C5074" s="3"/>
      <c r="D5074" s="3"/>
    </row>
    <row r="5075" spans="1:4" ht="12.75" x14ac:dyDescent="0.35">
      <c r="A5075" s="4"/>
      <c r="B5075" s="3"/>
      <c r="C5075" s="3"/>
      <c r="D5075" s="3"/>
    </row>
    <row r="5076" spans="1:4" ht="12.75" x14ac:dyDescent="0.35">
      <c r="A5076" s="4"/>
      <c r="B5076" s="3"/>
      <c r="C5076" s="3"/>
      <c r="D5076" s="3"/>
    </row>
    <row r="5077" spans="1:4" ht="12.75" x14ac:dyDescent="0.35">
      <c r="A5077" s="4"/>
      <c r="B5077" s="3"/>
      <c r="C5077" s="3"/>
      <c r="D5077" s="3"/>
    </row>
    <row r="5078" spans="1:4" ht="12.75" x14ac:dyDescent="0.35">
      <c r="A5078" s="4"/>
      <c r="B5078" s="3"/>
      <c r="C5078" s="3"/>
      <c r="D5078" s="3"/>
    </row>
    <row r="5079" spans="1:4" ht="12.75" x14ac:dyDescent="0.35">
      <c r="A5079" s="4"/>
      <c r="B5079" s="3"/>
      <c r="C5079" s="3"/>
      <c r="D5079" s="3"/>
    </row>
    <row r="5080" spans="1:4" ht="12.75" x14ac:dyDescent="0.35">
      <c r="A5080" s="4"/>
      <c r="B5080" s="3"/>
      <c r="C5080" s="3"/>
      <c r="D5080" s="3"/>
    </row>
    <row r="5081" spans="1:4" ht="12.75" x14ac:dyDescent="0.35">
      <c r="A5081" s="4"/>
      <c r="B5081" s="3"/>
      <c r="C5081" s="3"/>
      <c r="D5081" s="3"/>
    </row>
    <row r="5082" spans="1:4" ht="12.75" x14ac:dyDescent="0.35">
      <c r="A5082" s="4"/>
      <c r="B5082" s="3"/>
      <c r="C5082" s="3"/>
      <c r="D5082" s="3"/>
    </row>
    <row r="5083" spans="1:4" ht="12.75" x14ac:dyDescent="0.35">
      <c r="A5083" s="4"/>
      <c r="B5083" s="3"/>
      <c r="C5083" s="3"/>
      <c r="D5083" s="3"/>
    </row>
    <row r="5084" spans="1:4" ht="12.75" x14ac:dyDescent="0.35">
      <c r="A5084" s="4"/>
      <c r="B5084" s="3"/>
      <c r="C5084" s="3"/>
      <c r="D5084" s="3"/>
    </row>
    <row r="5085" spans="1:4" ht="12.75" x14ac:dyDescent="0.35">
      <c r="A5085" s="4"/>
      <c r="B5085" s="3"/>
      <c r="C5085" s="3"/>
      <c r="D5085" s="3"/>
    </row>
    <row r="5086" spans="1:4" ht="12.75" x14ac:dyDescent="0.35">
      <c r="A5086" s="4"/>
      <c r="B5086" s="3"/>
      <c r="C5086" s="3"/>
      <c r="D5086" s="3"/>
    </row>
    <row r="5087" spans="1:4" ht="12.75" x14ac:dyDescent="0.35">
      <c r="A5087" s="4"/>
      <c r="B5087" s="3"/>
      <c r="C5087" s="3"/>
      <c r="D5087" s="3"/>
    </row>
    <row r="5088" spans="1:4" ht="12.75" x14ac:dyDescent="0.35">
      <c r="A5088" s="4"/>
      <c r="B5088" s="3"/>
      <c r="C5088" s="3"/>
      <c r="D5088" s="3"/>
    </row>
    <row r="5089" spans="1:4" ht="12.75" x14ac:dyDescent="0.35">
      <c r="A5089" s="4"/>
      <c r="B5089" s="3"/>
      <c r="C5089" s="3"/>
      <c r="D5089" s="3"/>
    </row>
    <row r="5090" spans="1:4" ht="12.75" x14ac:dyDescent="0.35">
      <c r="A5090" s="4"/>
      <c r="B5090" s="3"/>
      <c r="C5090" s="3"/>
      <c r="D5090" s="3"/>
    </row>
    <row r="5091" spans="1:4" ht="12.75" x14ac:dyDescent="0.35">
      <c r="A5091" s="4"/>
      <c r="B5091" s="3"/>
      <c r="C5091" s="3"/>
      <c r="D5091" s="3"/>
    </row>
    <row r="5092" spans="1:4" ht="12.75" x14ac:dyDescent="0.35">
      <c r="A5092" s="4"/>
      <c r="B5092" s="3"/>
      <c r="C5092" s="3"/>
      <c r="D5092" s="3"/>
    </row>
    <row r="5093" spans="1:4" ht="12.75" x14ac:dyDescent="0.35">
      <c r="A5093" s="4"/>
      <c r="B5093" s="3"/>
      <c r="C5093" s="3"/>
      <c r="D5093" s="3"/>
    </row>
    <row r="5094" spans="1:4" ht="12.75" x14ac:dyDescent="0.35">
      <c r="A5094" s="4"/>
      <c r="B5094" s="3"/>
      <c r="C5094" s="3"/>
      <c r="D5094" s="3"/>
    </row>
    <row r="5095" spans="1:4" ht="12.75" x14ac:dyDescent="0.35">
      <c r="A5095" s="4"/>
      <c r="B5095" s="3"/>
      <c r="C5095" s="3"/>
      <c r="D5095" s="3"/>
    </row>
    <row r="5096" spans="1:4" ht="12.75" x14ac:dyDescent="0.35">
      <c r="A5096" s="4"/>
      <c r="B5096" s="3"/>
      <c r="C5096" s="3"/>
      <c r="D5096" s="3"/>
    </row>
    <row r="5097" spans="1:4" ht="12.75" x14ac:dyDescent="0.35">
      <c r="A5097" s="4"/>
      <c r="B5097" s="3"/>
      <c r="C5097" s="3"/>
      <c r="D5097" s="3"/>
    </row>
    <row r="5098" spans="1:4" ht="12.75" x14ac:dyDescent="0.35">
      <c r="A5098" s="4"/>
      <c r="B5098" s="3"/>
      <c r="C5098" s="3"/>
      <c r="D5098" s="3"/>
    </row>
    <row r="5099" spans="1:4" ht="12.75" x14ac:dyDescent="0.35">
      <c r="A5099" s="4"/>
      <c r="B5099" s="3"/>
      <c r="C5099" s="3"/>
      <c r="D5099" s="3"/>
    </row>
    <row r="5100" spans="1:4" ht="12.75" x14ac:dyDescent="0.35">
      <c r="A5100" s="4"/>
      <c r="B5100" s="3"/>
      <c r="C5100" s="3"/>
      <c r="D5100" s="3"/>
    </row>
    <row r="5101" spans="1:4" ht="12.75" x14ac:dyDescent="0.35">
      <c r="A5101" s="4"/>
      <c r="B5101" s="3"/>
      <c r="C5101" s="3"/>
      <c r="D5101" s="3"/>
    </row>
    <row r="5102" spans="1:4" ht="12.75" x14ac:dyDescent="0.35">
      <c r="A5102" s="4"/>
      <c r="B5102" s="3"/>
      <c r="C5102" s="3"/>
      <c r="D5102" s="3"/>
    </row>
    <row r="5103" spans="1:4" ht="12.75" x14ac:dyDescent="0.35">
      <c r="A5103" s="4"/>
      <c r="B5103" s="3"/>
      <c r="C5103" s="3"/>
      <c r="D5103" s="3"/>
    </row>
    <row r="5104" spans="1:4" ht="12.75" x14ac:dyDescent="0.35">
      <c r="A5104" s="4"/>
      <c r="B5104" s="3"/>
      <c r="C5104" s="3"/>
      <c r="D5104" s="3"/>
    </row>
    <row r="5105" spans="1:4" ht="12.75" x14ac:dyDescent="0.35">
      <c r="A5105" s="4"/>
      <c r="B5105" s="3"/>
      <c r="C5105" s="3"/>
      <c r="D5105" s="3"/>
    </row>
    <row r="5106" spans="1:4" ht="12.75" x14ac:dyDescent="0.35">
      <c r="A5106" s="4"/>
      <c r="B5106" s="3"/>
      <c r="C5106" s="3"/>
      <c r="D5106" s="3"/>
    </row>
    <row r="5107" spans="1:4" ht="12.75" x14ac:dyDescent="0.35">
      <c r="A5107" s="4"/>
      <c r="B5107" s="3"/>
      <c r="C5107" s="3"/>
      <c r="D5107" s="3"/>
    </row>
    <row r="5108" spans="1:4" ht="12.75" x14ac:dyDescent="0.35">
      <c r="A5108" s="4"/>
      <c r="B5108" s="3"/>
      <c r="C5108" s="3"/>
      <c r="D5108" s="3"/>
    </row>
    <row r="5109" spans="1:4" ht="12.75" x14ac:dyDescent="0.35">
      <c r="A5109" s="4"/>
      <c r="B5109" s="3"/>
      <c r="C5109" s="3"/>
      <c r="D5109" s="3"/>
    </row>
    <row r="5110" spans="1:4" ht="12.75" x14ac:dyDescent="0.35">
      <c r="A5110" s="4"/>
      <c r="B5110" s="3"/>
      <c r="C5110" s="3"/>
      <c r="D5110" s="3"/>
    </row>
    <row r="5111" spans="1:4" ht="12.75" x14ac:dyDescent="0.35">
      <c r="A5111" s="4"/>
      <c r="B5111" s="3"/>
      <c r="C5111" s="3"/>
      <c r="D5111" s="3"/>
    </row>
    <row r="5112" spans="1:4" ht="12.75" x14ac:dyDescent="0.35">
      <c r="A5112" s="4"/>
      <c r="B5112" s="3"/>
      <c r="C5112" s="3"/>
      <c r="D5112" s="3"/>
    </row>
    <row r="5113" spans="1:4" ht="12.75" x14ac:dyDescent="0.35">
      <c r="A5113" s="4"/>
      <c r="B5113" s="3"/>
      <c r="C5113" s="3"/>
      <c r="D5113" s="3"/>
    </row>
    <row r="5114" spans="1:4" ht="12.75" x14ac:dyDescent="0.35">
      <c r="A5114" s="4"/>
      <c r="B5114" s="3"/>
      <c r="C5114" s="3"/>
      <c r="D5114" s="3"/>
    </row>
    <row r="5115" spans="1:4" ht="12.75" x14ac:dyDescent="0.35">
      <c r="A5115" s="4"/>
      <c r="B5115" s="3"/>
      <c r="C5115" s="3"/>
      <c r="D5115" s="3"/>
    </row>
    <row r="5116" spans="1:4" ht="12.75" x14ac:dyDescent="0.35">
      <c r="A5116" s="4"/>
      <c r="B5116" s="3"/>
      <c r="C5116" s="3"/>
      <c r="D5116" s="3"/>
    </row>
    <row r="5117" spans="1:4" ht="12.75" x14ac:dyDescent="0.35">
      <c r="A5117" s="4"/>
      <c r="B5117" s="3"/>
      <c r="C5117" s="3"/>
      <c r="D5117" s="3"/>
    </row>
    <row r="5118" spans="1:4" ht="12.75" x14ac:dyDescent="0.35">
      <c r="A5118" s="4"/>
      <c r="B5118" s="3"/>
      <c r="C5118" s="3"/>
      <c r="D5118" s="3"/>
    </row>
    <row r="5119" spans="1:4" ht="12.75" x14ac:dyDescent="0.35">
      <c r="A5119" s="4"/>
      <c r="B5119" s="3"/>
      <c r="C5119" s="3"/>
      <c r="D5119" s="3"/>
    </row>
    <row r="5120" spans="1:4" ht="12.75" x14ac:dyDescent="0.35">
      <c r="A5120" s="4"/>
      <c r="B5120" s="3"/>
      <c r="C5120" s="3"/>
      <c r="D5120" s="3"/>
    </row>
    <row r="5121" spans="1:4" ht="12.75" x14ac:dyDescent="0.35">
      <c r="A5121" s="4"/>
      <c r="B5121" s="3"/>
      <c r="C5121" s="3"/>
      <c r="D5121" s="3"/>
    </row>
    <row r="5122" spans="1:4" ht="12.75" x14ac:dyDescent="0.35">
      <c r="A5122" s="4"/>
      <c r="B5122" s="3"/>
      <c r="C5122" s="3"/>
      <c r="D5122" s="3"/>
    </row>
    <row r="5123" spans="1:4" ht="12.75" x14ac:dyDescent="0.35">
      <c r="A5123" s="4"/>
      <c r="B5123" s="3"/>
      <c r="C5123" s="3"/>
      <c r="D5123" s="3"/>
    </row>
    <row r="5124" spans="1:4" ht="12.75" x14ac:dyDescent="0.35">
      <c r="A5124" s="4"/>
      <c r="B5124" s="3"/>
      <c r="C5124" s="3"/>
      <c r="D5124" s="3"/>
    </row>
    <row r="5125" spans="1:4" ht="12.75" x14ac:dyDescent="0.35">
      <c r="A5125" s="4"/>
      <c r="B5125" s="3"/>
      <c r="C5125" s="3"/>
      <c r="D5125" s="3"/>
    </row>
    <row r="5126" spans="1:4" ht="12.75" x14ac:dyDescent="0.35">
      <c r="A5126" s="4"/>
      <c r="B5126" s="3"/>
      <c r="C5126" s="3"/>
      <c r="D5126" s="3"/>
    </row>
    <row r="5127" spans="1:4" ht="12.75" x14ac:dyDescent="0.35">
      <c r="A5127" s="4"/>
      <c r="B5127" s="3"/>
      <c r="C5127" s="3"/>
      <c r="D5127" s="3"/>
    </row>
    <row r="5128" spans="1:4" ht="12.75" x14ac:dyDescent="0.35">
      <c r="A5128" s="4"/>
      <c r="B5128" s="3"/>
      <c r="C5128" s="3"/>
      <c r="D5128" s="3"/>
    </row>
    <row r="5129" spans="1:4" ht="12.75" x14ac:dyDescent="0.35">
      <c r="A5129" s="4"/>
      <c r="B5129" s="3"/>
      <c r="C5129" s="3"/>
      <c r="D5129" s="3"/>
    </row>
    <row r="5130" spans="1:4" ht="12.75" x14ac:dyDescent="0.35">
      <c r="A5130" s="4"/>
      <c r="B5130" s="3"/>
      <c r="C5130" s="3"/>
      <c r="D5130" s="3"/>
    </row>
    <row r="5131" spans="1:4" ht="12.75" x14ac:dyDescent="0.35">
      <c r="A5131" s="4"/>
      <c r="B5131" s="3"/>
      <c r="C5131" s="3"/>
      <c r="D5131" s="3"/>
    </row>
    <row r="5132" spans="1:4" ht="12.75" x14ac:dyDescent="0.35">
      <c r="A5132" s="4"/>
      <c r="B5132" s="3"/>
      <c r="C5132" s="3"/>
      <c r="D5132" s="3"/>
    </row>
    <row r="5133" spans="1:4" ht="12.75" x14ac:dyDescent="0.35">
      <c r="A5133" s="4"/>
      <c r="B5133" s="3"/>
      <c r="C5133" s="3"/>
      <c r="D5133" s="3"/>
    </row>
    <row r="5134" spans="1:4" ht="12.75" x14ac:dyDescent="0.35">
      <c r="A5134" s="4"/>
      <c r="B5134" s="3"/>
      <c r="C5134" s="3"/>
      <c r="D5134" s="3"/>
    </row>
    <row r="5135" spans="1:4" ht="12.75" x14ac:dyDescent="0.35">
      <c r="A5135" s="4"/>
      <c r="B5135" s="3"/>
      <c r="C5135" s="3"/>
      <c r="D5135" s="3"/>
    </row>
    <row r="5136" spans="1:4" ht="12.75" x14ac:dyDescent="0.35">
      <c r="A5136" s="4"/>
      <c r="B5136" s="3"/>
      <c r="C5136" s="3"/>
      <c r="D5136" s="3"/>
    </row>
    <row r="5137" spans="1:4" ht="12.75" x14ac:dyDescent="0.35">
      <c r="A5137" s="4"/>
      <c r="B5137" s="3"/>
      <c r="C5137" s="3"/>
      <c r="D5137" s="3"/>
    </row>
    <row r="5138" spans="1:4" ht="12.75" x14ac:dyDescent="0.35">
      <c r="A5138" s="4"/>
      <c r="B5138" s="3"/>
      <c r="C5138" s="3"/>
      <c r="D5138" s="3"/>
    </row>
    <row r="5139" spans="1:4" ht="12.75" x14ac:dyDescent="0.35">
      <c r="A5139" s="4"/>
      <c r="B5139" s="3"/>
      <c r="C5139" s="3"/>
      <c r="D5139" s="3"/>
    </row>
    <row r="5140" spans="1:4" ht="12.75" x14ac:dyDescent="0.35">
      <c r="A5140" s="4"/>
      <c r="B5140" s="3"/>
      <c r="C5140" s="3"/>
      <c r="D5140" s="3"/>
    </row>
    <row r="5141" spans="1:4" ht="12.75" x14ac:dyDescent="0.35">
      <c r="A5141" s="4"/>
      <c r="B5141" s="3"/>
      <c r="C5141" s="3"/>
      <c r="D5141" s="3"/>
    </row>
    <row r="5142" spans="1:4" ht="12.75" x14ac:dyDescent="0.35">
      <c r="A5142" s="4"/>
      <c r="B5142" s="3"/>
      <c r="C5142" s="3"/>
      <c r="D5142" s="3"/>
    </row>
    <row r="5143" spans="1:4" ht="12.75" x14ac:dyDescent="0.35">
      <c r="A5143" s="4"/>
      <c r="B5143" s="3"/>
      <c r="C5143" s="3"/>
      <c r="D5143" s="3"/>
    </row>
    <row r="5144" spans="1:4" ht="12.75" x14ac:dyDescent="0.35">
      <c r="A5144" s="4"/>
      <c r="B5144" s="3"/>
      <c r="C5144" s="3"/>
      <c r="D5144" s="3"/>
    </row>
    <row r="5145" spans="1:4" ht="12.75" x14ac:dyDescent="0.35">
      <c r="A5145" s="4"/>
      <c r="B5145" s="3"/>
      <c r="C5145" s="3"/>
      <c r="D5145" s="3"/>
    </row>
    <row r="5146" spans="1:4" ht="12.75" x14ac:dyDescent="0.35">
      <c r="A5146" s="4"/>
      <c r="B5146" s="3"/>
      <c r="C5146" s="3"/>
      <c r="D5146" s="3"/>
    </row>
    <row r="5147" spans="1:4" ht="12.75" x14ac:dyDescent="0.35">
      <c r="A5147" s="4"/>
      <c r="B5147" s="3"/>
      <c r="C5147" s="3"/>
      <c r="D5147" s="3"/>
    </row>
    <row r="5148" spans="1:4" ht="12.75" x14ac:dyDescent="0.35">
      <c r="A5148" s="4"/>
      <c r="B5148" s="3"/>
      <c r="C5148" s="3"/>
      <c r="D5148" s="3"/>
    </row>
    <row r="5149" spans="1:4" ht="12.75" x14ac:dyDescent="0.35">
      <c r="A5149" s="4"/>
      <c r="B5149" s="3"/>
      <c r="C5149" s="3"/>
      <c r="D5149" s="3"/>
    </row>
    <row r="5150" spans="1:4" ht="12.75" x14ac:dyDescent="0.35">
      <c r="A5150" s="4"/>
      <c r="B5150" s="3"/>
      <c r="C5150" s="3"/>
      <c r="D5150" s="3"/>
    </row>
    <row r="5151" spans="1:4" ht="12.75" x14ac:dyDescent="0.35">
      <c r="A5151" s="4"/>
      <c r="B5151" s="3"/>
      <c r="C5151" s="3"/>
      <c r="D5151" s="3"/>
    </row>
    <row r="5152" spans="1:4" ht="12.75" x14ac:dyDescent="0.35">
      <c r="A5152" s="4"/>
      <c r="B5152" s="3"/>
      <c r="C5152" s="3"/>
      <c r="D5152" s="3"/>
    </row>
    <row r="5153" spans="1:4" ht="12.75" x14ac:dyDescent="0.35">
      <c r="A5153" s="4"/>
      <c r="B5153" s="3"/>
      <c r="C5153" s="3"/>
      <c r="D5153" s="3"/>
    </row>
    <row r="5154" spans="1:4" ht="12.75" x14ac:dyDescent="0.35">
      <c r="A5154" s="4"/>
      <c r="B5154" s="3"/>
      <c r="C5154" s="3"/>
      <c r="D5154" s="3"/>
    </row>
    <row r="5155" spans="1:4" ht="12.75" x14ac:dyDescent="0.35">
      <c r="A5155" s="4"/>
      <c r="B5155" s="3"/>
      <c r="C5155" s="3"/>
      <c r="D5155" s="3"/>
    </row>
    <row r="5156" spans="1:4" ht="12.75" x14ac:dyDescent="0.35">
      <c r="A5156" s="4"/>
      <c r="B5156" s="3"/>
      <c r="C5156" s="3"/>
      <c r="D5156" s="3"/>
    </row>
    <row r="5157" spans="1:4" ht="12.75" x14ac:dyDescent="0.35">
      <c r="A5157" s="4"/>
      <c r="B5157" s="3"/>
      <c r="C5157" s="3"/>
      <c r="D5157" s="3"/>
    </row>
    <row r="5158" spans="1:4" ht="12.75" x14ac:dyDescent="0.35">
      <c r="A5158" s="4"/>
      <c r="B5158" s="3"/>
      <c r="C5158" s="3"/>
      <c r="D5158" s="3"/>
    </row>
    <row r="5159" spans="1:4" ht="12.75" x14ac:dyDescent="0.35">
      <c r="A5159" s="4"/>
      <c r="B5159" s="3"/>
      <c r="C5159" s="3"/>
      <c r="D5159" s="3"/>
    </row>
    <row r="5160" spans="1:4" ht="12.75" x14ac:dyDescent="0.35">
      <c r="A5160" s="4"/>
      <c r="B5160" s="3"/>
      <c r="C5160" s="3"/>
      <c r="D5160" s="3"/>
    </row>
    <row r="5161" spans="1:4" ht="12.75" x14ac:dyDescent="0.35">
      <c r="A5161" s="4"/>
      <c r="B5161" s="3"/>
      <c r="C5161" s="3"/>
      <c r="D5161" s="3"/>
    </row>
    <row r="5162" spans="1:4" ht="12.75" x14ac:dyDescent="0.35">
      <c r="A5162" s="4"/>
      <c r="B5162" s="3"/>
      <c r="C5162" s="3"/>
      <c r="D5162" s="3"/>
    </row>
    <row r="5163" spans="1:4" ht="12.75" x14ac:dyDescent="0.35">
      <c r="A5163" s="4"/>
      <c r="B5163" s="3"/>
      <c r="C5163" s="3"/>
      <c r="D5163" s="3"/>
    </row>
    <row r="5164" spans="1:4" ht="12.75" x14ac:dyDescent="0.35">
      <c r="A5164" s="4"/>
      <c r="B5164" s="3"/>
      <c r="C5164" s="3"/>
      <c r="D5164" s="3"/>
    </row>
    <row r="5165" spans="1:4" ht="12.75" x14ac:dyDescent="0.35">
      <c r="A5165" s="4"/>
      <c r="B5165" s="3"/>
      <c r="C5165" s="3"/>
      <c r="D5165" s="3"/>
    </row>
    <row r="5166" spans="1:4" ht="12.75" x14ac:dyDescent="0.35">
      <c r="A5166" s="4"/>
      <c r="B5166" s="3"/>
      <c r="C5166" s="3"/>
      <c r="D5166" s="3"/>
    </row>
    <row r="5167" spans="1:4" ht="12.75" x14ac:dyDescent="0.35">
      <c r="A5167" s="4"/>
      <c r="B5167" s="3"/>
      <c r="C5167" s="3"/>
      <c r="D5167" s="3"/>
    </row>
    <row r="5168" spans="1:4" ht="12.75" x14ac:dyDescent="0.35">
      <c r="A5168" s="4"/>
      <c r="B5168" s="3"/>
      <c r="C5168" s="3"/>
      <c r="D5168" s="3"/>
    </row>
    <row r="5169" spans="1:4" ht="12.75" x14ac:dyDescent="0.35">
      <c r="A5169" s="4"/>
      <c r="B5169" s="3"/>
      <c r="C5169" s="3"/>
      <c r="D5169" s="3"/>
    </row>
    <row r="5170" spans="1:4" ht="12.75" x14ac:dyDescent="0.35">
      <c r="A5170" s="4"/>
      <c r="B5170" s="3"/>
      <c r="C5170" s="3"/>
      <c r="D5170" s="3"/>
    </row>
    <row r="5171" spans="1:4" ht="12.75" x14ac:dyDescent="0.35">
      <c r="A5171" s="4"/>
      <c r="B5171" s="3"/>
      <c r="C5171" s="3"/>
      <c r="D5171" s="3"/>
    </row>
    <row r="5172" spans="1:4" ht="12.75" x14ac:dyDescent="0.35">
      <c r="A5172" s="4"/>
      <c r="B5172" s="3"/>
      <c r="C5172" s="3"/>
      <c r="D5172" s="3"/>
    </row>
    <row r="5173" spans="1:4" ht="12.75" x14ac:dyDescent="0.35">
      <c r="A5173" s="4"/>
      <c r="B5173" s="3"/>
      <c r="C5173" s="3"/>
      <c r="D5173" s="3"/>
    </row>
    <row r="5174" spans="1:4" ht="12.75" x14ac:dyDescent="0.35">
      <c r="A5174" s="4"/>
      <c r="B5174" s="3"/>
      <c r="C5174" s="3"/>
      <c r="D5174" s="3"/>
    </row>
    <row r="5175" spans="1:4" ht="12.75" x14ac:dyDescent="0.35">
      <c r="A5175" s="4"/>
      <c r="B5175" s="3"/>
      <c r="C5175" s="3"/>
      <c r="D5175" s="3"/>
    </row>
    <row r="5176" spans="1:4" ht="12.75" x14ac:dyDescent="0.35">
      <c r="A5176" s="4"/>
      <c r="B5176" s="3"/>
      <c r="C5176" s="3"/>
      <c r="D5176" s="3"/>
    </row>
    <row r="5177" spans="1:4" ht="12.75" x14ac:dyDescent="0.35">
      <c r="A5177" s="4"/>
      <c r="B5177" s="3"/>
      <c r="C5177" s="3"/>
      <c r="D5177" s="3"/>
    </row>
    <row r="5178" spans="1:4" ht="12.75" x14ac:dyDescent="0.35">
      <c r="A5178" s="4"/>
      <c r="B5178" s="3"/>
      <c r="C5178" s="3"/>
      <c r="D5178" s="3"/>
    </row>
    <row r="5179" spans="1:4" ht="12.75" x14ac:dyDescent="0.35">
      <c r="A5179" s="4"/>
      <c r="B5179" s="3"/>
      <c r="C5179" s="3"/>
      <c r="D5179" s="3"/>
    </row>
    <row r="5180" spans="1:4" ht="12.75" x14ac:dyDescent="0.35">
      <c r="A5180" s="4"/>
      <c r="B5180" s="3"/>
      <c r="C5180" s="3"/>
      <c r="D5180" s="3"/>
    </row>
    <row r="5181" spans="1:4" ht="12.75" x14ac:dyDescent="0.35">
      <c r="A5181" s="4"/>
      <c r="B5181" s="3"/>
      <c r="C5181" s="3"/>
      <c r="D5181" s="3"/>
    </row>
    <row r="5182" spans="1:4" ht="12.75" x14ac:dyDescent="0.35">
      <c r="A5182" s="4"/>
      <c r="B5182" s="3"/>
      <c r="C5182" s="3"/>
      <c r="D5182" s="3"/>
    </row>
    <row r="5183" spans="1:4" ht="12.75" x14ac:dyDescent="0.35">
      <c r="A5183" s="4"/>
      <c r="B5183" s="3"/>
      <c r="C5183" s="3"/>
      <c r="D5183" s="3"/>
    </row>
    <row r="5184" spans="1:4" ht="12.75" x14ac:dyDescent="0.35">
      <c r="A5184" s="4"/>
      <c r="B5184" s="3"/>
      <c r="C5184" s="3"/>
      <c r="D5184" s="3"/>
    </row>
    <row r="5185" spans="1:4" ht="12.75" x14ac:dyDescent="0.35">
      <c r="A5185" s="4"/>
      <c r="B5185" s="3"/>
      <c r="C5185" s="3"/>
      <c r="D5185" s="3"/>
    </row>
    <row r="5186" spans="1:4" ht="12.75" x14ac:dyDescent="0.35">
      <c r="A5186" s="4"/>
      <c r="B5186" s="3"/>
      <c r="C5186" s="3"/>
      <c r="D5186" s="3"/>
    </row>
    <row r="5187" spans="1:4" ht="12.75" x14ac:dyDescent="0.35">
      <c r="A5187" s="4"/>
      <c r="B5187" s="3"/>
      <c r="C5187" s="3"/>
      <c r="D5187" s="3"/>
    </row>
    <row r="5188" spans="1:4" ht="12.75" x14ac:dyDescent="0.35">
      <c r="A5188" s="4"/>
      <c r="B5188" s="3"/>
      <c r="C5188" s="3"/>
      <c r="D5188" s="3"/>
    </row>
    <row r="5189" spans="1:4" ht="12.75" x14ac:dyDescent="0.35">
      <c r="A5189" s="4"/>
      <c r="B5189" s="3"/>
      <c r="C5189" s="3"/>
      <c r="D5189" s="3"/>
    </row>
    <row r="5190" spans="1:4" ht="12.75" x14ac:dyDescent="0.35">
      <c r="A5190" s="4"/>
      <c r="B5190" s="3"/>
      <c r="C5190" s="3"/>
      <c r="D5190" s="3"/>
    </row>
    <row r="5191" spans="1:4" ht="12.75" x14ac:dyDescent="0.35">
      <c r="A5191" s="4"/>
      <c r="B5191" s="3"/>
      <c r="C5191" s="3"/>
      <c r="D5191" s="3"/>
    </row>
    <row r="5192" spans="1:4" ht="12.75" x14ac:dyDescent="0.35">
      <c r="A5192" s="4"/>
      <c r="B5192" s="3"/>
      <c r="C5192" s="3"/>
      <c r="D5192" s="3"/>
    </row>
    <row r="5193" spans="1:4" ht="12.75" x14ac:dyDescent="0.35">
      <c r="A5193" s="4"/>
      <c r="B5193" s="3"/>
      <c r="C5193" s="3"/>
      <c r="D5193" s="3"/>
    </row>
    <row r="5194" spans="1:4" ht="12.75" x14ac:dyDescent="0.35">
      <c r="A5194" s="4"/>
      <c r="B5194" s="3"/>
      <c r="C5194" s="3"/>
      <c r="D5194" s="3"/>
    </row>
    <row r="5195" spans="1:4" ht="12.75" x14ac:dyDescent="0.35">
      <c r="A5195" s="4"/>
      <c r="B5195" s="3"/>
      <c r="C5195" s="3"/>
      <c r="D5195" s="3"/>
    </row>
    <row r="5196" spans="1:4" ht="12.75" x14ac:dyDescent="0.35">
      <c r="A5196" s="4"/>
      <c r="B5196" s="3"/>
      <c r="C5196" s="3"/>
      <c r="D5196" s="3"/>
    </row>
    <row r="5197" spans="1:4" ht="12.75" x14ac:dyDescent="0.35">
      <c r="A5197" s="4"/>
      <c r="B5197" s="3"/>
      <c r="C5197" s="3"/>
      <c r="D5197" s="3"/>
    </row>
    <row r="5198" spans="1:4" ht="12.75" x14ac:dyDescent="0.35">
      <c r="A5198" s="4"/>
      <c r="B5198" s="3"/>
      <c r="C5198" s="3"/>
      <c r="D5198" s="3"/>
    </row>
    <row r="5199" spans="1:4" ht="12.75" x14ac:dyDescent="0.35">
      <c r="A5199" s="4"/>
      <c r="B5199" s="3"/>
      <c r="C5199" s="3"/>
      <c r="D5199" s="3"/>
    </row>
    <row r="5200" spans="1:4" ht="12.75" x14ac:dyDescent="0.35">
      <c r="A5200" s="4"/>
      <c r="B5200" s="3"/>
      <c r="C5200" s="3"/>
      <c r="D5200" s="3"/>
    </row>
    <row r="5201" spans="1:4" ht="12.75" x14ac:dyDescent="0.35">
      <c r="A5201" s="4"/>
      <c r="B5201" s="3"/>
      <c r="C5201" s="3"/>
      <c r="D5201" s="3"/>
    </row>
    <row r="5202" spans="1:4" ht="12.75" x14ac:dyDescent="0.35">
      <c r="A5202" s="4"/>
      <c r="B5202" s="3"/>
      <c r="C5202" s="3"/>
      <c r="D5202" s="3"/>
    </row>
    <row r="5203" spans="1:4" ht="12.75" x14ac:dyDescent="0.35">
      <c r="A5203" s="4"/>
      <c r="B5203" s="3"/>
      <c r="C5203" s="3"/>
      <c r="D5203" s="3"/>
    </row>
    <row r="5204" spans="1:4" ht="12.75" x14ac:dyDescent="0.35">
      <c r="A5204" s="4"/>
      <c r="B5204" s="3"/>
      <c r="C5204" s="3"/>
      <c r="D5204" s="3"/>
    </row>
    <row r="5205" spans="1:4" ht="12.75" x14ac:dyDescent="0.35">
      <c r="A5205" s="4"/>
      <c r="B5205" s="3"/>
      <c r="C5205" s="3"/>
      <c r="D5205" s="3"/>
    </row>
    <row r="5206" spans="1:4" ht="12.75" x14ac:dyDescent="0.35">
      <c r="A5206" s="4"/>
      <c r="B5206" s="3"/>
      <c r="C5206" s="3"/>
      <c r="D5206" s="3"/>
    </row>
    <row r="5207" spans="1:4" ht="12.75" x14ac:dyDescent="0.35">
      <c r="A5207" s="4"/>
      <c r="B5207" s="3"/>
      <c r="C5207" s="3"/>
      <c r="D5207" s="3"/>
    </row>
    <row r="5208" spans="1:4" ht="12.75" x14ac:dyDescent="0.35">
      <c r="A5208" s="4"/>
      <c r="B5208" s="3"/>
      <c r="C5208" s="3"/>
      <c r="D5208" s="3"/>
    </row>
    <row r="5209" spans="1:4" ht="12.75" x14ac:dyDescent="0.35">
      <c r="A5209" s="4"/>
      <c r="B5209" s="3"/>
      <c r="C5209" s="3"/>
      <c r="D5209" s="3"/>
    </row>
    <row r="5210" spans="1:4" ht="12.75" x14ac:dyDescent="0.35">
      <c r="A5210" s="4"/>
      <c r="B5210" s="3"/>
      <c r="C5210" s="3"/>
      <c r="D5210" s="3"/>
    </row>
    <row r="5211" spans="1:4" ht="12.75" x14ac:dyDescent="0.35">
      <c r="A5211" s="4"/>
      <c r="B5211" s="3"/>
      <c r="C5211" s="3"/>
      <c r="D5211" s="3"/>
    </row>
    <row r="5212" spans="1:4" ht="12.75" x14ac:dyDescent="0.35">
      <c r="A5212" s="4"/>
      <c r="B5212" s="3"/>
      <c r="C5212" s="3"/>
      <c r="D5212" s="3"/>
    </row>
    <row r="5213" spans="1:4" ht="12.75" x14ac:dyDescent="0.35">
      <c r="A5213" s="4"/>
      <c r="B5213" s="3"/>
      <c r="C5213" s="3"/>
      <c r="D5213" s="3"/>
    </row>
    <row r="5214" spans="1:4" ht="12.75" x14ac:dyDescent="0.35">
      <c r="A5214" s="4"/>
      <c r="B5214" s="3"/>
      <c r="C5214" s="3"/>
      <c r="D5214" s="3"/>
    </row>
    <row r="5215" spans="1:4" ht="12.75" x14ac:dyDescent="0.35">
      <c r="A5215" s="4"/>
      <c r="B5215" s="3"/>
      <c r="C5215" s="3"/>
      <c r="D5215" s="3"/>
    </row>
    <row r="5216" spans="1:4" ht="12.75" x14ac:dyDescent="0.35">
      <c r="A5216" s="4"/>
      <c r="B5216" s="3"/>
      <c r="C5216" s="3"/>
      <c r="D5216" s="3"/>
    </row>
    <row r="5217" spans="1:4" ht="12.75" x14ac:dyDescent="0.35">
      <c r="A5217" s="4"/>
      <c r="B5217" s="3"/>
      <c r="C5217" s="3"/>
      <c r="D5217" s="3"/>
    </row>
    <row r="5218" spans="1:4" ht="12.75" x14ac:dyDescent="0.35">
      <c r="A5218" s="4"/>
      <c r="B5218" s="3"/>
      <c r="C5218" s="3"/>
      <c r="D5218" s="3"/>
    </row>
    <row r="5219" spans="1:4" ht="12.75" x14ac:dyDescent="0.35">
      <c r="A5219" s="4"/>
      <c r="B5219" s="3"/>
      <c r="C5219" s="3"/>
      <c r="D5219" s="3"/>
    </row>
    <row r="5220" spans="1:4" ht="12.75" x14ac:dyDescent="0.35">
      <c r="A5220" s="4"/>
      <c r="B5220" s="3"/>
      <c r="C5220" s="3"/>
      <c r="D5220" s="3"/>
    </row>
    <row r="5221" spans="1:4" ht="12.75" x14ac:dyDescent="0.35">
      <c r="A5221" s="4"/>
      <c r="B5221" s="3"/>
      <c r="C5221" s="3"/>
      <c r="D5221" s="3"/>
    </row>
    <row r="5222" spans="1:4" ht="12.75" x14ac:dyDescent="0.35">
      <c r="A5222" s="4"/>
      <c r="B5222" s="3"/>
      <c r="C5222" s="3"/>
      <c r="D5222" s="3"/>
    </row>
    <row r="5223" spans="1:4" ht="12.75" x14ac:dyDescent="0.35">
      <c r="A5223" s="4"/>
      <c r="B5223" s="3"/>
      <c r="C5223" s="3"/>
      <c r="D5223" s="3"/>
    </row>
    <row r="5224" spans="1:4" ht="12.75" x14ac:dyDescent="0.35">
      <c r="A5224" s="4"/>
      <c r="B5224" s="3"/>
      <c r="C5224" s="3"/>
      <c r="D5224" s="3"/>
    </row>
    <row r="5225" spans="1:4" ht="12.75" x14ac:dyDescent="0.35">
      <c r="A5225" s="4"/>
      <c r="B5225" s="3"/>
      <c r="C5225" s="3"/>
      <c r="D5225" s="3"/>
    </row>
    <row r="5226" spans="1:4" ht="12.75" x14ac:dyDescent="0.35">
      <c r="A5226" s="4"/>
      <c r="B5226" s="3"/>
      <c r="C5226" s="3"/>
      <c r="D5226" s="3"/>
    </row>
    <row r="5227" spans="1:4" ht="12.75" x14ac:dyDescent="0.35">
      <c r="A5227" s="4"/>
      <c r="B5227" s="3"/>
      <c r="C5227" s="3"/>
      <c r="D5227" s="3"/>
    </row>
    <row r="5228" spans="1:4" ht="12.75" x14ac:dyDescent="0.35">
      <c r="A5228" s="4"/>
      <c r="B5228" s="3"/>
      <c r="C5228" s="3"/>
      <c r="D5228" s="3"/>
    </row>
    <row r="5229" spans="1:4" ht="12.75" x14ac:dyDescent="0.35">
      <c r="A5229" s="4"/>
      <c r="B5229" s="3"/>
      <c r="C5229" s="3"/>
      <c r="D5229" s="3"/>
    </row>
    <row r="5230" spans="1:4" ht="12.75" x14ac:dyDescent="0.35">
      <c r="A5230" s="4"/>
      <c r="B5230" s="3"/>
      <c r="C5230" s="3"/>
      <c r="D5230" s="3"/>
    </row>
    <row r="5231" spans="1:4" ht="12.75" x14ac:dyDescent="0.35">
      <c r="A5231" s="4"/>
      <c r="B5231" s="3"/>
      <c r="C5231" s="3"/>
      <c r="D5231" s="3"/>
    </row>
    <row r="5232" spans="1:4" ht="12.75" x14ac:dyDescent="0.35">
      <c r="A5232" s="4"/>
      <c r="B5232" s="3"/>
      <c r="C5232" s="3"/>
      <c r="D5232" s="3"/>
    </row>
    <row r="5233" spans="1:4" ht="12.75" x14ac:dyDescent="0.35">
      <c r="A5233" s="4"/>
      <c r="B5233" s="3"/>
      <c r="C5233" s="3"/>
      <c r="D5233" s="3"/>
    </row>
    <row r="5234" spans="1:4" ht="12.75" x14ac:dyDescent="0.35">
      <c r="A5234" s="4"/>
      <c r="B5234" s="3"/>
      <c r="C5234" s="3"/>
      <c r="D5234" s="3"/>
    </row>
    <row r="5235" spans="1:4" ht="12.75" x14ac:dyDescent="0.35">
      <c r="A5235" s="4"/>
      <c r="B5235" s="3"/>
      <c r="C5235" s="3"/>
      <c r="D5235" s="3"/>
    </row>
    <row r="5236" spans="1:4" ht="12.75" x14ac:dyDescent="0.35">
      <c r="A5236" s="4"/>
      <c r="B5236" s="3"/>
      <c r="C5236" s="3"/>
      <c r="D5236" s="3"/>
    </row>
    <row r="5237" spans="1:4" ht="12.75" x14ac:dyDescent="0.35">
      <c r="A5237" s="4"/>
      <c r="B5237" s="3"/>
      <c r="C5237" s="3"/>
      <c r="D5237" s="3"/>
    </row>
    <row r="5238" spans="1:4" ht="12.75" x14ac:dyDescent="0.35">
      <c r="A5238" s="4"/>
      <c r="B5238" s="3"/>
      <c r="C5238" s="3"/>
      <c r="D5238" s="3"/>
    </row>
    <row r="5239" spans="1:4" ht="12.75" x14ac:dyDescent="0.35">
      <c r="A5239" s="4"/>
      <c r="B5239" s="3"/>
      <c r="C5239" s="3"/>
      <c r="D5239" s="3"/>
    </row>
    <row r="5240" spans="1:4" ht="12.75" x14ac:dyDescent="0.35">
      <c r="A5240" s="4"/>
      <c r="B5240" s="3"/>
      <c r="C5240" s="3"/>
      <c r="D5240" s="3"/>
    </row>
    <row r="5241" spans="1:4" ht="12.75" x14ac:dyDescent="0.35">
      <c r="A5241" s="4"/>
      <c r="B5241" s="3"/>
      <c r="C5241" s="3"/>
      <c r="D5241" s="3"/>
    </row>
    <row r="5242" spans="1:4" ht="12.75" x14ac:dyDescent="0.35">
      <c r="A5242" s="4"/>
      <c r="B5242" s="3"/>
      <c r="C5242" s="3"/>
      <c r="D5242" s="3"/>
    </row>
    <row r="5243" spans="1:4" ht="12.75" x14ac:dyDescent="0.35">
      <c r="A5243" s="4"/>
      <c r="B5243" s="3"/>
      <c r="C5243" s="3"/>
      <c r="D5243" s="3"/>
    </row>
    <row r="5244" spans="1:4" ht="12.75" x14ac:dyDescent="0.35">
      <c r="A5244" s="4"/>
      <c r="B5244" s="3"/>
      <c r="C5244" s="3"/>
      <c r="D5244" s="3"/>
    </row>
    <row r="5245" spans="1:4" ht="12.75" x14ac:dyDescent="0.35">
      <c r="A5245" s="4"/>
      <c r="B5245" s="3"/>
      <c r="C5245" s="3"/>
      <c r="D5245" s="3"/>
    </row>
    <row r="5246" spans="1:4" ht="12.75" x14ac:dyDescent="0.35">
      <c r="A5246" s="4"/>
      <c r="B5246" s="3"/>
      <c r="C5246" s="3"/>
      <c r="D5246" s="3"/>
    </row>
    <row r="5247" spans="1:4" ht="12.75" x14ac:dyDescent="0.35">
      <c r="A5247" s="4"/>
      <c r="B5247" s="3"/>
      <c r="C5247" s="3"/>
      <c r="D5247" s="3"/>
    </row>
    <row r="5248" spans="1:4" ht="12.75" x14ac:dyDescent="0.35">
      <c r="A5248" s="4"/>
      <c r="B5248" s="3"/>
      <c r="C5248" s="3"/>
      <c r="D5248" s="3"/>
    </row>
    <row r="5249" spans="1:4" ht="12.75" x14ac:dyDescent="0.35">
      <c r="A5249" s="4"/>
      <c r="B5249" s="3"/>
      <c r="C5249" s="3"/>
      <c r="D5249" s="3"/>
    </row>
    <row r="5250" spans="1:4" ht="12.75" x14ac:dyDescent="0.35">
      <c r="A5250" s="4"/>
      <c r="B5250" s="3"/>
      <c r="C5250" s="3"/>
      <c r="D5250" s="3"/>
    </row>
    <row r="5251" spans="1:4" ht="12.75" x14ac:dyDescent="0.35">
      <c r="A5251" s="4"/>
      <c r="B5251" s="3"/>
      <c r="C5251" s="3"/>
      <c r="D5251" s="3"/>
    </row>
    <row r="5252" spans="1:4" ht="12.75" x14ac:dyDescent="0.35">
      <c r="A5252" s="4"/>
      <c r="B5252" s="3"/>
      <c r="C5252" s="3"/>
      <c r="D5252" s="3"/>
    </row>
    <row r="5253" spans="1:4" ht="12.75" x14ac:dyDescent="0.35">
      <c r="A5253" s="4"/>
      <c r="B5253" s="3"/>
      <c r="C5253" s="3"/>
      <c r="D5253" s="3"/>
    </row>
    <row r="5254" spans="1:4" ht="12.75" x14ac:dyDescent="0.35">
      <c r="A5254" s="4"/>
      <c r="B5254" s="3"/>
      <c r="C5254" s="3"/>
      <c r="D5254" s="3"/>
    </row>
    <row r="5255" spans="1:4" ht="12.75" x14ac:dyDescent="0.35">
      <c r="A5255" s="4"/>
      <c r="B5255" s="3"/>
      <c r="C5255" s="3"/>
      <c r="D5255" s="3"/>
    </row>
    <row r="5256" spans="1:4" ht="12.75" x14ac:dyDescent="0.35">
      <c r="A5256" s="4"/>
      <c r="B5256" s="3"/>
      <c r="C5256" s="3"/>
      <c r="D5256" s="3"/>
    </row>
    <row r="5257" spans="1:4" ht="12.75" x14ac:dyDescent="0.35">
      <c r="A5257" s="4"/>
      <c r="B5257" s="3"/>
      <c r="C5257" s="3"/>
      <c r="D5257" s="3"/>
    </row>
    <row r="5258" spans="1:4" ht="12.75" x14ac:dyDescent="0.35">
      <c r="A5258" s="4"/>
      <c r="B5258" s="3"/>
      <c r="C5258" s="3"/>
      <c r="D5258" s="3"/>
    </row>
    <row r="5259" spans="1:4" ht="12.75" x14ac:dyDescent="0.35">
      <c r="A5259" s="4"/>
      <c r="B5259" s="3"/>
      <c r="C5259" s="3"/>
      <c r="D5259" s="3"/>
    </row>
    <row r="5260" spans="1:4" ht="12.75" x14ac:dyDescent="0.35">
      <c r="A5260" s="4"/>
      <c r="B5260" s="3"/>
      <c r="C5260" s="3"/>
      <c r="D5260" s="3"/>
    </row>
    <row r="5261" spans="1:4" ht="12.75" x14ac:dyDescent="0.35">
      <c r="A5261" s="4"/>
      <c r="B5261" s="3"/>
      <c r="C5261" s="3"/>
      <c r="D5261" s="3"/>
    </row>
    <row r="5262" spans="1:4" ht="12.75" x14ac:dyDescent="0.35">
      <c r="A5262" s="4"/>
      <c r="B5262" s="3"/>
      <c r="C5262" s="3"/>
      <c r="D5262" s="3"/>
    </row>
    <row r="5263" spans="1:4" ht="12.75" x14ac:dyDescent="0.35">
      <c r="A5263" s="4"/>
      <c r="B5263" s="3"/>
      <c r="C5263" s="3"/>
      <c r="D5263" s="3"/>
    </row>
    <row r="5264" spans="1:4" ht="12.75" x14ac:dyDescent="0.35">
      <c r="A5264" s="4"/>
      <c r="B5264" s="3"/>
      <c r="C5264" s="3"/>
      <c r="D5264" s="3"/>
    </row>
    <row r="5265" spans="1:4" ht="12.75" x14ac:dyDescent="0.35">
      <c r="A5265" s="4"/>
      <c r="B5265" s="3"/>
      <c r="C5265" s="3"/>
      <c r="D5265" s="3"/>
    </row>
    <row r="5266" spans="1:4" ht="12.75" x14ac:dyDescent="0.35">
      <c r="A5266" s="4"/>
      <c r="B5266" s="3"/>
      <c r="C5266" s="3"/>
      <c r="D5266" s="3"/>
    </row>
    <row r="5267" spans="1:4" ht="12.75" x14ac:dyDescent="0.35">
      <c r="A5267" s="4"/>
      <c r="B5267" s="3"/>
      <c r="C5267" s="3"/>
      <c r="D5267" s="3"/>
    </row>
    <row r="5268" spans="1:4" ht="12.75" x14ac:dyDescent="0.35">
      <c r="A5268" s="4"/>
      <c r="B5268" s="3"/>
      <c r="C5268" s="3"/>
      <c r="D5268" s="3"/>
    </row>
    <row r="5269" spans="1:4" ht="12.75" x14ac:dyDescent="0.35">
      <c r="A5269" s="4"/>
      <c r="B5269" s="3"/>
      <c r="C5269" s="3"/>
      <c r="D5269" s="3"/>
    </row>
    <row r="5270" spans="1:4" ht="12.75" x14ac:dyDescent="0.35">
      <c r="A5270" s="4"/>
      <c r="B5270" s="3"/>
      <c r="C5270" s="3"/>
      <c r="D5270" s="3"/>
    </row>
    <row r="5271" spans="1:4" ht="12.75" x14ac:dyDescent="0.35">
      <c r="A5271" s="4"/>
      <c r="B5271" s="3"/>
      <c r="C5271" s="3"/>
      <c r="D5271" s="3"/>
    </row>
    <row r="5272" spans="1:4" ht="12.75" x14ac:dyDescent="0.35">
      <c r="A5272" s="4"/>
      <c r="B5272" s="3"/>
      <c r="C5272" s="3"/>
      <c r="D5272" s="3"/>
    </row>
    <row r="5273" spans="1:4" ht="12.75" x14ac:dyDescent="0.35">
      <c r="A5273" s="4"/>
      <c r="B5273" s="3"/>
      <c r="C5273" s="3"/>
      <c r="D5273" s="3"/>
    </row>
    <row r="5274" spans="1:4" ht="12.75" x14ac:dyDescent="0.35">
      <c r="A5274" s="4"/>
      <c r="B5274" s="3"/>
      <c r="C5274" s="3"/>
      <c r="D5274" s="3"/>
    </row>
    <row r="5275" spans="1:4" ht="12.75" x14ac:dyDescent="0.35">
      <c r="A5275" s="4"/>
      <c r="B5275" s="3"/>
      <c r="C5275" s="3"/>
      <c r="D5275" s="3"/>
    </row>
    <row r="5276" spans="1:4" ht="12.75" x14ac:dyDescent="0.35">
      <c r="A5276" s="4"/>
      <c r="B5276" s="3"/>
      <c r="C5276" s="3"/>
      <c r="D5276" s="3"/>
    </row>
    <row r="5277" spans="1:4" ht="12.75" x14ac:dyDescent="0.35">
      <c r="A5277" s="4"/>
      <c r="B5277" s="3"/>
      <c r="C5277" s="3"/>
      <c r="D5277" s="3"/>
    </row>
    <row r="5278" spans="1:4" ht="12.75" x14ac:dyDescent="0.35">
      <c r="A5278" s="4"/>
      <c r="B5278" s="3"/>
      <c r="C5278" s="3"/>
      <c r="D5278" s="3"/>
    </row>
    <row r="5279" spans="1:4" ht="12.75" x14ac:dyDescent="0.35">
      <c r="A5279" s="4"/>
      <c r="B5279" s="3"/>
      <c r="C5279" s="3"/>
      <c r="D5279" s="3"/>
    </row>
    <row r="5280" spans="1:4" ht="12.75" x14ac:dyDescent="0.35">
      <c r="A5280" s="4"/>
      <c r="B5280" s="3"/>
      <c r="C5280" s="3"/>
      <c r="D5280" s="3"/>
    </row>
    <row r="5281" spans="1:4" ht="12.75" x14ac:dyDescent="0.35">
      <c r="A5281" s="4"/>
      <c r="B5281" s="3"/>
      <c r="C5281" s="3"/>
      <c r="D5281" s="3"/>
    </row>
  </sheetData>
  <autoFilter ref="A1:D5051" xr:uid="{00000000-0009-0000-0000-000000000000}">
    <sortState xmlns:xlrd2="http://schemas.microsoft.com/office/spreadsheetml/2017/richdata2" ref="A67:D4929">
      <sortCondition ref="B1:B50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63"/>
  <sheetViews>
    <sheetView topLeftCell="A1656" workbookViewId="0">
      <selection activeCell="D1761" sqref="D1761"/>
    </sheetView>
  </sheetViews>
  <sheetFormatPr defaultColWidth="12.59765625" defaultRowHeight="15.75" customHeight="1" x14ac:dyDescent="0.35"/>
  <cols>
    <col min="3" max="3" width="20" customWidth="1"/>
    <col min="4" max="4" width="27" customWidth="1"/>
    <col min="5" max="5" width="38.9296875" customWidth="1"/>
  </cols>
  <sheetData>
    <row r="1" spans="1:6" ht="15.75" customHeight="1" x14ac:dyDescent="0.4">
      <c r="A1" s="1" t="s">
        <v>1</v>
      </c>
      <c r="B1" s="1" t="s">
        <v>1966</v>
      </c>
      <c r="C1" s="1" t="s">
        <v>1967</v>
      </c>
      <c r="D1" s="1" t="s">
        <v>1968</v>
      </c>
      <c r="E1" s="1" t="s">
        <v>1969</v>
      </c>
      <c r="F1" s="1" t="s">
        <v>1970</v>
      </c>
    </row>
    <row r="2" spans="1:6" ht="15.75" customHeight="1" x14ac:dyDescent="0.45">
      <c r="A2" s="6" t="str">
        <f ca="1">IFERROR(__xludf.DUMMYFUNCTION("""COMPUTED_VALUE"""),"XQ3L7XO")</f>
        <v>XQ3L7XO</v>
      </c>
      <c r="B2" s="7" t="s">
        <v>1971</v>
      </c>
      <c r="C2" s="7" t="s">
        <v>1972</v>
      </c>
      <c r="D2" s="7" t="s">
        <v>1973</v>
      </c>
      <c r="E2" s="8">
        <v>20373</v>
      </c>
      <c r="F2" s="10" t="s">
        <v>2242</v>
      </c>
    </row>
    <row r="3" spans="1:6" ht="15.75" customHeight="1" x14ac:dyDescent="0.45">
      <c r="A3" s="6" t="str">
        <f ca="1">IFERROR(__xludf.DUMMYFUNCTION("""COMPUTED_VALUE"""),"XYBKCRP")</f>
        <v>XYBKCRP</v>
      </c>
      <c r="B3" s="7" t="s">
        <v>1971</v>
      </c>
      <c r="C3" s="7" t="s">
        <v>1974</v>
      </c>
      <c r="D3" s="7" t="s">
        <v>1974</v>
      </c>
      <c r="E3" s="8">
        <v>20489</v>
      </c>
      <c r="F3" s="10" t="s">
        <v>2281</v>
      </c>
    </row>
    <row r="4" spans="1:6" ht="15.75" customHeight="1" x14ac:dyDescent="0.45">
      <c r="A4" s="6" t="str">
        <f ca="1">IFERROR(__xludf.DUMMYFUNCTION("""COMPUTED_VALUE"""),"X1Y6P")</f>
        <v>X1Y6P</v>
      </c>
      <c r="B4" s="7" t="s">
        <v>1971</v>
      </c>
      <c r="C4" s="7" t="s">
        <v>1972</v>
      </c>
      <c r="D4" s="7" t="s">
        <v>2070</v>
      </c>
      <c r="E4" s="8">
        <v>20694</v>
      </c>
      <c r="F4" s="10" t="s">
        <v>2297</v>
      </c>
    </row>
    <row r="5" spans="1:6" ht="15.75" customHeight="1" x14ac:dyDescent="0.45">
      <c r="A5" s="6" t="str">
        <f ca="1">IFERROR(__xludf.DUMMYFUNCTION("""COMPUTED_VALUE"""),"X20T7")</f>
        <v>X20T7</v>
      </c>
      <c r="B5" s="7" t="s">
        <v>1971</v>
      </c>
      <c r="C5" s="7" t="s">
        <v>1993</v>
      </c>
      <c r="D5" s="7" t="s">
        <v>1973</v>
      </c>
      <c r="E5" s="8">
        <v>20931</v>
      </c>
      <c r="F5" s="10" t="s">
        <v>2223</v>
      </c>
    </row>
    <row r="6" spans="1:6" ht="15.75" customHeight="1" x14ac:dyDescent="0.45">
      <c r="A6" s="6" t="str">
        <f ca="1">IFERROR(__xludf.DUMMYFUNCTION("""COMPUTED_VALUE"""),"XRTC2Y5")</f>
        <v>XRTC2Y5</v>
      </c>
      <c r="B6" s="7" t="s">
        <v>1971</v>
      </c>
      <c r="C6" s="7" t="s">
        <v>1981</v>
      </c>
      <c r="D6" s="7" t="s">
        <v>1974</v>
      </c>
      <c r="E6" s="8">
        <v>20944</v>
      </c>
      <c r="F6" s="10" t="s">
        <v>2258</v>
      </c>
    </row>
    <row r="7" spans="1:6" ht="15.75" customHeight="1" x14ac:dyDescent="0.45">
      <c r="A7" s="6" t="str">
        <f ca="1">IFERROR(__xludf.DUMMYFUNCTION("""COMPUTED_VALUE"""),"X3695")</f>
        <v>X3695</v>
      </c>
      <c r="B7" s="7" t="s">
        <v>1980</v>
      </c>
      <c r="C7" s="7" t="s">
        <v>1981</v>
      </c>
      <c r="D7" s="7" t="s">
        <v>1978</v>
      </c>
      <c r="E7" s="8">
        <v>21071</v>
      </c>
      <c r="F7" s="10" t="s">
        <v>2180</v>
      </c>
    </row>
    <row r="8" spans="1:6" ht="15.75" customHeight="1" x14ac:dyDescent="0.45">
      <c r="A8" s="6" t="str">
        <f ca="1">IFERROR(__xludf.DUMMYFUNCTION("""COMPUTED_VALUE"""),"X2915W")</f>
        <v>X2915W</v>
      </c>
      <c r="B8" s="7" t="s">
        <v>1980</v>
      </c>
      <c r="C8" s="7" t="s">
        <v>1981</v>
      </c>
      <c r="D8" s="7" t="s">
        <v>2072</v>
      </c>
      <c r="E8" s="8">
        <v>21151</v>
      </c>
      <c r="F8" s="10" t="s">
        <v>2002</v>
      </c>
    </row>
    <row r="9" spans="1:6" ht="15.75" customHeight="1" x14ac:dyDescent="0.45">
      <c r="A9" s="6" t="str">
        <f ca="1">IFERROR(__xludf.DUMMYFUNCTION("""COMPUTED_VALUE"""),"X1LNH")</f>
        <v>X1LNH</v>
      </c>
      <c r="B9" s="7" t="s">
        <v>1971</v>
      </c>
      <c r="C9" s="7" t="s">
        <v>1972</v>
      </c>
      <c r="D9" s="7" t="s">
        <v>1974</v>
      </c>
      <c r="E9" s="8">
        <v>21204</v>
      </c>
      <c r="F9" s="10" t="s">
        <v>2068</v>
      </c>
    </row>
    <row r="10" spans="1:6" ht="15.75" customHeight="1" x14ac:dyDescent="0.45">
      <c r="A10" s="6" t="str">
        <f ca="1">IFERROR(__xludf.DUMMYFUNCTION("""COMPUTED_VALUE"""),"X2700")</f>
        <v>X2700</v>
      </c>
      <c r="B10" s="7" t="s">
        <v>1971</v>
      </c>
      <c r="C10" s="7" t="s">
        <v>1972</v>
      </c>
      <c r="D10" s="7" t="s">
        <v>1993</v>
      </c>
      <c r="E10" s="8">
        <v>21632</v>
      </c>
      <c r="F10" s="10" t="s">
        <v>2248</v>
      </c>
    </row>
    <row r="11" spans="1:6" ht="15.75" customHeight="1" x14ac:dyDescent="0.45">
      <c r="A11" s="6" t="str">
        <f ca="1">IFERROR(__xludf.DUMMYFUNCTION("""COMPUTED_VALUE"""),"XR4GW77")</f>
        <v>XR4GW77</v>
      </c>
      <c r="B11" s="7" t="s">
        <v>1971</v>
      </c>
      <c r="C11" s="7" t="s">
        <v>1972</v>
      </c>
      <c r="D11" s="7" t="s">
        <v>1997</v>
      </c>
      <c r="E11" s="8">
        <v>21901</v>
      </c>
      <c r="F11" s="9">
        <v>44236</v>
      </c>
    </row>
    <row r="12" spans="1:6" ht="15.75" customHeight="1" x14ac:dyDescent="0.45">
      <c r="A12" s="6" t="str">
        <f ca="1">IFERROR(__xludf.DUMMYFUNCTION("""COMPUTED_VALUE"""),"X2DZ4")</f>
        <v>X2DZ4</v>
      </c>
      <c r="B12" s="7" t="s">
        <v>1980</v>
      </c>
      <c r="C12" s="7" t="s">
        <v>1981</v>
      </c>
      <c r="D12" s="7" t="s">
        <v>1974</v>
      </c>
      <c r="E12" s="8">
        <v>22208</v>
      </c>
      <c r="F12" s="10" t="s">
        <v>2152</v>
      </c>
    </row>
    <row r="13" spans="1:6" ht="15.75" customHeight="1" x14ac:dyDescent="0.45">
      <c r="A13" s="6" t="str">
        <f ca="1">IFERROR(__xludf.DUMMYFUNCTION("""COMPUTED_VALUE"""),"X3609")</f>
        <v>X3609</v>
      </c>
      <c r="B13" s="7" t="s">
        <v>1980</v>
      </c>
      <c r="C13" s="7" t="s">
        <v>1977</v>
      </c>
      <c r="D13" s="7" t="s">
        <v>2026</v>
      </c>
      <c r="E13" s="8">
        <v>22336</v>
      </c>
      <c r="F13" s="10" t="s">
        <v>2208</v>
      </c>
    </row>
    <row r="14" spans="1:6" ht="15.75" customHeight="1" x14ac:dyDescent="0.45">
      <c r="A14" s="6" t="str">
        <f ca="1">IFERROR(__xludf.DUMMYFUNCTION("""COMPUTED_VALUE"""),"X3603")</f>
        <v>X3603</v>
      </c>
      <c r="B14" s="7" t="s">
        <v>1980</v>
      </c>
      <c r="C14" s="7" t="s">
        <v>1972</v>
      </c>
      <c r="D14" s="7" t="s">
        <v>1974</v>
      </c>
      <c r="E14" s="8">
        <v>22587</v>
      </c>
      <c r="F14" s="10" t="s">
        <v>2221</v>
      </c>
    </row>
    <row r="15" spans="1:6" ht="15.75" customHeight="1" x14ac:dyDescent="0.45">
      <c r="A15" s="6" t="str">
        <f ca="1">IFERROR(__xludf.DUMMYFUNCTION("""COMPUTED_VALUE"""),"X2DZ5")</f>
        <v>X2DZ5</v>
      </c>
      <c r="B15" s="7" t="s">
        <v>1980</v>
      </c>
      <c r="C15" s="7" t="s">
        <v>1977</v>
      </c>
      <c r="D15" s="7" t="s">
        <v>1975</v>
      </c>
      <c r="E15" s="8">
        <v>22614</v>
      </c>
      <c r="F15" s="10" t="s">
        <v>2152</v>
      </c>
    </row>
    <row r="16" spans="1:6" ht="15.75" customHeight="1" x14ac:dyDescent="0.45">
      <c r="A16" s="6" t="str">
        <f ca="1">IFERROR(__xludf.DUMMYFUNCTION("""COMPUTED_VALUE"""),"X2DHW")</f>
        <v>X2DHW</v>
      </c>
      <c r="B16" s="7" t="s">
        <v>1971</v>
      </c>
      <c r="C16" s="7" t="s">
        <v>1972</v>
      </c>
      <c r="D16" s="7" t="s">
        <v>1975</v>
      </c>
      <c r="E16" s="8">
        <v>22647</v>
      </c>
      <c r="F16" s="10" t="s">
        <v>2061</v>
      </c>
    </row>
    <row r="17" spans="1:6" ht="15.75" customHeight="1" x14ac:dyDescent="0.45">
      <c r="A17" s="6" t="str">
        <f ca="1">IFERROR(__xludf.DUMMYFUNCTION("""COMPUTED_VALUE"""),"X891IED")</f>
        <v>X891IED</v>
      </c>
      <c r="B17" s="7" t="s">
        <v>1971</v>
      </c>
      <c r="C17" s="7" t="s">
        <v>1972</v>
      </c>
      <c r="D17" s="7" t="s">
        <v>2020</v>
      </c>
      <c r="E17" s="8">
        <v>23489</v>
      </c>
      <c r="F17" s="10" t="s">
        <v>2258</v>
      </c>
    </row>
    <row r="18" spans="1:6" ht="15.75" customHeight="1" x14ac:dyDescent="0.45">
      <c r="A18" s="6" t="str">
        <f ca="1">IFERROR(__xludf.DUMMYFUNCTION("""COMPUTED_VALUE"""),"XCVQHVP")</f>
        <v>XCVQHVP</v>
      </c>
      <c r="B18" s="7" t="s">
        <v>1971</v>
      </c>
      <c r="C18" s="7" t="s">
        <v>1972</v>
      </c>
      <c r="D18" s="7" t="s">
        <v>1978</v>
      </c>
      <c r="E18" s="8">
        <v>23519</v>
      </c>
      <c r="F18" s="9">
        <v>44503</v>
      </c>
    </row>
    <row r="19" spans="1:6" ht="15.75" customHeight="1" x14ac:dyDescent="0.45">
      <c r="A19" s="6" t="str">
        <f ca="1">IFERROR(__xludf.DUMMYFUNCTION("""COMPUTED_VALUE"""),"X29WZ")</f>
        <v>X29WZ</v>
      </c>
      <c r="B19" s="7" t="s">
        <v>1971</v>
      </c>
      <c r="C19" s="7" t="s">
        <v>1972</v>
      </c>
      <c r="D19" s="7" t="s">
        <v>2007</v>
      </c>
      <c r="E19" s="8">
        <v>23649</v>
      </c>
      <c r="F19" s="10" t="s">
        <v>2008</v>
      </c>
    </row>
    <row r="20" spans="1:6" ht="14.25" x14ac:dyDescent="0.45">
      <c r="A20" s="6" t="str">
        <f ca="1">IFERROR(__xludf.DUMMYFUNCTION("""COMPUTED_VALUE"""),"X1JFW")</f>
        <v>X1JFW</v>
      </c>
      <c r="B20" s="7" t="s">
        <v>1971</v>
      </c>
      <c r="C20" s="7" t="s">
        <v>1972</v>
      </c>
      <c r="D20" s="7" t="s">
        <v>1975</v>
      </c>
      <c r="E20" s="8">
        <v>23679</v>
      </c>
      <c r="F20" s="10" t="s">
        <v>2055</v>
      </c>
    </row>
    <row r="21" spans="1:6" ht="14.25" x14ac:dyDescent="0.45">
      <c r="A21" s="6" t="str">
        <f ca="1">IFERROR(__xludf.DUMMYFUNCTION("""COMPUTED_VALUE"""),"X2DY6")</f>
        <v>X2DY6</v>
      </c>
      <c r="B21" s="7" t="s">
        <v>1980</v>
      </c>
      <c r="C21" s="7" t="s">
        <v>1996</v>
      </c>
      <c r="D21" s="7" t="s">
        <v>1974</v>
      </c>
      <c r="E21" s="8">
        <v>23800</v>
      </c>
      <c r="F21" s="10" t="s">
        <v>2152</v>
      </c>
    </row>
    <row r="22" spans="1:6" ht="14.25" x14ac:dyDescent="0.45">
      <c r="A22" s="6" t="str">
        <f ca="1">IFERROR(__xludf.DUMMYFUNCTION("""COMPUTED_VALUE"""),"X1JV6")</f>
        <v>X1JV6</v>
      </c>
      <c r="B22" s="7" t="s">
        <v>1971</v>
      </c>
      <c r="C22" s="7" t="s">
        <v>1977</v>
      </c>
      <c r="D22" s="7" t="s">
        <v>1975</v>
      </c>
      <c r="E22" s="8">
        <v>24010</v>
      </c>
      <c r="F22" s="10" t="s">
        <v>2108</v>
      </c>
    </row>
    <row r="23" spans="1:6" ht="14.25" x14ac:dyDescent="0.45">
      <c r="A23" s="6" t="str">
        <f ca="1">IFERROR(__xludf.DUMMYFUNCTION("""COMPUTED_VALUE"""),"X3183")</f>
        <v>X3183</v>
      </c>
      <c r="B23" s="7" t="s">
        <v>1980</v>
      </c>
      <c r="C23" s="7" t="s">
        <v>1977</v>
      </c>
      <c r="D23" s="7" t="s">
        <v>2020</v>
      </c>
      <c r="E23" s="8">
        <v>24019</v>
      </c>
      <c r="F23" s="9">
        <v>43138</v>
      </c>
    </row>
    <row r="24" spans="1:6" ht="14.25" x14ac:dyDescent="0.45">
      <c r="A24" s="6" t="str">
        <f ca="1">IFERROR(__xludf.DUMMYFUNCTION("""COMPUTED_VALUE"""),"XHO74RF")</f>
        <v>XHO74RF</v>
      </c>
      <c r="B24" s="7" t="s">
        <v>1971</v>
      </c>
      <c r="C24" s="7" t="s">
        <v>1972</v>
      </c>
      <c r="D24" s="7" t="s">
        <v>1997</v>
      </c>
      <c r="E24" s="8">
        <v>24024</v>
      </c>
      <c r="F24" s="10" t="s">
        <v>2261</v>
      </c>
    </row>
    <row r="25" spans="1:6" ht="14.25" x14ac:dyDescent="0.45">
      <c r="A25" s="6" t="str">
        <f ca="1">IFERROR(__xludf.DUMMYFUNCTION("""COMPUTED_VALUE"""),"X2E90")</f>
        <v>X2E90</v>
      </c>
      <c r="B25" s="7" t="s">
        <v>1980</v>
      </c>
      <c r="C25" s="7" t="s">
        <v>1981</v>
      </c>
      <c r="D25" s="7" t="s">
        <v>1975</v>
      </c>
      <c r="E25" s="8">
        <v>24083</v>
      </c>
      <c r="F25" s="10" t="s">
        <v>2189</v>
      </c>
    </row>
    <row r="26" spans="1:6" ht="14.25" x14ac:dyDescent="0.45">
      <c r="A26" s="6" t="str">
        <f ca="1">IFERROR(__xludf.DUMMYFUNCTION("""COMPUTED_VALUE"""),"X2C3N")</f>
        <v>X2C3N</v>
      </c>
      <c r="B26" s="7" t="s">
        <v>1971</v>
      </c>
      <c r="C26" s="7" t="s">
        <v>1977</v>
      </c>
      <c r="D26" s="7" t="s">
        <v>2020</v>
      </c>
      <c r="E26" s="8">
        <v>24222</v>
      </c>
      <c r="F26" s="9">
        <v>44055</v>
      </c>
    </row>
    <row r="27" spans="1:6" ht="14.25" x14ac:dyDescent="0.45">
      <c r="A27" s="6" t="str">
        <f ca="1">IFERROR(__xludf.DUMMYFUNCTION("""COMPUTED_VALUE"""),"X2890")</f>
        <v>X2890</v>
      </c>
      <c r="B27" s="7" t="s">
        <v>1971</v>
      </c>
      <c r="C27" s="7" t="s">
        <v>1972</v>
      </c>
      <c r="D27" s="7" t="s">
        <v>1974</v>
      </c>
      <c r="E27" s="8">
        <v>24286</v>
      </c>
      <c r="F27" s="9">
        <v>43223</v>
      </c>
    </row>
    <row r="28" spans="1:6" ht="14.25" x14ac:dyDescent="0.45">
      <c r="A28" s="6" t="str">
        <f ca="1">IFERROR(__xludf.DUMMYFUNCTION("""COMPUTED_VALUE"""),"X2746")</f>
        <v>X2746</v>
      </c>
      <c r="B28" s="7" t="s">
        <v>1971</v>
      </c>
      <c r="C28" s="7" t="s">
        <v>1972</v>
      </c>
      <c r="D28" s="7" t="s">
        <v>1978</v>
      </c>
      <c r="E28" s="8">
        <v>24442</v>
      </c>
      <c r="F28" s="9">
        <v>43253</v>
      </c>
    </row>
    <row r="29" spans="1:6" ht="14.25" x14ac:dyDescent="0.45">
      <c r="A29" s="6" t="str">
        <f ca="1">IFERROR(__xludf.DUMMYFUNCTION("""COMPUTED_VALUE"""),"XF66VXV")</f>
        <v>XF66VXV</v>
      </c>
      <c r="B29" s="7" t="s">
        <v>1971</v>
      </c>
      <c r="C29" s="7" t="s">
        <v>1981</v>
      </c>
      <c r="D29" s="7" t="s">
        <v>1993</v>
      </c>
      <c r="E29" s="8">
        <v>24470</v>
      </c>
      <c r="F29" s="9">
        <v>44387</v>
      </c>
    </row>
    <row r="30" spans="1:6" ht="14.25" x14ac:dyDescent="0.45">
      <c r="A30" s="6" t="str">
        <f ca="1">IFERROR(__xludf.DUMMYFUNCTION("""COMPUTED_VALUE"""),"X7AFO5L")</f>
        <v>X7AFO5L</v>
      </c>
      <c r="B30" s="7" t="s">
        <v>1971</v>
      </c>
      <c r="C30" s="7" t="s">
        <v>1981</v>
      </c>
      <c r="D30" s="7" t="s">
        <v>1993</v>
      </c>
      <c r="E30" s="8">
        <v>24561</v>
      </c>
      <c r="F30" s="9">
        <v>44443</v>
      </c>
    </row>
    <row r="31" spans="1:6" ht="14.25" x14ac:dyDescent="0.45">
      <c r="A31" s="6" t="str">
        <f ca="1">IFERROR(__xludf.DUMMYFUNCTION("""COMPUTED_VALUE"""),"X1U93")</f>
        <v>X1U93</v>
      </c>
      <c r="B31" s="7" t="s">
        <v>1980</v>
      </c>
      <c r="C31" s="7" t="s">
        <v>1972</v>
      </c>
      <c r="D31" s="7" t="s">
        <v>2020</v>
      </c>
      <c r="E31" s="8">
        <v>24588</v>
      </c>
      <c r="F31" s="9">
        <v>43745</v>
      </c>
    </row>
    <row r="32" spans="1:6" ht="14.25" x14ac:dyDescent="0.45">
      <c r="A32" s="6" t="str">
        <f ca="1">IFERROR(__xludf.DUMMYFUNCTION("""COMPUTED_VALUE"""),"XVSVRRF")</f>
        <v>XVSVRRF</v>
      </c>
      <c r="B32" s="7" t="s">
        <v>1971</v>
      </c>
      <c r="C32" s="7" t="s">
        <v>1972</v>
      </c>
      <c r="D32" s="7" t="s">
        <v>2020</v>
      </c>
      <c r="E32" s="8">
        <v>24588</v>
      </c>
      <c r="F32" s="10" t="s">
        <v>2247</v>
      </c>
    </row>
    <row r="33" spans="1:6" ht="14.25" x14ac:dyDescent="0.45">
      <c r="A33" s="6" t="str">
        <f ca="1">IFERROR(__xludf.DUMMYFUNCTION("""COMPUTED_VALUE"""),"X1XD4")</f>
        <v>X1XD4</v>
      </c>
      <c r="B33" s="7" t="s">
        <v>1980</v>
      </c>
      <c r="C33" s="7" t="s">
        <v>1981</v>
      </c>
      <c r="D33" s="7" t="s">
        <v>1974</v>
      </c>
      <c r="E33" s="8">
        <v>24614</v>
      </c>
      <c r="F33" s="9">
        <v>43718</v>
      </c>
    </row>
    <row r="34" spans="1:6" ht="14.25" x14ac:dyDescent="0.45">
      <c r="A34" s="6" t="str">
        <f ca="1">IFERROR(__xludf.DUMMYFUNCTION("""COMPUTED_VALUE"""),"XKSR7XO")</f>
        <v>XKSR7XO</v>
      </c>
      <c r="B34" s="7" t="s">
        <v>1971</v>
      </c>
      <c r="C34" s="7" t="s">
        <v>1972</v>
      </c>
      <c r="D34" s="7" t="s">
        <v>2072</v>
      </c>
      <c r="E34" s="8">
        <v>24709</v>
      </c>
      <c r="F34" s="10" t="s">
        <v>2289</v>
      </c>
    </row>
    <row r="35" spans="1:6" ht="14.25" x14ac:dyDescent="0.45">
      <c r="A35" s="6" t="str">
        <f ca="1">IFERROR(__xludf.DUMMYFUNCTION("""COMPUTED_VALUE"""),"X2473")</f>
        <v>X2473</v>
      </c>
      <c r="B35" s="7" t="s">
        <v>1980</v>
      </c>
      <c r="C35" s="7" t="s">
        <v>1993</v>
      </c>
      <c r="D35" s="7" t="s">
        <v>1974</v>
      </c>
      <c r="E35" s="8">
        <v>25020</v>
      </c>
      <c r="F35" s="10" t="s">
        <v>1994</v>
      </c>
    </row>
    <row r="36" spans="1:6" ht="14.25" x14ac:dyDescent="0.45">
      <c r="A36" s="6" t="str">
        <f ca="1">IFERROR(__xludf.DUMMYFUNCTION("""COMPUTED_VALUE"""),"X1ZIR")</f>
        <v>X1ZIR</v>
      </c>
      <c r="B36" s="7" t="s">
        <v>2025</v>
      </c>
      <c r="C36" s="7" t="s">
        <v>1977</v>
      </c>
      <c r="D36" s="7" t="s">
        <v>2070</v>
      </c>
      <c r="E36" s="8">
        <v>25201</v>
      </c>
      <c r="F36" s="10" t="s">
        <v>2240</v>
      </c>
    </row>
    <row r="37" spans="1:6" ht="14.25" x14ac:dyDescent="0.45">
      <c r="A37" s="6" t="str">
        <f ca="1">IFERROR(__xludf.DUMMYFUNCTION("""COMPUTED_VALUE"""),"X2AH6")</f>
        <v>X2AH6</v>
      </c>
      <c r="B37" s="7" t="s">
        <v>1971</v>
      </c>
      <c r="C37" s="7" t="s">
        <v>1977</v>
      </c>
      <c r="D37" s="7" t="s">
        <v>1978</v>
      </c>
      <c r="E37" s="8">
        <v>25241</v>
      </c>
      <c r="F37" s="10" t="s">
        <v>2050</v>
      </c>
    </row>
    <row r="38" spans="1:6" ht="14.25" x14ac:dyDescent="0.45">
      <c r="A38" s="6" t="str">
        <f ca="1">IFERROR(__xludf.DUMMYFUNCTION("""COMPUTED_VALUE"""),"X1LF5")</f>
        <v>X1LF5</v>
      </c>
      <c r="B38" s="7" t="s">
        <v>1980</v>
      </c>
      <c r="C38" s="7" t="s">
        <v>1974</v>
      </c>
      <c r="D38" s="7" t="s">
        <v>1993</v>
      </c>
      <c r="E38" s="8">
        <v>25340</v>
      </c>
      <c r="F38" s="9">
        <v>43230</v>
      </c>
    </row>
    <row r="39" spans="1:6" ht="14.25" x14ac:dyDescent="0.45">
      <c r="A39" s="6" t="str">
        <f ca="1">IFERROR(__xludf.DUMMYFUNCTION("""COMPUTED_VALUE"""),"X1X2X")</f>
        <v>X1X2X</v>
      </c>
      <c r="B39" s="7" t="s">
        <v>1971</v>
      </c>
      <c r="C39" s="7" t="s">
        <v>1972</v>
      </c>
      <c r="D39" s="7" t="s">
        <v>2088</v>
      </c>
      <c r="E39" s="8">
        <v>25354</v>
      </c>
      <c r="F39" s="10" t="s">
        <v>2089</v>
      </c>
    </row>
    <row r="40" spans="1:6" ht="14.25" x14ac:dyDescent="0.45">
      <c r="A40" s="6" t="str">
        <f ca="1">IFERROR(__xludf.DUMMYFUNCTION("""COMPUTED_VALUE"""),"XAKRUT3")</f>
        <v>XAKRUT3</v>
      </c>
      <c r="B40" s="7" t="s">
        <v>1971</v>
      </c>
      <c r="C40" s="7" t="s">
        <v>1972</v>
      </c>
      <c r="D40" s="7" t="s">
        <v>1974</v>
      </c>
      <c r="E40" s="8">
        <v>25467</v>
      </c>
      <c r="F40" s="10" t="s">
        <v>2193</v>
      </c>
    </row>
    <row r="41" spans="1:6" ht="14.25" x14ac:dyDescent="0.45">
      <c r="A41" s="6" t="str">
        <f ca="1">IFERROR(__xludf.DUMMYFUNCTION("""COMPUTED_VALUE"""),"XT6KTW4")</f>
        <v>XT6KTW4</v>
      </c>
      <c r="B41" s="7" t="s">
        <v>1971</v>
      </c>
      <c r="C41" s="7" t="s">
        <v>1993</v>
      </c>
      <c r="D41" s="7" t="s">
        <v>1974</v>
      </c>
      <c r="E41" s="8">
        <v>25538</v>
      </c>
      <c r="F41" s="10" t="s">
        <v>2287</v>
      </c>
    </row>
    <row r="42" spans="1:6" ht="14.25" x14ac:dyDescent="0.45">
      <c r="A42" s="6" t="str">
        <f ca="1">IFERROR(__xludf.DUMMYFUNCTION("""COMPUTED_VALUE"""),"XWVCYR7")</f>
        <v>XWVCYR7</v>
      </c>
      <c r="B42" s="7" t="s">
        <v>2215</v>
      </c>
      <c r="C42" s="7" t="s">
        <v>2215</v>
      </c>
      <c r="D42" s="7" t="s">
        <v>2215</v>
      </c>
      <c r="E42" s="8">
        <v>25603</v>
      </c>
      <c r="F42" s="9">
        <v>44447</v>
      </c>
    </row>
    <row r="43" spans="1:6" ht="14.25" x14ac:dyDescent="0.45">
      <c r="A43" s="6" t="str">
        <f ca="1">IFERROR(__xludf.DUMMYFUNCTION("""COMPUTED_VALUE"""),"XERIWAU")</f>
        <v>XERIWAU</v>
      </c>
      <c r="B43" s="7" t="s">
        <v>1971</v>
      </c>
      <c r="C43" s="7" t="s">
        <v>1972</v>
      </c>
      <c r="D43" s="7" t="s">
        <v>1974</v>
      </c>
      <c r="E43" s="8">
        <v>25764</v>
      </c>
      <c r="F43" s="9">
        <v>44442</v>
      </c>
    </row>
    <row r="44" spans="1:6" ht="14.25" x14ac:dyDescent="0.45">
      <c r="A44" s="6" t="str">
        <f ca="1">IFERROR(__xludf.DUMMYFUNCTION("""COMPUTED_VALUE"""),"XFAPAUZ")</f>
        <v>XFAPAUZ</v>
      </c>
      <c r="B44" s="7" t="s">
        <v>1971</v>
      </c>
      <c r="C44" s="7" t="s">
        <v>1972</v>
      </c>
      <c r="D44" s="7" t="s">
        <v>1987</v>
      </c>
      <c r="E44" s="8">
        <v>25844</v>
      </c>
      <c r="F44" s="10" t="s">
        <v>2243</v>
      </c>
    </row>
    <row r="45" spans="1:6" ht="14.25" x14ac:dyDescent="0.45">
      <c r="A45" s="6" t="str">
        <f ca="1">IFERROR(__xludf.DUMMYFUNCTION("""COMPUTED_VALUE"""),"X1Q7B")</f>
        <v>X1Q7B</v>
      </c>
      <c r="B45" s="7" t="s">
        <v>1980</v>
      </c>
      <c r="C45" s="7" t="s">
        <v>1996</v>
      </c>
      <c r="D45" s="7" t="s">
        <v>2020</v>
      </c>
      <c r="E45" s="8">
        <v>25880</v>
      </c>
      <c r="F45" s="9">
        <v>43649</v>
      </c>
    </row>
    <row r="46" spans="1:6" ht="14.25" x14ac:dyDescent="0.45">
      <c r="A46" s="6" t="str">
        <f ca="1">IFERROR(__xludf.DUMMYFUNCTION("""COMPUTED_VALUE"""),"X3158")</f>
        <v>X3158</v>
      </c>
      <c r="B46" s="7" t="s">
        <v>1980</v>
      </c>
      <c r="C46" s="7" t="s">
        <v>1977</v>
      </c>
      <c r="D46" s="7" t="s">
        <v>1975</v>
      </c>
      <c r="E46" s="8">
        <v>25884</v>
      </c>
      <c r="F46" s="10" t="s">
        <v>2010</v>
      </c>
    </row>
    <row r="47" spans="1:6" ht="14.25" x14ac:dyDescent="0.45">
      <c r="A47" s="6" t="str">
        <f ca="1">IFERROR(__xludf.DUMMYFUNCTION("""COMPUTED_VALUE"""),"X2360")</f>
        <v>X2360</v>
      </c>
      <c r="B47" s="7" t="s">
        <v>1971</v>
      </c>
      <c r="C47" s="7" t="s">
        <v>1977</v>
      </c>
      <c r="D47" s="7" t="s">
        <v>1973</v>
      </c>
      <c r="E47" s="8">
        <v>25904</v>
      </c>
      <c r="F47" s="9">
        <v>42802</v>
      </c>
    </row>
    <row r="48" spans="1:6" ht="14.25" x14ac:dyDescent="0.45">
      <c r="A48" s="6" t="str">
        <f ca="1">IFERROR(__xludf.DUMMYFUNCTION("""COMPUTED_VALUE"""),"XPPPWRX")</f>
        <v>XPPPWRX</v>
      </c>
      <c r="B48" s="7" t="s">
        <v>1971</v>
      </c>
      <c r="C48" s="7" t="s">
        <v>1977</v>
      </c>
      <c r="D48" s="7" t="s">
        <v>2072</v>
      </c>
      <c r="E48" s="8">
        <v>25917</v>
      </c>
      <c r="F48" s="10" t="s">
        <v>2242</v>
      </c>
    </row>
    <row r="49" spans="1:6" ht="14.25" x14ac:dyDescent="0.45">
      <c r="A49" s="6" t="str">
        <f ca="1">IFERROR(__xludf.DUMMYFUNCTION("""COMPUTED_VALUE"""),"X2C14R")</f>
        <v>X2C14R</v>
      </c>
      <c r="B49" s="7" t="s">
        <v>1971</v>
      </c>
      <c r="C49" s="7" t="s">
        <v>1993</v>
      </c>
      <c r="D49" s="7" t="s">
        <v>1993</v>
      </c>
      <c r="E49" s="8">
        <v>26033</v>
      </c>
      <c r="F49" s="10" t="s">
        <v>2051</v>
      </c>
    </row>
    <row r="50" spans="1:6" ht="14.25" x14ac:dyDescent="0.45">
      <c r="A50" s="6" t="str">
        <f ca="1">IFERROR(__xludf.DUMMYFUNCTION("""COMPUTED_VALUE"""),"X3572")</f>
        <v>X3572</v>
      </c>
      <c r="B50" s="7" t="s">
        <v>1971</v>
      </c>
      <c r="C50" s="7" t="s">
        <v>1993</v>
      </c>
      <c r="D50" s="7" t="s">
        <v>2026</v>
      </c>
      <c r="E50" s="8">
        <v>26034</v>
      </c>
      <c r="F50" s="10" t="s">
        <v>2175</v>
      </c>
    </row>
    <row r="51" spans="1:6" ht="14.25" x14ac:dyDescent="0.45">
      <c r="A51" s="6" t="str">
        <f ca="1">IFERROR(__xludf.DUMMYFUNCTION("""COMPUTED_VALUE"""),"XYRA45F")</f>
        <v>XYRA45F</v>
      </c>
      <c r="B51" s="7" t="s">
        <v>1971</v>
      </c>
      <c r="C51" s="7" t="s">
        <v>1972</v>
      </c>
      <c r="D51" s="7" t="s">
        <v>1974</v>
      </c>
      <c r="E51" s="8">
        <v>26039</v>
      </c>
      <c r="F51" s="10" t="s">
        <v>2191</v>
      </c>
    </row>
    <row r="52" spans="1:6" ht="14.25" x14ac:dyDescent="0.45">
      <c r="A52" s="6" t="str">
        <f ca="1">IFERROR(__xludf.DUMMYFUNCTION("""COMPUTED_VALUE"""),"XZHCU4X")</f>
        <v>XZHCU4X</v>
      </c>
      <c r="B52" s="7" t="s">
        <v>1971</v>
      </c>
      <c r="C52" s="7" t="s">
        <v>1972</v>
      </c>
      <c r="D52" s="7" t="s">
        <v>1974</v>
      </c>
      <c r="E52" s="8">
        <v>26055</v>
      </c>
      <c r="F52" s="10" t="s">
        <v>2247</v>
      </c>
    </row>
    <row r="53" spans="1:6" ht="14.25" x14ac:dyDescent="0.45">
      <c r="A53" s="6" t="str">
        <f ca="1">IFERROR(__xludf.DUMMYFUNCTION("""COMPUTED_VALUE"""),"XM5MWSU")</f>
        <v>XM5MWSU</v>
      </c>
      <c r="B53" s="7" t="s">
        <v>1971</v>
      </c>
      <c r="C53" s="7" t="s">
        <v>1972</v>
      </c>
      <c r="D53" s="7" t="s">
        <v>2003</v>
      </c>
      <c r="E53" s="8">
        <v>26080</v>
      </c>
      <c r="F53" s="10" t="s">
        <v>2246</v>
      </c>
    </row>
    <row r="54" spans="1:6" ht="14.25" x14ac:dyDescent="0.45">
      <c r="A54" s="6" t="str">
        <f ca="1">IFERROR(__xludf.DUMMYFUNCTION("""COMPUTED_VALUE"""),"XI6U3I7")</f>
        <v>XI6U3I7</v>
      </c>
      <c r="B54" s="7" t="s">
        <v>1971</v>
      </c>
      <c r="C54" s="7" t="s">
        <v>1972</v>
      </c>
      <c r="D54" s="7" t="s">
        <v>1975</v>
      </c>
      <c r="E54" s="8">
        <v>26090</v>
      </c>
      <c r="F54" s="9">
        <v>44200</v>
      </c>
    </row>
    <row r="55" spans="1:6" ht="14.25" x14ac:dyDescent="0.45">
      <c r="A55" s="6" t="str">
        <f ca="1">IFERROR(__xludf.DUMMYFUNCTION("""COMPUTED_VALUE"""),"X27QI")</f>
        <v>X27QI</v>
      </c>
      <c r="B55" s="7" t="s">
        <v>1971</v>
      </c>
      <c r="C55" s="7" t="s">
        <v>1972</v>
      </c>
      <c r="D55" s="7" t="s">
        <v>1978</v>
      </c>
      <c r="E55" s="8">
        <v>26254</v>
      </c>
      <c r="F55" s="10" t="s">
        <v>2110</v>
      </c>
    </row>
    <row r="56" spans="1:6" ht="14.25" x14ac:dyDescent="0.45">
      <c r="A56" s="6" t="str">
        <f ca="1">IFERROR(__xludf.DUMMYFUNCTION("""COMPUTED_VALUE"""),"XEYWAEO")</f>
        <v>XEYWAEO</v>
      </c>
      <c r="B56" s="7" t="s">
        <v>1971</v>
      </c>
      <c r="C56" s="7" t="s">
        <v>1993</v>
      </c>
      <c r="D56" s="7" t="s">
        <v>1973</v>
      </c>
      <c r="E56" s="8">
        <v>26272</v>
      </c>
      <c r="F56" s="10" t="s">
        <v>2261</v>
      </c>
    </row>
    <row r="57" spans="1:6" ht="14.25" x14ac:dyDescent="0.45">
      <c r="A57" s="6" t="str">
        <f ca="1">IFERROR(__xludf.DUMMYFUNCTION("""COMPUTED_VALUE"""),"XSBCWZJ")</f>
        <v>XSBCWZJ</v>
      </c>
      <c r="B57" s="7" t="s">
        <v>1971</v>
      </c>
      <c r="C57" s="7" t="s">
        <v>1972</v>
      </c>
      <c r="D57" s="7" t="s">
        <v>1993</v>
      </c>
      <c r="E57" s="8">
        <v>26273</v>
      </c>
      <c r="F57" s="9">
        <v>44447</v>
      </c>
    </row>
    <row r="58" spans="1:6" ht="14.25" x14ac:dyDescent="0.45">
      <c r="A58" s="6" t="str">
        <f ca="1">IFERROR(__xludf.DUMMYFUNCTION("""COMPUTED_VALUE"""),"X2CPN")</f>
        <v>X2CPN</v>
      </c>
      <c r="B58" s="7" t="s">
        <v>1971</v>
      </c>
      <c r="C58" s="7" t="s">
        <v>1972</v>
      </c>
      <c r="D58" s="7" t="s">
        <v>2026</v>
      </c>
      <c r="E58" s="8">
        <v>26277</v>
      </c>
      <c r="F58" s="10" t="s">
        <v>2001</v>
      </c>
    </row>
    <row r="59" spans="1:6" ht="14.25" x14ac:dyDescent="0.45">
      <c r="A59" s="6" t="str">
        <f ca="1">IFERROR(__xludf.DUMMYFUNCTION("""COMPUTED_VALUE"""),"X3DAH9G")</f>
        <v>X3DAH9G</v>
      </c>
      <c r="B59" s="7" t="s">
        <v>1971</v>
      </c>
      <c r="C59" s="7" t="s">
        <v>1972</v>
      </c>
      <c r="D59" s="7" t="s">
        <v>1993</v>
      </c>
      <c r="E59" s="8">
        <v>26309</v>
      </c>
      <c r="F59" s="9">
        <v>44506</v>
      </c>
    </row>
    <row r="60" spans="1:6" ht="14.25" x14ac:dyDescent="0.45">
      <c r="A60" s="6" t="str">
        <f ca="1">IFERROR(__xludf.DUMMYFUNCTION("""COMPUTED_VALUE"""),"X24AF")</f>
        <v>X24AF</v>
      </c>
      <c r="B60" s="7" t="s">
        <v>2184</v>
      </c>
      <c r="C60" s="7" t="s">
        <v>1972</v>
      </c>
      <c r="D60" s="7" t="s">
        <v>2070</v>
      </c>
      <c r="E60" s="8">
        <v>26538</v>
      </c>
      <c r="F60" s="9">
        <v>44170</v>
      </c>
    </row>
    <row r="61" spans="1:6" ht="14.25" x14ac:dyDescent="0.45">
      <c r="A61" s="6" t="str">
        <f ca="1">IFERROR(__xludf.DUMMYFUNCTION("""COMPUTED_VALUE"""),"X1LDP")</f>
        <v>X1LDP</v>
      </c>
      <c r="B61" s="7" t="s">
        <v>1971</v>
      </c>
      <c r="C61" s="7" t="s">
        <v>1977</v>
      </c>
      <c r="D61" s="7" t="s">
        <v>1974</v>
      </c>
      <c r="E61" s="8">
        <v>26636</v>
      </c>
      <c r="F61" s="9">
        <v>43383</v>
      </c>
    </row>
    <row r="62" spans="1:6" ht="14.25" x14ac:dyDescent="0.45">
      <c r="A62" s="6" t="str">
        <f ca="1">IFERROR(__xludf.DUMMYFUNCTION("""COMPUTED_VALUE"""),"X1PDV")</f>
        <v>X1PDV</v>
      </c>
      <c r="B62" s="7" t="s">
        <v>1971</v>
      </c>
      <c r="C62" s="7" t="s">
        <v>1972</v>
      </c>
      <c r="D62" s="7" t="s">
        <v>2091</v>
      </c>
      <c r="E62" s="8">
        <v>26674</v>
      </c>
      <c r="F62" s="9">
        <v>43771</v>
      </c>
    </row>
    <row r="63" spans="1:6" ht="14.25" x14ac:dyDescent="0.45">
      <c r="A63" s="6" t="str">
        <f ca="1">IFERROR(__xludf.DUMMYFUNCTION("""COMPUTED_VALUE"""),"XWZGVMB")</f>
        <v>XWZGVMB</v>
      </c>
      <c r="B63" s="7" t="s">
        <v>1971</v>
      </c>
      <c r="C63" s="7" t="s">
        <v>1972</v>
      </c>
      <c r="D63" s="7" t="s">
        <v>1978</v>
      </c>
      <c r="E63" s="8">
        <v>26724</v>
      </c>
      <c r="F63" s="9">
        <v>44538</v>
      </c>
    </row>
    <row r="64" spans="1:6" ht="14.25" x14ac:dyDescent="0.45">
      <c r="A64" s="6" t="str">
        <f ca="1">IFERROR(__xludf.DUMMYFUNCTION("""COMPUTED_VALUE"""),"X29O7")</f>
        <v>X29O7</v>
      </c>
      <c r="B64" s="7" t="s">
        <v>1971</v>
      </c>
      <c r="C64" s="7" t="s">
        <v>1972</v>
      </c>
      <c r="D64" s="7" t="s">
        <v>1974</v>
      </c>
      <c r="E64" s="8">
        <v>26741</v>
      </c>
      <c r="F64" s="9">
        <v>44175</v>
      </c>
    </row>
    <row r="65" spans="1:6" ht="14.25" x14ac:dyDescent="0.45">
      <c r="A65" s="6" t="str">
        <f ca="1">IFERROR(__xludf.DUMMYFUNCTION("""COMPUTED_VALUE"""),"XBNUJP5")</f>
        <v>XBNUJP5</v>
      </c>
      <c r="B65" s="7" t="s">
        <v>1971</v>
      </c>
      <c r="C65" s="7" t="s">
        <v>1996</v>
      </c>
      <c r="D65" s="7" t="s">
        <v>1975</v>
      </c>
      <c r="E65" s="8">
        <v>26753</v>
      </c>
      <c r="F65" s="10" t="s">
        <v>2258</v>
      </c>
    </row>
    <row r="66" spans="1:6" ht="14.25" x14ac:dyDescent="0.45">
      <c r="A66" s="6" t="str">
        <f ca="1">IFERROR(__xludf.DUMMYFUNCTION("""COMPUTED_VALUE"""),"X9HSKXF")</f>
        <v>X9HSKXF</v>
      </c>
      <c r="B66" s="7" t="s">
        <v>1971</v>
      </c>
      <c r="C66" s="7" t="s">
        <v>1972</v>
      </c>
      <c r="D66" s="7" t="s">
        <v>1995</v>
      </c>
      <c r="E66" s="8">
        <v>26764</v>
      </c>
      <c r="F66" s="10" t="s">
        <v>2327</v>
      </c>
    </row>
    <row r="67" spans="1:6" ht="14.25" x14ac:dyDescent="0.45">
      <c r="A67" s="6" t="str">
        <f ca="1">IFERROR(__xludf.DUMMYFUNCTION("""COMPUTED_VALUE"""),"X1XL0")</f>
        <v>X1XL0</v>
      </c>
      <c r="B67" s="7" t="s">
        <v>1986</v>
      </c>
      <c r="C67" s="7" t="s">
        <v>1972</v>
      </c>
      <c r="D67" s="7" t="s">
        <v>1995</v>
      </c>
      <c r="E67" s="8">
        <v>26822</v>
      </c>
      <c r="F67" s="10" t="s">
        <v>2080</v>
      </c>
    </row>
    <row r="68" spans="1:6" ht="14.25" x14ac:dyDescent="0.45">
      <c r="A68" s="6" t="str">
        <f ca="1">IFERROR(__xludf.DUMMYFUNCTION("""COMPUTED_VALUE"""),"X2C18E")</f>
        <v>X2C18E</v>
      </c>
      <c r="B68" s="7" t="s">
        <v>1971</v>
      </c>
      <c r="C68" s="7" t="s">
        <v>1977</v>
      </c>
      <c r="D68" s="7" t="s">
        <v>1973</v>
      </c>
      <c r="E68" s="8">
        <v>26842</v>
      </c>
      <c r="F68" s="10" t="s">
        <v>2042</v>
      </c>
    </row>
    <row r="69" spans="1:6" ht="14.25" x14ac:dyDescent="0.45">
      <c r="A69" s="6" t="str">
        <f ca="1">IFERROR(__xludf.DUMMYFUNCTION("""COMPUTED_VALUE"""),"X846CH3")</f>
        <v>X846CH3</v>
      </c>
      <c r="B69" s="7" t="s">
        <v>1971</v>
      </c>
      <c r="C69" s="7" t="s">
        <v>1972</v>
      </c>
      <c r="D69" s="7" t="s">
        <v>2020</v>
      </c>
      <c r="E69" s="8">
        <v>26865</v>
      </c>
      <c r="F69" s="10" t="s">
        <v>2332</v>
      </c>
    </row>
    <row r="70" spans="1:6" ht="14.25" x14ac:dyDescent="0.45">
      <c r="A70" s="6" t="str">
        <f ca="1">IFERROR(__xludf.DUMMYFUNCTION("""COMPUTED_VALUE"""),"XH6XP85")</f>
        <v>XH6XP85</v>
      </c>
      <c r="B70" s="7" t="s">
        <v>1971</v>
      </c>
      <c r="C70" s="7" t="s">
        <v>1972</v>
      </c>
      <c r="D70" s="7" t="s">
        <v>1993</v>
      </c>
      <c r="E70" s="8">
        <v>26932</v>
      </c>
      <c r="F70" s="10" t="s">
        <v>2288</v>
      </c>
    </row>
    <row r="71" spans="1:6" ht="14.25" x14ac:dyDescent="0.45">
      <c r="A71" s="6" t="str">
        <f ca="1">IFERROR(__xludf.DUMMYFUNCTION("""COMPUTED_VALUE"""),"X1LIS")</f>
        <v>X1LIS</v>
      </c>
      <c r="B71" s="7" t="s">
        <v>1971</v>
      </c>
      <c r="C71" s="7" t="s">
        <v>1977</v>
      </c>
      <c r="D71" s="7" t="s">
        <v>2007</v>
      </c>
      <c r="E71" s="8">
        <v>26940</v>
      </c>
      <c r="F71" s="10" t="s">
        <v>2038</v>
      </c>
    </row>
    <row r="72" spans="1:6" ht="14.25" x14ac:dyDescent="0.45">
      <c r="A72" s="6" t="str">
        <f ca="1">IFERROR(__xludf.DUMMYFUNCTION("""COMPUTED_VALUE"""),"XO72IJY")</f>
        <v>XO72IJY</v>
      </c>
      <c r="B72" s="7" t="s">
        <v>1971</v>
      </c>
      <c r="C72" s="7" t="s">
        <v>1972</v>
      </c>
      <c r="D72" s="7" t="s">
        <v>1975</v>
      </c>
      <c r="E72" s="8">
        <v>26941</v>
      </c>
      <c r="F72" s="10" t="s">
        <v>2257</v>
      </c>
    </row>
    <row r="73" spans="1:6" ht="14.25" x14ac:dyDescent="0.45">
      <c r="A73" s="6" t="str">
        <f ca="1">IFERROR(__xludf.DUMMYFUNCTION("""COMPUTED_VALUE"""),"X1ZHE")</f>
        <v>X1ZHE</v>
      </c>
      <c r="B73" s="7" t="s">
        <v>1971</v>
      </c>
      <c r="C73" s="7" t="s">
        <v>1974</v>
      </c>
      <c r="D73" s="7" t="s">
        <v>2072</v>
      </c>
      <c r="E73" s="8">
        <v>26974</v>
      </c>
      <c r="F73" s="10" t="s">
        <v>2181</v>
      </c>
    </row>
    <row r="74" spans="1:6" ht="14.25" x14ac:dyDescent="0.45">
      <c r="A74" s="6" t="str">
        <f ca="1">IFERROR(__xludf.DUMMYFUNCTION("""COMPUTED_VALUE"""),"XNMZZKJ")</f>
        <v>XNMZZKJ</v>
      </c>
      <c r="B74" s="7" t="s">
        <v>1971</v>
      </c>
      <c r="C74" s="7" t="s">
        <v>1993</v>
      </c>
      <c r="D74" s="7" t="s">
        <v>1987</v>
      </c>
      <c r="E74" s="8">
        <v>26981</v>
      </c>
      <c r="F74" s="10" t="s">
        <v>2258</v>
      </c>
    </row>
    <row r="75" spans="1:6" ht="14.25" x14ac:dyDescent="0.45">
      <c r="A75" s="6" t="str">
        <f ca="1">IFERROR(__xludf.DUMMYFUNCTION("""COMPUTED_VALUE"""),"X3507")</f>
        <v>X3507</v>
      </c>
      <c r="B75" s="7" t="s">
        <v>1971</v>
      </c>
      <c r="C75" s="7" t="s">
        <v>1972</v>
      </c>
      <c r="D75" s="7" t="s">
        <v>2020</v>
      </c>
      <c r="E75" s="8">
        <v>26991</v>
      </c>
      <c r="F75" s="9">
        <v>43320</v>
      </c>
    </row>
    <row r="76" spans="1:6" ht="14.25" x14ac:dyDescent="0.45">
      <c r="A76" s="6" t="str">
        <f ca="1">IFERROR(__xludf.DUMMYFUNCTION("""COMPUTED_VALUE"""),"X7DZY23")</f>
        <v>X7DZY23</v>
      </c>
      <c r="B76" s="7" t="s">
        <v>1971</v>
      </c>
      <c r="C76" s="7" t="s">
        <v>1972</v>
      </c>
      <c r="D76" s="7" t="s">
        <v>1974</v>
      </c>
      <c r="E76" s="8">
        <v>27009</v>
      </c>
      <c r="F76" s="9">
        <v>44381</v>
      </c>
    </row>
    <row r="77" spans="1:6" ht="14.25" x14ac:dyDescent="0.45">
      <c r="A77" s="6" t="str">
        <f ca="1">IFERROR(__xludf.DUMMYFUNCTION("""COMPUTED_VALUE"""),"X2650")</f>
        <v>X2650</v>
      </c>
      <c r="B77" s="7" t="s">
        <v>1971</v>
      </c>
      <c r="C77" s="7" t="s">
        <v>1977</v>
      </c>
      <c r="D77" s="7" t="s">
        <v>2072</v>
      </c>
      <c r="E77" s="8">
        <v>27052</v>
      </c>
      <c r="F77" s="10" t="s">
        <v>2147</v>
      </c>
    </row>
    <row r="78" spans="1:6" ht="14.25" x14ac:dyDescent="0.45">
      <c r="A78" s="6" t="str">
        <f ca="1">IFERROR(__xludf.DUMMYFUNCTION("""COMPUTED_VALUE"""),"X2BZR")</f>
        <v>X2BZR</v>
      </c>
      <c r="B78" s="7" t="s">
        <v>1971</v>
      </c>
      <c r="C78" s="7" t="s">
        <v>1972</v>
      </c>
      <c r="D78" s="7" t="s">
        <v>1974</v>
      </c>
      <c r="E78" s="8">
        <v>27121</v>
      </c>
      <c r="F78" s="9">
        <v>44086</v>
      </c>
    </row>
    <row r="79" spans="1:6" ht="14.25" x14ac:dyDescent="0.45">
      <c r="A79" s="6" t="str">
        <f ca="1">IFERROR(__xludf.DUMMYFUNCTION("""COMPUTED_VALUE"""),"XMJOTPK")</f>
        <v>XMJOTPK</v>
      </c>
      <c r="B79" s="7" t="s">
        <v>1971</v>
      </c>
      <c r="C79" s="7" t="s">
        <v>1977</v>
      </c>
      <c r="D79" s="7" t="s">
        <v>1993</v>
      </c>
      <c r="E79" s="8">
        <v>27125</v>
      </c>
      <c r="F79" s="9">
        <v>44442</v>
      </c>
    </row>
    <row r="80" spans="1:6" ht="14.25" x14ac:dyDescent="0.45">
      <c r="A80" s="6" t="str">
        <f ca="1">IFERROR(__xludf.DUMMYFUNCTION("""COMPUTED_VALUE"""),"X1Q4B")</f>
        <v>X1Q4B</v>
      </c>
      <c r="B80" s="7" t="s">
        <v>1971</v>
      </c>
      <c r="C80" s="7" t="s">
        <v>1981</v>
      </c>
      <c r="D80" s="7" t="s">
        <v>1974</v>
      </c>
      <c r="E80" s="8">
        <v>27187</v>
      </c>
      <c r="F80" s="9">
        <v>43558</v>
      </c>
    </row>
    <row r="81" spans="1:6" ht="14.25" x14ac:dyDescent="0.45">
      <c r="A81" s="6" t="str">
        <f ca="1">IFERROR(__xludf.DUMMYFUNCTION("""COMPUTED_VALUE"""),"XV3XLGX")</f>
        <v>XV3XLGX</v>
      </c>
      <c r="B81" s="7" t="s">
        <v>1971</v>
      </c>
      <c r="C81" s="7" t="s">
        <v>1972</v>
      </c>
      <c r="D81" s="7" t="s">
        <v>2020</v>
      </c>
      <c r="E81" s="8">
        <v>27205</v>
      </c>
      <c r="F81" s="10" t="s">
        <v>2242</v>
      </c>
    </row>
    <row r="82" spans="1:6" ht="14.25" x14ac:dyDescent="0.45">
      <c r="A82" s="6" t="str">
        <f ca="1">IFERROR(__xludf.DUMMYFUNCTION("""COMPUTED_VALUE"""),"XAPNYBI")</f>
        <v>XAPNYBI</v>
      </c>
      <c r="B82" s="7" t="s">
        <v>1971</v>
      </c>
      <c r="C82" s="7" t="s">
        <v>1972</v>
      </c>
      <c r="D82" s="7" t="s">
        <v>1974</v>
      </c>
      <c r="E82" s="8">
        <v>27209</v>
      </c>
      <c r="F82" s="10" t="s">
        <v>2258</v>
      </c>
    </row>
    <row r="83" spans="1:6" ht="14.25" x14ac:dyDescent="0.45">
      <c r="A83" s="6" t="str">
        <f ca="1">IFERROR(__xludf.DUMMYFUNCTION("""COMPUTED_VALUE"""),"X20KW")</f>
        <v>X20KW</v>
      </c>
      <c r="B83" s="7" t="s">
        <v>1971</v>
      </c>
      <c r="C83" s="7" t="s">
        <v>1972</v>
      </c>
      <c r="D83" s="7" t="s">
        <v>1982</v>
      </c>
      <c r="E83" s="8">
        <v>27217</v>
      </c>
      <c r="F83" s="10" t="s">
        <v>2041</v>
      </c>
    </row>
    <row r="84" spans="1:6" ht="14.25" x14ac:dyDescent="0.45">
      <c r="A84" s="6" t="str">
        <f ca="1">IFERROR(__xludf.DUMMYFUNCTION("""COMPUTED_VALUE"""),"X27FV")</f>
        <v>X27FV</v>
      </c>
      <c r="B84" s="7" t="s">
        <v>1986</v>
      </c>
      <c r="C84" s="7" t="s">
        <v>1972</v>
      </c>
      <c r="D84" s="7" t="s">
        <v>2077</v>
      </c>
      <c r="E84" s="8">
        <v>27223</v>
      </c>
      <c r="F84" s="10" t="s">
        <v>2017</v>
      </c>
    </row>
    <row r="85" spans="1:6" ht="14.25" x14ac:dyDescent="0.45">
      <c r="A85" s="6" t="str">
        <f ca="1">IFERROR(__xludf.DUMMYFUNCTION("""COMPUTED_VALUE"""),"X2972")</f>
        <v>X2972</v>
      </c>
      <c r="B85" s="7" t="s">
        <v>1971</v>
      </c>
      <c r="C85" s="7" t="s">
        <v>1972</v>
      </c>
      <c r="D85" s="7" t="s">
        <v>1995</v>
      </c>
      <c r="E85" s="8">
        <v>27243</v>
      </c>
      <c r="F85" s="9">
        <v>43194</v>
      </c>
    </row>
    <row r="86" spans="1:6" ht="14.25" x14ac:dyDescent="0.45">
      <c r="A86" s="6" t="str">
        <f ca="1">IFERROR(__xludf.DUMMYFUNCTION("""COMPUTED_VALUE"""),"XMDOHT7")</f>
        <v>XMDOHT7</v>
      </c>
      <c r="B86" s="7" t="s">
        <v>1971</v>
      </c>
      <c r="C86" s="7" t="s">
        <v>1974</v>
      </c>
      <c r="D86" s="7" t="s">
        <v>2070</v>
      </c>
      <c r="E86" s="8">
        <v>27249</v>
      </c>
      <c r="F86" s="10" t="s">
        <v>2242</v>
      </c>
    </row>
    <row r="87" spans="1:6" ht="14.25" x14ac:dyDescent="0.45">
      <c r="A87" s="6" t="str">
        <f ca="1">IFERROR(__xludf.DUMMYFUNCTION("""COMPUTED_VALUE"""),"X5RP4WV")</f>
        <v>X5RP4WV</v>
      </c>
      <c r="B87" s="7" t="s">
        <v>1971</v>
      </c>
      <c r="C87" s="7" t="s">
        <v>1972</v>
      </c>
      <c r="D87" s="7" t="s">
        <v>1974</v>
      </c>
      <c r="E87" s="8">
        <v>27251</v>
      </c>
      <c r="F87" s="10" t="s">
        <v>2245</v>
      </c>
    </row>
    <row r="88" spans="1:6" ht="14.25" x14ac:dyDescent="0.45">
      <c r="A88" s="6" t="str">
        <f ca="1">IFERROR(__xludf.DUMMYFUNCTION("""COMPUTED_VALUE"""),"XGIIL32")</f>
        <v>XGIIL32</v>
      </c>
      <c r="B88" s="7" t="s">
        <v>1971</v>
      </c>
      <c r="C88" s="7" t="s">
        <v>1972</v>
      </c>
      <c r="D88" s="7" t="s">
        <v>1974</v>
      </c>
      <c r="E88" s="8">
        <v>27387</v>
      </c>
      <c r="F88" s="10" t="s">
        <v>2249</v>
      </c>
    </row>
    <row r="89" spans="1:6" ht="14.25" x14ac:dyDescent="0.45">
      <c r="A89" s="6" t="str">
        <f ca="1">IFERROR(__xludf.DUMMYFUNCTION("""COMPUTED_VALUE"""),"X2A16J")</f>
        <v>X2A16J</v>
      </c>
      <c r="B89" s="7" t="s">
        <v>1971</v>
      </c>
      <c r="C89" s="7" t="s">
        <v>1974</v>
      </c>
      <c r="D89" s="7" t="s">
        <v>2070</v>
      </c>
      <c r="E89" s="8">
        <v>27388</v>
      </c>
      <c r="F89" s="10" t="s">
        <v>2071</v>
      </c>
    </row>
    <row r="90" spans="1:6" ht="14.25" x14ac:dyDescent="0.45">
      <c r="A90" s="6" t="str">
        <f ca="1">IFERROR(__xludf.DUMMYFUNCTION("""COMPUTED_VALUE"""),"X9VXX73")</f>
        <v>X9VXX73</v>
      </c>
      <c r="B90" s="7" t="s">
        <v>1971</v>
      </c>
      <c r="C90" s="7" t="s">
        <v>1972</v>
      </c>
      <c r="D90" s="7" t="s">
        <v>1993</v>
      </c>
      <c r="E90" s="8">
        <v>27399</v>
      </c>
      <c r="F90" s="10" t="s">
        <v>2313</v>
      </c>
    </row>
    <row r="91" spans="1:6" ht="14.25" x14ac:dyDescent="0.45">
      <c r="A91" s="6" t="str">
        <f ca="1">IFERROR(__xludf.DUMMYFUNCTION("""COMPUTED_VALUE"""),"XDSRBX1")</f>
        <v>XDSRBX1</v>
      </c>
      <c r="B91" s="7" t="s">
        <v>1971</v>
      </c>
      <c r="C91" s="7" t="s">
        <v>1981</v>
      </c>
      <c r="D91" s="7" t="s">
        <v>1974</v>
      </c>
      <c r="E91" s="8">
        <v>27451</v>
      </c>
      <c r="F91" s="10" t="s">
        <v>2288</v>
      </c>
    </row>
    <row r="92" spans="1:6" ht="14.25" x14ac:dyDescent="0.45">
      <c r="A92" s="6" t="str">
        <f ca="1">IFERROR(__xludf.DUMMYFUNCTION("""COMPUTED_VALUE"""),"X4WJX3M")</f>
        <v>X4WJX3M</v>
      </c>
      <c r="B92" s="7" t="s">
        <v>1971</v>
      </c>
      <c r="C92" s="7" t="s">
        <v>1981</v>
      </c>
      <c r="D92" s="7" t="s">
        <v>1993</v>
      </c>
      <c r="E92" s="8">
        <v>27477</v>
      </c>
      <c r="F92" s="10" t="s">
        <v>2317</v>
      </c>
    </row>
    <row r="93" spans="1:6" ht="14.25" x14ac:dyDescent="0.45">
      <c r="A93" s="6" t="str">
        <f ca="1">IFERROR(__xludf.DUMMYFUNCTION("""COMPUTED_VALUE"""),"X3222")</f>
        <v>X3222</v>
      </c>
      <c r="B93" s="7" t="s">
        <v>1971</v>
      </c>
      <c r="C93" s="7" t="s">
        <v>1972</v>
      </c>
      <c r="D93" s="7" t="s">
        <v>1974</v>
      </c>
      <c r="E93" s="8">
        <v>27483</v>
      </c>
      <c r="F93" s="9">
        <v>43350</v>
      </c>
    </row>
    <row r="94" spans="1:6" ht="14.25" x14ac:dyDescent="0.45">
      <c r="A94" s="6" t="str">
        <f ca="1">IFERROR(__xludf.DUMMYFUNCTION("""COMPUTED_VALUE"""),"XPUOKTV")</f>
        <v>XPUOKTV</v>
      </c>
      <c r="B94" s="7" t="s">
        <v>1971</v>
      </c>
      <c r="C94" s="7" t="s">
        <v>1972</v>
      </c>
      <c r="D94" s="7" t="s">
        <v>2020</v>
      </c>
      <c r="E94" s="8">
        <v>27522</v>
      </c>
      <c r="F94" s="10" t="s">
        <v>2258</v>
      </c>
    </row>
    <row r="95" spans="1:6" ht="14.25" x14ac:dyDescent="0.45">
      <c r="A95" s="6" t="str">
        <f ca="1">IFERROR(__xludf.DUMMYFUNCTION("""COMPUTED_VALUE"""),"X1JNQ")</f>
        <v>X1JNQ</v>
      </c>
      <c r="B95" s="7" t="s">
        <v>1971</v>
      </c>
      <c r="C95" s="7" t="s">
        <v>1977</v>
      </c>
      <c r="D95" s="7" t="s">
        <v>1993</v>
      </c>
      <c r="E95" s="8">
        <v>27530</v>
      </c>
      <c r="F95" s="10" t="s">
        <v>1989</v>
      </c>
    </row>
    <row r="96" spans="1:6" ht="14.25" x14ac:dyDescent="0.45">
      <c r="A96" s="6" t="str">
        <f ca="1">IFERROR(__xludf.DUMMYFUNCTION("""COMPUTED_VALUE"""),"X2C14K")</f>
        <v>X2C14K</v>
      </c>
      <c r="B96" s="7" t="s">
        <v>1971</v>
      </c>
      <c r="C96" s="7" t="s">
        <v>1977</v>
      </c>
      <c r="D96" s="7" t="s">
        <v>1975</v>
      </c>
      <c r="E96" s="8">
        <v>27550</v>
      </c>
      <c r="F96" s="10" t="s">
        <v>2046</v>
      </c>
    </row>
    <row r="97" spans="1:6" ht="14.25" x14ac:dyDescent="0.45">
      <c r="A97" s="6" t="str">
        <f ca="1">IFERROR(__xludf.DUMMYFUNCTION("""COMPUTED_VALUE"""),"XLKEKMW")</f>
        <v>XLKEKMW</v>
      </c>
      <c r="B97" s="7" t="s">
        <v>1971</v>
      </c>
      <c r="C97" s="7" t="s">
        <v>1993</v>
      </c>
      <c r="D97" s="7" t="s">
        <v>1993</v>
      </c>
      <c r="E97" s="8">
        <v>27583</v>
      </c>
      <c r="F97" s="10" t="s">
        <v>2242</v>
      </c>
    </row>
    <row r="98" spans="1:6" ht="14.25" x14ac:dyDescent="0.45">
      <c r="A98" s="6" t="str">
        <f ca="1">IFERROR(__xludf.DUMMYFUNCTION("""COMPUTED_VALUE"""),"XU9II2X")</f>
        <v>XU9II2X</v>
      </c>
      <c r="B98" s="7" t="s">
        <v>1971</v>
      </c>
      <c r="C98" s="7" t="s">
        <v>1972</v>
      </c>
      <c r="D98" s="7" t="s">
        <v>1990</v>
      </c>
      <c r="E98" s="8">
        <v>27597</v>
      </c>
      <c r="F98" s="10" t="s">
        <v>2212</v>
      </c>
    </row>
    <row r="99" spans="1:6" ht="14.25" x14ac:dyDescent="0.45">
      <c r="A99" s="6" t="str">
        <f ca="1">IFERROR(__xludf.DUMMYFUNCTION("""COMPUTED_VALUE"""),"XVSVYYT")</f>
        <v>XVSVYYT</v>
      </c>
      <c r="B99" s="7" t="s">
        <v>1971</v>
      </c>
      <c r="C99" s="7" t="s">
        <v>1972</v>
      </c>
      <c r="D99" s="7" t="s">
        <v>2026</v>
      </c>
      <c r="E99" s="8">
        <v>27604</v>
      </c>
      <c r="F99" s="10" t="s">
        <v>2218</v>
      </c>
    </row>
    <row r="100" spans="1:6" ht="14.25" x14ac:dyDescent="0.45">
      <c r="A100" s="6" t="str">
        <f ca="1">IFERROR(__xludf.DUMMYFUNCTION("""COMPUTED_VALUE"""),"X27TE")</f>
        <v>X27TE</v>
      </c>
      <c r="B100" s="7" t="s">
        <v>1971</v>
      </c>
      <c r="C100" s="7" t="s">
        <v>1981</v>
      </c>
      <c r="D100" s="7" t="s">
        <v>1993</v>
      </c>
      <c r="E100" s="8">
        <v>27656</v>
      </c>
      <c r="F100" s="10" t="s">
        <v>2067</v>
      </c>
    </row>
    <row r="101" spans="1:6" ht="14.25" x14ac:dyDescent="0.45">
      <c r="A101" s="6" t="str">
        <f ca="1">IFERROR(__xludf.DUMMYFUNCTION("""COMPUTED_VALUE"""),"X3227")</f>
        <v>X3227</v>
      </c>
      <c r="B101" s="7" t="s">
        <v>1971</v>
      </c>
      <c r="C101" s="7" t="s">
        <v>1981</v>
      </c>
      <c r="D101" s="7" t="s">
        <v>1974</v>
      </c>
      <c r="E101" s="8">
        <v>27687</v>
      </c>
      <c r="F101" s="9">
        <v>43350</v>
      </c>
    </row>
    <row r="102" spans="1:6" ht="14.25" x14ac:dyDescent="0.45">
      <c r="A102" s="6" t="str">
        <f ca="1">IFERROR(__xludf.DUMMYFUNCTION("""COMPUTED_VALUE"""),"X2943")</f>
        <v>X2943</v>
      </c>
      <c r="B102" s="7" t="s">
        <v>1971</v>
      </c>
      <c r="C102" s="7" t="s">
        <v>1972</v>
      </c>
      <c r="D102" s="7" t="s">
        <v>1973</v>
      </c>
      <c r="E102" s="8">
        <v>27697</v>
      </c>
      <c r="F102" s="10" t="s">
        <v>2121</v>
      </c>
    </row>
    <row r="103" spans="1:6" ht="14.25" x14ac:dyDescent="0.45">
      <c r="A103" s="6" t="str">
        <f ca="1">IFERROR(__xludf.DUMMYFUNCTION("""COMPUTED_VALUE"""),"X1837")</f>
        <v>X1837</v>
      </c>
      <c r="B103" s="7" t="s">
        <v>1971</v>
      </c>
      <c r="C103" s="7" t="s">
        <v>1977</v>
      </c>
      <c r="D103" s="7" t="s">
        <v>1974</v>
      </c>
      <c r="E103" s="8">
        <v>27718</v>
      </c>
      <c r="F103" s="9">
        <v>43043</v>
      </c>
    </row>
    <row r="104" spans="1:6" ht="14.25" x14ac:dyDescent="0.45">
      <c r="A104" s="6" t="str">
        <f ca="1">IFERROR(__xludf.DUMMYFUNCTION("""COMPUTED_VALUE"""),"X1JXT")</f>
        <v>X1JXT</v>
      </c>
      <c r="B104" s="7" t="s">
        <v>1971</v>
      </c>
      <c r="C104" s="7" t="s">
        <v>1977</v>
      </c>
      <c r="D104" s="7" t="s">
        <v>1975</v>
      </c>
      <c r="E104" s="8">
        <v>27752</v>
      </c>
      <c r="F104" s="10" t="s">
        <v>2118</v>
      </c>
    </row>
    <row r="105" spans="1:6" ht="14.25" x14ac:dyDescent="0.45">
      <c r="A105" s="6" t="str">
        <f ca="1">IFERROR(__xludf.DUMMYFUNCTION("""COMPUTED_VALUE"""),"X1OHP")</f>
        <v>X1OHP</v>
      </c>
      <c r="B105" s="7" t="s">
        <v>1980</v>
      </c>
      <c r="C105" s="7" t="s">
        <v>1972</v>
      </c>
      <c r="D105" s="7" t="s">
        <v>2007</v>
      </c>
      <c r="E105" s="8">
        <v>27756</v>
      </c>
      <c r="F105" s="10" t="s">
        <v>2194</v>
      </c>
    </row>
    <row r="106" spans="1:6" ht="14.25" x14ac:dyDescent="0.45">
      <c r="A106" s="6" t="str">
        <f ca="1">IFERROR(__xludf.DUMMYFUNCTION("""COMPUTED_VALUE"""),"X1VBL")</f>
        <v>X1VBL</v>
      </c>
      <c r="B106" s="7" t="s">
        <v>1971</v>
      </c>
      <c r="C106" s="7" t="s">
        <v>1972</v>
      </c>
      <c r="D106" s="7" t="s">
        <v>1974</v>
      </c>
      <c r="E106" s="8">
        <v>27778</v>
      </c>
      <c r="F106" s="10" t="s">
        <v>2120</v>
      </c>
    </row>
    <row r="107" spans="1:6" ht="14.25" x14ac:dyDescent="0.45">
      <c r="A107" s="6" t="str">
        <f ca="1">IFERROR(__xludf.DUMMYFUNCTION("""COMPUTED_VALUE"""),"X1VWI")</f>
        <v>X1VWI</v>
      </c>
      <c r="B107" s="7" t="s">
        <v>1971</v>
      </c>
      <c r="C107" s="7" t="s">
        <v>1972</v>
      </c>
      <c r="D107" s="7" t="s">
        <v>1974</v>
      </c>
      <c r="E107" s="8">
        <v>27783</v>
      </c>
      <c r="F107" s="10" t="s">
        <v>1991</v>
      </c>
    </row>
    <row r="108" spans="1:6" ht="14.25" x14ac:dyDescent="0.45">
      <c r="A108" s="6" t="str">
        <f ca="1">IFERROR(__xludf.DUMMYFUNCTION("""COMPUTED_VALUE"""),"X21TD")</f>
        <v>X21TD</v>
      </c>
      <c r="B108" s="7" t="s">
        <v>1971</v>
      </c>
      <c r="C108" s="7" t="s">
        <v>1972</v>
      </c>
      <c r="D108" s="7" t="s">
        <v>2020</v>
      </c>
      <c r="E108" s="8">
        <v>27820</v>
      </c>
      <c r="F108" s="10" t="s">
        <v>2149</v>
      </c>
    </row>
    <row r="109" spans="1:6" ht="14.25" x14ac:dyDescent="0.45">
      <c r="A109" s="6" t="str">
        <f ca="1">IFERROR(__xludf.DUMMYFUNCTION("""COMPUTED_VALUE"""),"X3148")</f>
        <v>X3148</v>
      </c>
      <c r="B109" s="7" t="s">
        <v>1971</v>
      </c>
      <c r="C109" s="7" t="s">
        <v>1972</v>
      </c>
      <c r="D109" s="7" t="s">
        <v>1987</v>
      </c>
      <c r="E109" s="8">
        <v>27832</v>
      </c>
      <c r="F109" s="10" t="s">
        <v>2115</v>
      </c>
    </row>
    <row r="110" spans="1:6" ht="14.25" x14ac:dyDescent="0.45">
      <c r="A110" s="6" t="str">
        <f ca="1">IFERROR(__xludf.DUMMYFUNCTION("""COMPUTED_VALUE"""),"X1676")</f>
        <v>X1676</v>
      </c>
      <c r="B110" s="7" t="s">
        <v>1971</v>
      </c>
      <c r="C110" s="7" t="s">
        <v>1972</v>
      </c>
      <c r="D110" s="7" t="s">
        <v>1993</v>
      </c>
      <c r="E110" s="8">
        <v>27883</v>
      </c>
      <c r="F110" s="10" t="s">
        <v>2000</v>
      </c>
    </row>
    <row r="111" spans="1:6" ht="14.25" x14ac:dyDescent="0.45">
      <c r="A111" s="6" t="str">
        <f ca="1">IFERROR(__xludf.DUMMYFUNCTION("""COMPUTED_VALUE"""),"X3081")</f>
        <v>X3081</v>
      </c>
      <c r="B111" s="7" t="s">
        <v>1971</v>
      </c>
      <c r="C111" s="7" t="s">
        <v>1981</v>
      </c>
      <c r="D111" s="7" t="s">
        <v>2003</v>
      </c>
      <c r="E111" s="8">
        <v>27890</v>
      </c>
      <c r="F111" s="10" t="s">
        <v>1999</v>
      </c>
    </row>
    <row r="112" spans="1:6" ht="14.25" x14ac:dyDescent="0.45">
      <c r="A112" s="6" t="str">
        <f ca="1">IFERROR(__xludf.DUMMYFUNCTION("""COMPUTED_VALUE"""),"X4KPZ5L")</f>
        <v>X4KPZ5L</v>
      </c>
      <c r="B112" s="7" t="s">
        <v>1971</v>
      </c>
      <c r="C112" s="7" t="s">
        <v>1972</v>
      </c>
      <c r="D112" s="7" t="s">
        <v>1997</v>
      </c>
      <c r="E112" s="8">
        <v>27909</v>
      </c>
      <c r="F112" s="10" t="s">
        <v>2305</v>
      </c>
    </row>
    <row r="113" spans="1:6" ht="14.25" x14ac:dyDescent="0.45">
      <c r="A113" s="6" t="str">
        <f ca="1">IFERROR(__xludf.DUMMYFUNCTION("""COMPUTED_VALUE"""),"XVWBWB4")</f>
        <v>XVWBWB4</v>
      </c>
      <c r="B113" s="7" t="s">
        <v>1971</v>
      </c>
      <c r="C113" s="7" t="s">
        <v>1977</v>
      </c>
      <c r="D113" s="7" t="s">
        <v>2072</v>
      </c>
      <c r="E113" s="8">
        <v>27918</v>
      </c>
      <c r="F113" s="9">
        <v>44235</v>
      </c>
    </row>
    <row r="114" spans="1:6" ht="14.25" x14ac:dyDescent="0.45">
      <c r="A114" s="6" t="str">
        <f ca="1">IFERROR(__xludf.DUMMYFUNCTION("""COMPUTED_VALUE"""),"X1754")</f>
        <v>X1754</v>
      </c>
      <c r="B114" s="7" t="s">
        <v>1971</v>
      </c>
      <c r="C114" s="7" t="s">
        <v>1972</v>
      </c>
      <c r="D114" s="7" t="s">
        <v>2072</v>
      </c>
      <c r="E114" s="8">
        <v>27968</v>
      </c>
      <c r="F114" s="10" t="s">
        <v>2084</v>
      </c>
    </row>
    <row r="115" spans="1:6" ht="14.25" x14ac:dyDescent="0.45">
      <c r="A115" s="6" t="str">
        <f ca="1">IFERROR(__xludf.DUMMYFUNCTION("""COMPUTED_VALUE"""),"XCODKRJ")</f>
        <v>XCODKRJ</v>
      </c>
      <c r="B115" s="7" t="s">
        <v>1971</v>
      </c>
      <c r="C115" s="7" t="s">
        <v>1972</v>
      </c>
      <c r="D115" s="7" t="s">
        <v>1974</v>
      </c>
      <c r="E115" s="8">
        <v>27979</v>
      </c>
      <c r="F115" s="10" t="s">
        <v>2247</v>
      </c>
    </row>
    <row r="116" spans="1:6" ht="14.25" x14ac:dyDescent="0.45">
      <c r="A116" s="6" t="str">
        <f ca="1">IFERROR(__xludf.DUMMYFUNCTION("""COMPUTED_VALUE"""),"X1XD5")</f>
        <v>X1XD5</v>
      </c>
      <c r="B116" s="7" t="s">
        <v>1971</v>
      </c>
      <c r="C116" s="7" t="s">
        <v>1972</v>
      </c>
      <c r="D116" s="7" t="s">
        <v>1975</v>
      </c>
      <c r="E116" s="8">
        <v>27985</v>
      </c>
      <c r="F116" s="9">
        <v>43718</v>
      </c>
    </row>
    <row r="117" spans="1:6" ht="14.25" x14ac:dyDescent="0.45">
      <c r="A117" s="6" t="str">
        <f ca="1">IFERROR(__xludf.DUMMYFUNCTION("""COMPUTED_VALUE"""),"X3090")</f>
        <v>X3090</v>
      </c>
      <c r="B117" s="7" t="s">
        <v>1971</v>
      </c>
      <c r="C117" s="7" t="s">
        <v>1972</v>
      </c>
      <c r="D117" s="7" t="s">
        <v>2072</v>
      </c>
      <c r="E117" s="8">
        <v>27998</v>
      </c>
      <c r="F117" s="10" t="s">
        <v>2171</v>
      </c>
    </row>
    <row r="118" spans="1:6" ht="14.25" x14ac:dyDescent="0.45">
      <c r="A118" s="6" t="str">
        <f ca="1">IFERROR(__xludf.DUMMYFUNCTION("""COMPUTED_VALUE"""),"XC5BXX2")</f>
        <v>XC5BXX2</v>
      </c>
      <c r="B118" s="7" t="s">
        <v>1980</v>
      </c>
      <c r="C118" s="7" t="s">
        <v>1972</v>
      </c>
      <c r="D118" s="7" t="s">
        <v>2007</v>
      </c>
      <c r="E118" s="8">
        <v>27998</v>
      </c>
      <c r="F118" s="10" t="s">
        <v>2210</v>
      </c>
    </row>
    <row r="119" spans="1:6" ht="14.25" x14ac:dyDescent="0.45">
      <c r="A119" s="6" t="str">
        <f ca="1">IFERROR(__xludf.DUMMYFUNCTION("""COMPUTED_VALUE"""),"X7N9DSQ")</f>
        <v>X7N9DSQ</v>
      </c>
      <c r="B119" s="7" t="s">
        <v>1971</v>
      </c>
      <c r="C119" s="7" t="s">
        <v>1972</v>
      </c>
      <c r="D119" s="7" t="s">
        <v>1993</v>
      </c>
      <c r="E119" s="8">
        <v>28004</v>
      </c>
      <c r="F119" s="10" t="s">
        <v>2192</v>
      </c>
    </row>
    <row r="120" spans="1:6" ht="14.25" x14ac:dyDescent="0.45">
      <c r="A120" s="6" t="str">
        <f ca="1">IFERROR(__xludf.DUMMYFUNCTION("""COMPUTED_VALUE"""),"X1RS9")</f>
        <v>X1RS9</v>
      </c>
      <c r="B120" s="7" t="s">
        <v>1980</v>
      </c>
      <c r="C120" s="7" t="s">
        <v>1972</v>
      </c>
      <c r="D120" s="7" t="s">
        <v>2020</v>
      </c>
      <c r="E120" s="8">
        <v>28008</v>
      </c>
      <c r="F120" s="10" t="s">
        <v>2209</v>
      </c>
    </row>
    <row r="121" spans="1:6" ht="14.25" x14ac:dyDescent="0.45">
      <c r="A121" s="6" t="str">
        <f ca="1">IFERROR(__xludf.DUMMYFUNCTION("""COMPUTED_VALUE"""),"X2BQE")</f>
        <v>X2BQE</v>
      </c>
      <c r="B121" s="7" t="s">
        <v>1971</v>
      </c>
      <c r="C121" s="7" t="s">
        <v>1972</v>
      </c>
      <c r="D121" s="7" t="s">
        <v>1974</v>
      </c>
      <c r="E121" s="8">
        <v>28039</v>
      </c>
      <c r="F121" s="10" t="s">
        <v>2009</v>
      </c>
    </row>
    <row r="122" spans="1:6" ht="14.25" x14ac:dyDescent="0.45">
      <c r="A122" s="6" t="str">
        <f ca="1">IFERROR(__xludf.DUMMYFUNCTION("""COMPUTED_VALUE"""),"X1WOS")</f>
        <v>X1WOS</v>
      </c>
      <c r="B122" s="7" t="s">
        <v>1980</v>
      </c>
      <c r="C122" s="7" t="s">
        <v>1972</v>
      </c>
      <c r="D122" s="7" t="s">
        <v>2020</v>
      </c>
      <c r="E122" s="8">
        <v>28041</v>
      </c>
      <c r="F122" s="9">
        <v>43625</v>
      </c>
    </row>
    <row r="123" spans="1:6" ht="14.25" x14ac:dyDescent="0.45">
      <c r="A123" s="6" t="str">
        <f ca="1">IFERROR(__xludf.DUMMYFUNCTION("""COMPUTED_VALUE"""),"XS7JZS1")</f>
        <v>XS7JZS1</v>
      </c>
      <c r="B123" s="7" t="s">
        <v>1971</v>
      </c>
      <c r="C123" s="7" t="s">
        <v>1972</v>
      </c>
      <c r="D123" s="7" t="s">
        <v>1974</v>
      </c>
      <c r="E123" s="8">
        <v>28069</v>
      </c>
      <c r="F123" s="10" t="s">
        <v>2245</v>
      </c>
    </row>
    <row r="124" spans="1:6" ht="14.25" x14ac:dyDescent="0.45">
      <c r="A124" s="6" t="str">
        <f ca="1">IFERROR(__xludf.DUMMYFUNCTION("""COMPUTED_VALUE"""),"X2B3U")</f>
        <v>X2B3U</v>
      </c>
      <c r="B124" s="7" t="s">
        <v>1980</v>
      </c>
      <c r="C124" s="7" t="s">
        <v>1972</v>
      </c>
      <c r="D124" s="7" t="s">
        <v>1993</v>
      </c>
      <c r="E124" s="8">
        <v>28076</v>
      </c>
      <c r="F124" s="9">
        <v>44146</v>
      </c>
    </row>
    <row r="125" spans="1:6" ht="14.25" x14ac:dyDescent="0.45">
      <c r="A125" s="6" t="str">
        <f ca="1">IFERROR(__xludf.DUMMYFUNCTION("""COMPUTED_VALUE"""),"X28S3")</f>
        <v>X28S3</v>
      </c>
      <c r="B125" s="7" t="s">
        <v>1971</v>
      </c>
      <c r="C125" s="7" t="s">
        <v>1972</v>
      </c>
      <c r="D125" s="7" t="s">
        <v>1975</v>
      </c>
      <c r="E125" s="8">
        <v>28097</v>
      </c>
      <c r="F125" s="10" t="s">
        <v>2237</v>
      </c>
    </row>
    <row r="126" spans="1:6" ht="14.25" x14ac:dyDescent="0.45">
      <c r="A126" s="6" t="str">
        <f ca="1">IFERROR(__xludf.DUMMYFUNCTION("""COMPUTED_VALUE"""),"X2BAK")</f>
        <v>X2BAK</v>
      </c>
      <c r="B126" s="7" t="s">
        <v>1971</v>
      </c>
      <c r="C126" s="7" t="s">
        <v>1972</v>
      </c>
      <c r="D126" s="7" t="s">
        <v>1974</v>
      </c>
      <c r="E126" s="8">
        <v>28188</v>
      </c>
      <c r="F126" s="10" t="s">
        <v>2029</v>
      </c>
    </row>
    <row r="127" spans="1:6" ht="14.25" x14ac:dyDescent="0.45">
      <c r="A127" s="6" t="str">
        <f ca="1">IFERROR(__xludf.DUMMYFUNCTION("""COMPUTED_VALUE"""),"X1KF7")</f>
        <v>X1KF7</v>
      </c>
      <c r="B127" s="7" t="s">
        <v>1971</v>
      </c>
      <c r="C127" s="7" t="s">
        <v>1972</v>
      </c>
      <c r="D127" s="7" t="s">
        <v>2072</v>
      </c>
      <c r="E127" s="8">
        <v>28230</v>
      </c>
      <c r="F127" s="9">
        <v>43168</v>
      </c>
    </row>
    <row r="128" spans="1:6" ht="14.25" x14ac:dyDescent="0.45">
      <c r="A128" s="6" t="str">
        <f ca="1">IFERROR(__xludf.DUMMYFUNCTION("""COMPUTED_VALUE"""),"X2629")</f>
        <v>X2629</v>
      </c>
      <c r="B128" s="7" t="s">
        <v>1971</v>
      </c>
      <c r="C128" s="7" t="s">
        <v>1972</v>
      </c>
      <c r="D128" s="7" t="s">
        <v>1990</v>
      </c>
      <c r="E128" s="8">
        <v>28274</v>
      </c>
      <c r="F128" s="9">
        <v>42896</v>
      </c>
    </row>
    <row r="129" spans="1:6" ht="14.25" x14ac:dyDescent="0.45">
      <c r="A129" s="6" t="str">
        <f ca="1">IFERROR(__xludf.DUMMYFUNCTION("""COMPUTED_VALUE"""),"X2D8Y")</f>
        <v>X2D8Y</v>
      </c>
      <c r="B129" s="7" t="s">
        <v>1971</v>
      </c>
      <c r="C129" s="7" t="s">
        <v>1977</v>
      </c>
      <c r="D129" s="7" t="s">
        <v>1974</v>
      </c>
      <c r="E129" s="8">
        <v>28298</v>
      </c>
      <c r="F129" s="9">
        <v>44501</v>
      </c>
    </row>
    <row r="130" spans="1:6" ht="14.25" x14ac:dyDescent="0.45">
      <c r="A130" s="6" t="str">
        <f ca="1">IFERROR(__xludf.DUMMYFUNCTION("""COMPUTED_VALUE"""),"X2CY4")</f>
        <v>X2CY4</v>
      </c>
      <c r="B130" s="7" t="s">
        <v>1971</v>
      </c>
      <c r="C130" s="7" t="s">
        <v>1972</v>
      </c>
      <c r="D130" s="7" t="s">
        <v>1974</v>
      </c>
      <c r="E130" s="8">
        <v>28314</v>
      </c>
      <c r="F130" s="9">
        <v>44287</v>
      </c>
    </row>
    <row r="131" spans="1:6" ht="14.25" x14ac:dyDescent="0.45">
      <c r="A131" s="6" t="str">
        <f ca="1">IFERROR(__xludf.DUMMYFUNCTION("""COMPUTED_VALUE"""),"X2B146")</f>
        <v>X2B146</v>
      </c>
      <c r="B131" s="7" t="s">
        <v>1971</v>
      </c>
      <c r="C131" s="7" t="s">
        <v>1972</v>
      </c>
      <c r="D131" s="7" t="s">
        <v>1993</v>
      </c>
      <c r="E131" s="8">
        <v>28326</v>
      </c>
      <c r="F131" s="10" t="s">
        <v>2024</v>
      </c>
    </row>
    <row r="132" spans="1:6" ht="14.25" x14ac:dyDescent="0.45">
      <c r="A132" s="6" t="str">
        <f ca="1">IFERROR(__xludf.DUMMYFUNCTION("""COMPUTED_VALUE"""),"X2R18XG")</f>
        <v>X2R18XG</v>
      </c>
      <c r="B132" s="7" t="s">
        <v>1971</v>
      </c>
      <c r="C132" s="7" t="s">
        <v>1972</v>
      </c>
      <c r="D132" s="7" t="s">
        <v>2026</v>
      </c>
      <c r="E132" s="8">
        <v>28342</v>
      </c>
      <c r="F132" s="10" t="s">
        <v>2246</v>
      </c>
    </row>
    <row r="133" spans="1:6" ht="14.25" x14ac:dyDescent="0.45">
      <c r="A133" s="6" t="str">
        <f ca="1">IFERROR(__xludf.DUMMYFUNCTION("""COMPUTED_VALUE"""),"X3333GF")</f>
        <v>X3333GF</v>
      </c>
      <c r="B133" s="7" t="s">
        <v>1986</v>
      </c>
      <c r="C133" s="7" t="s">
        <v>1981</v>
      </c>
      <c r="D133" s="7" t="s">
        <v>1975</v>
      </c>
      <c r="E133" s="8">
        <v>28365</v>
      </c>
      <c r="F133" s="10" t="s">
        <v>2193</v>
      </c>
    </row>
    <row r="134" spans="1:6" ht="14.25" x14ac:dyDescent="0.45">
      <c r="A134" s="6" t="str">
        <f ca="1">IFERROR(__xludf.DUMMYFUNCTION("""COMPUTED_VALUE"""),"X20PB")</f>
        <v>X20PB</v>
      </c>
      <c r="B134" s="7" t="s">
        <v>1971</v>
      </c>
      <c r="C134" s="7" t="s">
        <v>1972</v>
      </c>
      <c r="D134" s="7" t="s">
        <v>2026</v>
      </c>
      <c r="E134" s="8">
        <v>28380</v>
      </c>
      <c r="F134" s="10" t="s">
        <v>2027</v>
      </c>
    </row>
    <row r="135" spans="1:6" ht="14.25" x14ac:dyDescent="0.45">
      <c r="A135" s="6" t="str">
        <f ca="1">IFERROR(__xludf.DUMMYFUNCTION("""COMPUTED_VALUE"""),"X2347")</f>
        <v>X2347</v>
      </c>
      <c r="B135" s="7" t="s">
        <v>1971</v>
      </c>
      <c r="C135" s="7" t="s">
        <v>1972</v>
      </c>
      <c r="D135" s="7" t="s">
        <v>2012</v>
      </c>
      <c r="E135" s="8">
        <v>28424</v>
      </c>
      <c r="F135" s="10" t="s">
        <v>2299</v>
      </c>
    </row>
    <row r="136" spans="1:6" ht="14.25" x14ac:dyDescent="0.45">
      <c r="A136" s="6" t="str">
        <f ca="1">IFERROR(__xludf.DUMMYFUNCTION("""COMPUTED_VALUE"""),"X1SHO")</f>
        <v>X1SHO</v>
      </c>
      <c r="B136" s="7" t="s">
        <v>1971</v>
      </c>
      <c r="C136" s="7" t="s">
        <v>1996</v>
      </c>
      <c r="D136" s="7" t="s">
        <v>1997</v>
      </c>
      <c r="E136" s="8">
        <v>28448</v>
      </c>
      <c r="F136" s="10" t="s">
        <v>1998</v>
      </c>
    </row>
    <row r="137" spans="1:6" ht="14.25" x14ac:dyDescent="0.45">
      <c r="A137" s="6" t="str">
        <f ca="1">IFERROR(__xludf.DUMMYFUNCTION("""COMPUTED_VALUE"""),"X1663")</f>
        <v>X1663</v>
      </c>
      <c r="B137" s="7" t="s">
        <v>1980</v>
      </c>
      <c r="C137" s="7" t="s">
        <v>1972</v>
      </c>
      <c r="D137" s="7" t="s">
        <v>1975</v>
      </c>
      <c r="E137" s="8">
        <v>28466</v>
      </c>
      <c r="F137" s="10" t="s">
        <v>2000</v>
      </c>
    </row>
    <row r="138" spans="1:6" ht="14.25" x14ac:dyDescent="0.45">
      <c r="A138" s="6" t="str">
        <f ca="1">IFERROR(__xludf.DUMMYFUNCTION("""COMPUTED_VALUE"""),"X1P8X")</f>
        <v>X1P8X</v>
      </c>
      <c r="B138" s="7" t="s">
        <v>1971</v>
      </c>
      <c r="C138" s="7" t="s">
        <v>1977</v>
      </c>
      <c r="D138" s="7" t="s">
        <v>1983</v>
      </c>
      <c r="E138" s="8">
        <v>28496</v>
      </c>
      <c r="F138" s="9">
        <v>43557</v>
      </c>
    </row>
    <row r="139" spans="1:6" ht="14.25" x14ac:dyDescent="0.45">
      <c r="A139" s="6" t="str">
        <f ca="1">IFERROR(__xludf.DUMMYFUNCTION("""COMPUTED_VALUE"""),"XY69712")</f>
        <v>XY69712</v>
      </c>
      <c r="B139" s="7" t="s">
        <v>1971</v>
      </c>
      <c r="C139" s="7" t="s">
        <v>1977</v>
      </c>
      <c r="D139" s="7" t="s">
        <v>2072</v>
      </c>
      <c r="E139" s="8">
        <v>28498</v>
      </c>
      <c r="F139" s="10" t="s">
        <v>2298</v>
      </c>
    </row>
    <row r="140" spans="1:6" ht="14.25" x14ac:dyDescent="0.45">
      <c r="A140" s="6" t="str">
        <f ca="1">IFERROR(__xludf.DUMMYFUNCTION("""COMPUTED_VALUE"""),"X3194")</f>
        <v>X3194</v>
      </c>
      <c r="B140" s="7" t="s">
        <v>1971</v>
      </c>
      <c r="C140" s="7" t="s">
        <v>1972</v>
      </c>
      <c r="D140" s="7" t="s">
        <v>1990</v>
      </c>
      <c r="E140" s="8">
        <v>28533</v>
      </c>
      <c r="F140" s="9">
        <v>43197</v>
      </c>
    </row>
    <row r="141" spans="1:6" ht="14.25" x14ac:dyDescent="0.45">
      <c r="A141" s="6" t="str">
        <f ca="1">IFERROR(__xludf.DUMMYFUNCTION("""COMPUTED_VALUE"""),"X1RAJ")</f>
        <v>X1RAJ</v>
      </c>
      <c r="B141" s="7" t="s">
        <v>1980</v>
      </c>
      <c r="C141" s="7" t="s">
        <v>1996</v>
      </c>
      <c r="D141" s="7" t="s">
        <v>2007</v>
      </c>
      <c r="E141" s="8">
        <v>28538</v>
      </c>
      <c r="F141" s="10" t="s">
        <v>2100</v>
      </c>
    </row>
    <row r="142" spans="1:6" ht="14.25" x14ac:dyDescent="0.45">
      <c r="A142" s="6" t="str">
        <f ca="1">IFERROR(__xludf.DUMMYFUNCTION("""COMPUTED_VALUE"""),"X1JX8")</f>
        <v>X1JX8</v>
      </c>
      <c r="B142" s="7" t="s">
        <v>1971</v>
      </c>
      <c r="C142" s="7" t="s">
        <v>1972</v>
      </c>
      <c r="D142" s="7" t="s">
        <v>1995</v>
      </c>
      <c r="E142" s="8">
        <v>28543</v>
      </c>
      <c r="F142" s="10" t="s">
        <v>2116</v>
      </c>
    </row>
    <row r="143" spans="1:6" ht="14.25" x14ac:dyDescent="0.45">
      <c r="A143" s="6" t="str">
        <f ca="1">IFERROR(__xludf.DUMMYFUNCTION("""COMPUTED_VALUE"""),"X2DSNVZ")</f>
        <v>X2DSNVZ</v>
      </c>
      <c r="B143" s="7" t="s">
        <v>1971</v>
      </c>
      <c r="C143" s="7" t="s">
        <v>1974</v>
      </c>
      <c r="D143" s="7" t="s">
        <v>1974</v>
      </c>
      <c r="E143" s="8">
        <v>28582</v>
      </c>
      <c r="F143" s="10" t="s">
        <v>2245</v>
      </c>
    </row>
    <row r="144" spans="1:6" ht="14.25" x14ac:dyDescent="0.45">
      <c r="A144" s="6" t="str">
        <f ca="1">IFERROR(__xludf.DUMMYFUNCTION("""COMPUTED_VALUE"""),"X3523")</f>
        <v>X3523</v>
      </c>
      <c r="B144" s="7" t="s">
        <v>1971</v>
      </c>
      <c r="C144" s="7" t="s">
        <v>1972</v>
      </c>
      <c r="D144" s="7" t="s">
        <v>1973</v>
      </c>
      <c r="E144" s="8">
        <v>28598</v>
      </c>
      <c r="F144" s="9">
        <v>43381</v>
      </c>
    </row>
    <row r="145" spans="1:6" ht="14.25" x14ac:dyDescent="0.45">
      <c r="A145" s="6" t="str">
        <f ca="1">IFERROR(__xludf.DUMMYFUNCTION("""COMPUTED_VALUE"""),"X1KKC")</f>
        <v>X1KKC</v>
      </c>
      <c r="B145" s="7" t="s">
        <v>1971</v>
      </c>
      <c r="C145" s="7" t="s">
        <v>1974</v>
      </c>
      <c r="D145" s="7" t="s">
        <v>1978</v>
      </c>
      <c r="E145" s="8">
        <v>28633</v>
      </c>
      <c r="F145" s="9">
        <v>43260</v>
      </c>
    </row>
    <row r="146" spans="1:6" ht="14.25" x14ac:dyDescent="0.45">
      <c r="A146" s="6" t="str">
        <f ca="1">IFERROR(__xludf.DUMMYFUNCTION("""COMPUTED_VALUE"""),"X29B0")</f>
        <v>X29B0</v>
      </c>
      <c r="B146" s="7" t="s">
        <v>1971</v>
      </c>
      <c r="C146" s="7" t="s">
        <v>1972</v>
      </c>
      <c r="D146" s="7" t="s">
        <v>1974</v>
      </c>
      <c r="E146" s="8">
        <v>28637</v>
      </c>
      <c r="F146" s="9">
        <v>43961</v>
      </c>
    </row>
    <row r="147" spans="1:6" ht="14.25" x14ac:dyDescent="0.45">
      <c r="A147" s="6" t="str">
        <f ca="1">IFERROR(__xludf.DUMMYFUNCTION("""COMPUTED_VALUE"""),"X2TB9UU")</f>
        <v>X2TB9UU</v>
      </c>
      <c r="B147" s="7" t="s">
        <v>1971</v>
      </c>
      <c r="C147" s="7" t="s">
        <v>1972</v>
      </c>
      <c r="D147" s="7" t="s">
        <v>1993</v>
      </c>
      <c r="E147" s="8">
        <v>28637</v>
      </c>
      <c r="F147" s="9">
        <v>44292</v>
      </c>
    </row>
    <row r="148" spans="1:6" ht="14.25" x14ac:dyDescent="0.45">
      <c r="A148" s="6" t="str">
        <f ca="1">IFERROR(__xludf.DUMMYFUNCTION("""COMPUTED_VALUE"""),"X1LKB")</f>
        <v>X1LKB</v>
      </c>
      <c r="B148" s="7" t="s">
        <v>1971</v>
      </c>
      <c r="C148" s="7" t="s">
        <v>1977</v>
      </c>
      <c r="D148" s="7" t="s">
        <v>2014</v>
      </c>
      <c r="E148" s="8">
        <v>28677</v>
      </c>
      <c r="F148" s="10" t="s">
        <v>2015</v>
      </c>
    </row>
    <row r="149" spans="1:6" ht="14.25" x14ac:dyDescent="0.45">
      <c r="A149" s="6" t="str">
        <f ca="1">IFERROR(__xludf.DUMMYFUNCTION("""COMPUTED_VALUE"""),"X1E6MD2")</f>
        <v>X1E6MD2</v>
      </c>
      <c r="B149" s="7" t="s">
        <v>1971</v>
      </c>
      <c r="C149" s="7" t="s">
        <v>1972</v>
      </c>
      <c r="D149" s="7" t="s">
        <v>1975</v>
      </c>
      <c r="E149" s="8">
        <v>28698</v>
      </c>
      <c r="F149" s="10" t="s">
        <v>2247</v>
      </c>
    </row>
    <row r="150" spans="1:6" ht="14.25" x14ac:dyDescent="0.45">
      <c r="A150" s="6" t="str">
        <f ca="1">IFERROR(__xludf.DUMMYFUNCTION("""COMPUTED_VALUE"""),"XI1YZ4Z")</f>
        <v>XI1YZ4Z</v>
      </c>
      <c r="B150" s="7" t="s">
        <v>1971</v>
      </c>
      <c r="C150" s="7" t="s">
        <v>1972</v>
      </c>
      <c r="D150" s="7" t="s">
        <v>1997</v>
      </c>
      <c r="E150" s="8">
        <v>28705</v>
      </c>
      <c r="F150" s="10" t="s">
        <v>2261</v>
      </c>
    </row>
    <row r="151" spans="1:6" ht="14.25" x14ac:dyDescent="0.45">
      <c r="A151" s="6" t="str">
        <f ca="1">IFERROR(__xludf.DUMMYFUNCTION("""COMPUTED_VALUE"""),"XFT8T47")</f>
        <v>XFT8T47</v>
      </c>
      <c r="B151" s="7" t="s">
        <v>1986</v>
      </c>
      <c r="C151" s="7" t="s">
        <v>1981</v>
      </c>
      <c r="D151" s="7" t="s">
        <v>1983</v>
      </c>
      <c r="E151" s="8">
        <v>28728</v>
      </c>
      <c r="F151" s="10" t="s">
        <v>2278</v>
      </c>
    </row>
    <row r="152" spans="1:6" ht="14.25" x14ac:dyDescent="0.45">
      <c r="A152" s="6" t="str">
        <f ca="1">IFERROR(__xludf.DUMMYFUNCTION("""COMPUTED_VALUE"""),"X578BKS")</f>
        <v>X578BKS</v>
      </c>
      <c r="B152" s="7" t="s">
        <v>1971</v>
      </c>
      <c r="C152" s="7" t="s">
        <v>1972</v>
      </c>
      <c r="D152" s="7" t="s">
        <v>1975</v>
      </c>
      <c r="E152" s="8">
        <v>28730</v>
      </c>
      <c r="F152" s="9">
        <v>44235</v>
      </c>
    </row>
    <row r="153" spans="1:6" ht="14.25" x14ac:dyDescent="0.45">
      <c r="A153" s="6" t="str">
        <f ca="1">IFERROR(__xludf.DUMMYFUNCTION("""COMPUTED_VALUE"""),"E1313")</f>
        <v>E1313</v>
      </c>
      <c r="B153" s="7" t="s">
        <v>1971</v>
      </c>
      <c r="C153" s="7" t="s">
        <v>1996</v>
      </c>
      <c r="D153" s="7" t="s">
        <v>1997</v>
      </c>
      <c r="E153" s="8">
        <v>28731</v>
      </c>
      <c r="F153" s="9">
        <v>42412</v>
      </c>
    </row>
    <row r="154" spans="1:6" ht="14.25" x14ac:dyDescent="0.45">
      <c r="A154" s="6" t="str">
        <f ca="1">IFERROR(__xludf.DUMMYFUNCTION("""COMPUTED_VALUE"""),"X8U3YXS")</f>
        <v>X8U3YXS</v>
      </c>
      <c r="B154" s="7" t="s">
        <v>1971</v>
      </c>
      <c r="C154" s="7" t="s">
        <v>1972</v>
      </c>
      <c r="D154" s="7" t="s">
        <v>1975</v>
      </c>
      <c r="E154" s="8">
        <v>28733</v>
      </c>
      <c r="F154" s="10" t="s">
        <v>2258</v>
      </c>
    </row>
    <row r="155" spans="1:6" ht="14.25" x14ac:dyDescent="0.45">
      <c r="A155" s="6" t="str">
        <f ca="1">IFERROR(__xludf.DUMMYFUNCTION("""COMPUTED_VALUE"""),"X21VF")</f>
        <v>X21VF</v>
      </c>
      <c r="B155" s="7" t="s">
        <v>1971</v>
      </c>
      <c r="C155" s="7" t="s">
        <v>1981</v>
      </c>
      <c r="D155" s="7" t="s">
        <v>1975</v>
      </c>
      <c r="E155" s="8">
        <v>28733</v>
      </c>
      <c r="F155" s="10" t="s">
        <v>2227</v>
      </c>
    </row>
    <row r="156" spans="1:6" ht="14.25" x14ac:dyDescent="0.45">
      <c r="A156" s="6" t="str">
        <f ca="1">IFERROR(__xludf.DUMMYFUNCTION("""COMPUTED_VALUE"""),"X1928")</f>
        <v>X1928</v>
      </c>
      <c r="B156" s="7" t="s">
        <v>1971</v>
      </c>
      <c r="C156" s="7" t="s">
        <v>1972</v>
      </c>
      <c r="D156" s="7" t="s">
        <v>1978</v>
      </c>
      <c r="E156" s="8">
        <v>28798</v>
      </c>
      <c r="F156" s="10" t="s">
        <v>2081</v>
      </c>
    </row>
    <row r="157" spans="1:6" ht="14.25" x14ac:dyDescent="0.45">
      <c r="A157" s="6" t="str">
        <f ca="1">IFERROR(__xludf.DUMMYFUNCTION("""COMPUTED_VALUE"""),"X321F9E")</f>
        <v>X321F9E</v>
      </c>
      <c r="B157" s="7" t="s">
        <v>1971</v>
      </c>
      <c r="C157" s="7" t="s">
        <v>1972</v>
      </c>
      <c r="D157" s="7" t="s">
        <v>1978</v>
      </c>
      <c r="E157" s="8">
        <v>28826</v>
      </c>
      <c r="F157" s="9">
        <v>44200</v>
      </c>
    </row>
    <row r="158" spans="1:6" ht="14.25" x14ac:dyDescent="0.45">
      <c r="A158" s="6" t="str">
        <f ca="1">IFERROR(__xludf.DUMMYFUNCTION("""COMPUTED_VALUE"""),"XJXC8XZ")</f>
        <v>XJXC8XZ</v>
      </c>
      <c r="B158" s="7" t="s">
        <v>1971</v>
      </c>
      <c r="C158" s="7" t="s">
        <v>1972</v>
      </c>
      <c r="D158" s="7" t="s">
        <v>2012</v>
      </c>
      <c r="E158" s="8">
        <v>28842</v>
      </c>
      <c r="F158" s="9">
        <v>44508</v>
      </c>
    </row>
    <row r="159" spans="1:6" ht="14.25" x14ac:dyDescent="0.45">
      <c r="A159" s="6" t="str">
        <f ca="1">IFERROR(__xludf.DUMMYFUNCTION("""COMPUTED_VALUE"""),"X2CSB")</f>
        <v>X2CSB</v>
      </c>
      <c r="B159" s="7" t="s">
        <v>1971</v>
      </c>
      <c r="C159" s="7" t="s">
        <v>1972</v>
      </c>
      <c r="D159" s="7" t="s">
        <v>1974</v>
      </c>
      <c r="E159" s="8">
        <v>28847</v>
      </c>
      <c r="F159" s="10" t="s">
        <v>2096</v>
      </c>
    </row>
    <row r="160" spans="1:6" ht="14.25" x14ac:dyDescent="0.45">
      <c r="A160" s="6" t="str">
        <f ca="1">IFERROR(__xludf.DUMMYFUNCTION("""COMPUTED_VALUE"""),"XQT7KE2")</f>
        <v>XQT7KE2</v>
      </c>
      <c r="B160" s="7" t="s">
        <v>1971</v>
      </c>
      <c r="C160" s="7" t="s">
        <v>1972</v>
      </c>
      <c r="D160" s="7" t="s">
        <v>1990</v>
      </c>
      <c r="E160" s="8">
        <v>28856</v>
      </c>
      <c r="F160" s="10" t="s">
        <v>2193</v>
      </c>
    </row>
    <row r="161" spans="1:6" ht="14.25" x14ac:dyDescent="0.45">
      <c r="A161" s="6" t="str">
        <f ca="1">IFERROR(__xludf.DUMMYFUNCTION("""COMPUTED_VALUE"""),"X73DHCA")</f>
        <v>X73DHCA</v>
      </c>
      <c r="B161" s="7" t="s">
        <v>1971</v>
      </c>
      <c r="C161" s="7" t="s">
        <v>1972</v>
      </c>
      <c r="D161" s="7" t="s">
        <v>1974</v>
      </c>
      <c r="E161" s="8">
        <v>28894</v>
      </c>
      <c r="F161" s="10" t="s">
        <v>2219</v>
      </c>
    </row>
    <row r="162" spans="1:6" ht="14.25" x14ac:dyDescent="0.45">
      <c r="A162" s="6" t="str">
        <f ca="1">IFERROR(__xludf.DUMMYFUNCTION("""COMPUTED_VALUE"""),"XECGXZY")</f>
        <v>XECGXZY</v>
      </c>
      <c r="B162" s="7" t="s">
        <v>1971</v>
      </c>
      <c r="C162" s="7" t="s">
        <v>1972</v>
      </c>
      <c r="D162" s="7" t="s">
        <v>1974</v>
      </c>
      <c r="E162" s="8">
        <v>28901</v>
      </c>
      <c r="F162" s="10" t="s">
        <v>2245</v>
      </c>
    </row>
    <row r="163" spans="1:6" ht="14.25" x14ac:dyDescent="0.45">
      <c r="A163" s="6" t="str">
        <f ca="1">IFERROR(__xludf.DUMMYFUNCTION("""COMPUTED_VALUE"""),"X3012")</f>
        <v>X3012</v>
      </c>
      <c r="B163" s="7" t="s">
        <v>1971</v>
      </c>
      <c r="C163" s="7" t="s">
        <v>1972</v>
      </c>
      <c r="D163" s="7" t="s">
        <v>1974</v>
      </c>
      <c r="E163" s="8">
        <v>28908</v>
      </c>
      <c r="F163" s="10" t="s">
        <v>2133</v>
      </c>
    </row>
    <row r="164" spans="1:6" ht="14.25" x14ac:dyDescent="0.45">
      <c r="A164" s="6" t="str">
        <f ca="1">IFERROR(__xludf.DUMMYFUNCTION("""COMPUTED_VALUE"""),"XTGJQ7B")</f>
        <v>XTGJQ7B</v>
      </c>
      <c r="B164" s="7" t="s">
        <v>1971</v>
      </c>
      <c r="C164" s="7" t="s">
        <v>1977</v>
      </c>
      <c r="D164" s="7" t="s">
        <v>1974</v>
      </c>
      <c r="E164" s="8">
        <v>28968</v>
      </c>
      <c r="F164" s="9">
        <v>44447</v>
      </c>
    </row>
    <row r="165" spans="1:6" ht="14.25" x14ac:dyDescent="0.45">
      <c r="A165" s="6" t="str">
        <f ca="1">IFERROR(__xludf.DUMMYFUNCTION("""COMPUTED_VALUE"""),"X1723")</f>
        <v>X1723</v>
      </c>
      <c r="B165" s="7" t="s">
        <v>1971</v>
      </c>
      <c r="C165" s="7" t="s">
        <v>1972</v>
      </c>
      <c r="D165" s="7" t="s">
        <v>1974</v>
      </c>
      <c r="E165" s="8">
        <v>28973</v>
      </c>
      <c r="F165" s="10" t="s">
        <v>2256</v>
      </c>
    </row>
    <row r="166" spans="1:6" ht="14.25" x14ac:dyDescent="0.45">
      <c r="A166" s="6" t="str">
        <f ca="1">IFERROR(__xludf.DUMMYFUNCTION("""COMPUTED_VALUE"""),"X1JG1")</f>
        <v>X1JG1</v>
      </c>
      <c r="B166" s="7" t="s">
        <v>1971</v>
      </c>
      <c r="C166" s="7" t="s">
        <v>1972</v>
      </c>
      <c r="D166" s="7" t="s">
        <v>2020</v>
      </c>
      <c r="E166" s="8">
        <v>29005</v>
      </c>
      <c r="F166" s="10" t="s">
        <v>2055</v>
      </c>
    </row>
    <row r="167" spans="1:6" ht="14.25" x14ac:dyDescent="0.45">
      <c r="A167" s="6" t="str">
        <f ca="1">IFERROR(__xludf.DUMMYFUNCTION("""COMPUTED_VALUE"""),"XBBMVKN")</f>
        <v>XBBMVKN</v>
      </c>
      <c r="B167" s="7" t="s">
        <v>1971</v>
      </c>
      <c r="C167" s="7" t="s">
        <v>1972</v>
      </c>
      <c r="D167" s="7" t="s">
        <v>2012</v>
      </c>
      <c r="E167" s="8">
        <v>29010</v>
      </c>
      <c r="F167" s="9">
        <v>44414</v>
      </c>
    </row>
    <row r="168" spans="1:6" ht="14.25" x14ac:dyDescent="0.45">
      <c r="A168" s="6" t="str">
        <f ca="1">IFERROR(__xludf.DUMMYFUNCTION("""COMPUTED_VALUE"""),"X1MOY")</f>
        <v>X1MOY</v>
      </c>
      <c r="B168" s="7" t="s">
        <v>1971</v>
      </c>
      <c r="C168" s="7" t="s">
        <v>1972</v>
      </c>
      <c r="D168" s="7" t="s">
        <v>1993</v>
      </c>
      <c r="E168" s="8">
        <v>29025</v>
      </c>
      <c r="F168" s="10" t="s">
        <v>2034</v>
      </c>
    </row>
    <row r="169" spans="1:6" ht="14.25" x14ac:dyDescent="0.45">
      <c r="A169" s="6" t="str">
        <f ca="1">IFERROR(__xludf.DUMMYFUNCTION("""COMPUTED_VALUE"""),"X3426")</f>
        <v>X3426</v>
      </c>
      <c r="B169" s="7" t="s">
        <v>1971</v>
      </c>
      <c r="C169" s="7" t="s">
        <v>1972</v>
      </c>
      <c r="D169" s="7" t="s">
        <v>1990</v>
      </c>
      <c r="E169" s="8">
        <v>29033</v>
      </c>
      <c r="F169" s="9">
        <v>43108</v>
      </c>
    </row>
    <row r="170" spans="1:6" ht="14.25" x14ac:dyDescent="0.45">
      <c r="A170" s="6" t="str">
        <f ca="1">IFERROR(__xludf.DUMMYFUNCTION("""COMPUTED_VALUE"""),"X1PDU")</f>
        <v>X1PDU</v>
      </c>
      <c r="B170" s="7" t="s">
        <v>1980</v>
      </c>
      <c r="C170" s="7" t="s">
        <v>1972</v>
      </c>
      <c r="D170" s="7" t="s">
        <v>1995</v>
      </c>
      <c r="E170" s="8">
        <v>29038</v>
      </c>
      <c r="F170" s="9">
        <v>43771</v>
      </c>
    </row>
    <row r="171" spans="1:6" ht="14.25" x14ac:dyDescent="0.45">
      <c r="A171" s="6" t="str">
        <f ca="1">IFERROR(__xludf.DUMMYFUNCTION("""COMPUTED_VALUE"""),"X215G")</f>
        <v>X215G</v>
      </c>
      <c r="B171" s="7" t="s">
        <v>1971</v>
      </c>
      <c r="C171" s="7" t="s">
        <v>1972</v>
      </c>
      <c r="D171" s="7" t="s">
        <v>2020</v>
      </c>
      <c r="E171" s="8">
        <v>29075</v>
      </c>
      <c r="F171" s="9">
        <v>43892</v>
      </c>
    </row>
    <row r="172" spans="1:6" ht="14.25" x14ac:dyDescent="0.45">
      <c r="A172" s="6" t="str">
        <f ca="1">IFERROR(__xludf.DUMMYFUNCTION("""COMPUTED_VALUE"""),"X1831")</f>
        <v>X1831</v>
      </c>
      <c r="B172" s="7" t="s">
        <v>1971</v>
      </c>
      <c r="C172" s="7" t="s">
        <v>1974</v>
      </c>
      <c r="D172" s="7" t="s">
        <v>2026</v>
      </c>
      <c r="E172" s="8">
        <v>29077</v>
      </c>
      <c r="F172" s="9">
        <v>43012</v>
      </c>
    </row>
    <row r="173" spans="1:6" ht="14.25" x14ac:dyDescent="0.45">
      <c r="A173" s="6" t="str">
        <f ca="1">IFERROR(__xludf.DUMMYFUNCTION("""COMPUTED_VALUE"""),"XY4OGOU")</f>
        <v>XY4OGOU</v>
      </c>
      <c r="B173" s="7" t="s">
        <v>1971</v>
      </c>
      <c r="C173" s="7" t="s">
        <v>1974</v>
      </c>
      <c r="D173" s="7" t="s">
        <v>1982</v>
      </c>
      <c r="E173" s="8">
        <v>29086</v>
      </c>
      <c r="F173" s="10" t="s">
        <v>2246</v>
      </c>
    </row>
    <row r="174" spans="1:6" ht="14.25" x14ac:dyDescent="0.45">
      <c r="A174" s="6" t="str">
        <f ca="1">IFERROR(__xludf.DUMMYFUNCTION("""COMPUTED_VALUE"""),"X22KL")</f>
        <v>X22KL</v>
      </c>
      <c r="B174" s="7" t="s">
        <v>1986</v>
      </c>
      <c r="C174" s="7" t="s">
        <v>1977</v>
      </c>
      <c r="D174" s="7" t="s">
        <v>2007</v>
      </c>
      <c r="E174" s="8">
        <v>29088</v>
      </c>
      <c r="F174" s="9">
        <v>44107</v>
      </c>
    </row>
    <row r="175" spans="1:6" ht="14.25" x14ac:dyDescent="0.45">
      <c r="A175" s="6" t="str">
        <f ca="1">IFERROR(__xludf.DUMMYFUNCTION("""COMPUTED_VALUE"""),"XIFW52X")</f>
        <v>XIFW52X</v>
      </c>
      <c r="B175" s="7" t="s">
        <v>1971</v>
      </c>
      <c r="C175" s="7" t="s">
        <v>1972</v>
      </c>
      <c r="D175" s="7" t="s">
        <v>1973</v>
      </c>
      <c r="E175" s="8">
        <v>29105</v>
      </c>
      <c r="F175" s="9">
        <v>44510</v>
      </c>
    </row>
    <row r="176" spans="1:6" ht="14.25" x14ac:dyDescent="0.45">
      <c r="A176" s="6" t="str">
        <f ca="1">IFERROR(__xludf.DUMMYFUNCTION("""COMPUTED_VALUE"""),"X2DFL")</f>
        <v>X2DFL</v>
      </c>
      <c r="B176" s="7" t="s">
        <v>1986</v>
      </c>
      <c r="C176" s="7" t="s">
        <v>1977</v>
      </c>
      <c r="D176" s="7" t="s">
        <v>2007</v>
      </c>
      <c r="E176" s="8">
        <v>29112</v>
      </c>
      <c r="F176" s="10" t="s">
        <v>2046</v>
      </c>
    </row>
    <row r="177" spans="1:6" ht="14.25" x14ac:dyDescent="0.45">
      <c r="A177" s="6" t="str">
        <f ca="1">IFERROR(__xludf.DUMMYFUNCTION("""COMPUTED_VALUE"""),"XS5IFJL")</f>
        <v>XS5IFJL</v>
      </c>
      <c r="B177" s="7" t="s">
        <v>1971</v>
      </c>
      <c r="C177" s="7" t="s">
        <v>1972</v>
      </c>
      <c r="D177" s="7" t="s">
        <v>1975</v>
      </c>
      <c r="E177" s="8">
        <v>29126</v>
      </c>
      <c r="F177" s="10" t="s">
        <v>2286</v>
      </c>
    </row>
    <row r="178" spans="1:6" ht="14.25" x14ac:dyDescent="0.45">
      <c r="A178" s="6" t="str">
        <f ca="1">IFERROR(__xludf.DUMMYFUNCTION("""COMPUTED_VALUE"""),"X2D9B")</f>
        <v>X2D9B</v>
      </c>
      <c r="B178" s="7" t="s">
        <v>1971</v>
      </c>
      <c r="C178" s="7" t="s">
        <v>1977</v>
      </c>
      <c r="D178" s="7" t="s">
        <v>2003</v>
      </c>
      <c r="E178" s="8">
        <v>29131</v>
      </c>
      <c r="F178" s="9">
        <v>44501</v>
      </c>
    </row>
    <row r="179" spans="1:6" ht="14.25" x14ac:dyDescent="0.45">
      <c r="A179" s="6" t="str">
        <f ca="1">IFERROR(__xludf.DUMMYFUNCTION("""COMPUTED_VALUE"""),"XC3FD1J")</f>
        <v>XC3FD1J</v>
      </c>
      <c r="B179" s="7" t="s">
        <v>1971</v>
      </c>
      <c r="C179" s="7" t="s">
        <v>1972</v>
      </c>
      <c r="D179" s="7" t="s">
        <v>2020</v>
      </c>
      <c r="E179" s="8">
        <v>29134</v>
      </c>
      <c r="F179" s="10" t="s">
        <v>2283</v>
      </c>
    </row>
    <row r="180" spans="1:6" ht="14.25" x14ac:dyDescent="0.45">
      <c r="A180" s="6" t="str">
        <f ca="1">IFERROR(__xludf.DUMMYFUNCTION("""COMPUTED_VALUE"""),"X235F")</f>
        <v>X235F</v>
      </c>
      <c r="B180" s="7" t="s">
        <v>1971</v>
      </c>
      <c r="C180" s="7" t="s">
        <v>1981</v>
      </c>
      <c r="D180" s="7" t="s">
        <v>2077</v>
      </c>
      <c r="E180" s="8">
        <v>29178</v>
      </c>
      <c r="F180" s="10" t="s">
        <v>2045</v>
      </c>
    </row>
    <row r="181" spans="1:6" ht="14.25" x14ac:dyDescent="0.45">
      <c r="A181" s="6" t="str">
        <f ca="1">IFERROR(__xludf.DUMMYFUNCTION("""COMPUTED_VALUE"""),"X1XCR")</f>
        <v>X1XCR</v>
      </c>
      <c r="B181" s="7" t="s">
        <v>1971</v>
      </c>
      <c r="C181" s="7" t="s">
        <v>1972</v>
      </c>
      <c r="D181" s="7" t="s">
        <v>1993</v>
      </c>
      <c r="E181" s="8">
        <v>29178</v>
      </c>
      <c r="F181" s="9">
        <v>43718</v>
      </c>
    </row>
    <row r="182" spans="1:6" ht="14.25" x14ac:dyDescent="0.45">
      <c r="A182" s="6" t="str">
        <f ca="1">IFERROR(__xludf.DUMMYFUNCTION("""COMPUTED_VALUE"""),"X1ZEF")</f>
        <v>X1ZEF</v>
      </c>
      <c r="B182" s="7" t="s">
        <v>1971</v>
      </c>
      <c r="C182" s="7" t="s">
        <v>1972</v>
      </c>
      <c r="D182" s="7" t="s">
        <v>2012</v>
      </c>
      <c r="E182" s="8">
        <v>29181</v>
      </c>
      <c r="F182" s="9">
        <v>43720</v>
      </c>
    </row>
    <row r="183" spans="1:6" ht="14.25" x14ac:dyDescent="0.45">
      <c r="A183" s="6" t="str">
        <f ca="1">IFERROR(__xludf.DUMMYFUNCTION("""COMPUTED_VALUE"""),"X1VSG")</f>
        <v>X1VSG</v>
      </c>
      <c r="B183" s="7" t="s">
        <v>1971</v>
      </c>
      <c r="C183" s="7" t="s">
        <v>1972</v>
      </c>
      <c r="D183" s="7" t="s">
        <v>1975</v>
      </c>
      <c r="E183" s="8">
        <v>29195</v>
      </c>
      <c r="F183" s="10" t="s">
        <v>2058</v>
      </c>
    </row>
    <row r="184" spans="1:6" ht="14.25" x14ac:dyDescent="0.45">
      <c r="A184" s="6" t="str">
        <f ca="1">IFERROR(__xludf.DUMMYFUNCTION("""COMPUTED_VALUE"""),"XEW5C7E")</f>
        <v>XEW5C7E</v>
      </c>
      <c r="B184" s="7" t="s">
        <v>1971</v>
      </c>
      <c r="C184" s="7" t="s">
        <v>1972</v>
      </c>
      <c r="D184" s="7" t="s">
        <v>2012</v>
      </c>
      <c r="E184" s="8">
        <v>29204</v>
      </c>
      <c r="F184" s="10" t="s">
        <v>2313</v>
      </c>
    </row>
    <row r="185" spans="1:6" ht="14.25" x14ac:dyDescent="0.45">
      <c r="A185" s="6" t="str">
        <f ca="1">IFERROR(__xludf.DUMMYFUNCTION("""COMPUTED_VALUE"""),"XIVNOT3")</f>
        <v>XIVNOT3</v>
      </c>
      <c r="B185" s="7" t="s">
        <v>1971</v>
      </c>
      <c r="C185" s="7" t="s">
        <v>1972</v>
      </c>
      <c r="D185" s="7" t="s">
        <v>1978</v>
      </c>
      <c r="E185" s="8">
        <v>29228</v>
      </c>
      <c r="F185" s="10" t="s">
        <v>2338</v>
      </c>
    </row>
    <row r="186" spans="1:6" ht="14.25" x14ac:dyDescent="0.45">
      <c r="A186" s="6" t="str">
        <f ca="1">IFERROR(__xludf.DUMMYFUNCTION("""COMPUTED_VALUE"""),"X239K")</f>
        <v>X239K</v>
      </c>
      <c r="B186" s="7" t="s">
        <v>1971</v>
      </c>
      <c r="C186" s="7" t="s">
        <v>1972</v>
      </c>
      <c r="D186" s="7" t="s">
        <v>1990</v>
      </c>
      <c r="E186" s="8">
        <v>29245</v>
      </c>
      <c r="F186" s="10" t="s">
        <v>2244</v>
      </c>
    </row>
    <row r="187" spans="1:6" ht="14.25" x14ac:dyDescent="0.45">
      <c r="A187" s="6" t="str">
        <f ca="1">IFERROR(__xludf.DUMMYFUNCTION("""COMPUTED_VALUE"""),"X3M3YF1")</f>
        <v>X3M3YF1</v>
      </c>
      <c r="B187" s="7" t="s">
        <v>1971</v>
      </c>
      <c r="C187" s="7" t="s">
        <v>1972</v>
      </c>
      <c r="D187" s="7" t="s">
        <v>2020</v>
      </c>
      <c r="E187" s="8">
        <v>29249</v>
      </c>
      <c r="F187" s="10" t="s">
        <v>2287</v>
      </c>
    </row>
    <row r="188" spans="1:6" ht="14.25" x14ac:dyDescent="0.45">
      <c r="A188" s="6" t="str">
        <f ca="1">IFERROR(__xludf.DUMMYFUNCTION("""COMPUTED_VALUE"""),"X2B4B")</f>
        <v>X2B4B</v>
      </c>
      <c r="B188" s="7" t="s">
        <v>1971</v>
      </c>
      <c r="C188" s="7" t="s">
        <v>1972</v>
      </c>
      <c r="D188" s="7" t="s">
        <v>1974</v>
      </c>
      <c r="E188" s="8">
        <v>29256</v>
      </c>
      <c r="F188" s="9">
        <v>44146</v>
      </c>
    </row>
    <row r="189" spans="1:6" ht="14.25" x14ac:dyDescent="0.45">
      <c r="A189" s="6" t="str">
        <f ca="1">IFERROR(__xludf.DUMMYFUNCTION("""COMPUTED_VALUE"""),"X3078")</f>
        <v>X3078</v>
      </c>
      <c r="B189" s="7" t="s">
        <v>1971</v>
      </c>
      <c r="C189" s="7" t="s">
        <v>1972</v>
      </c>
      <c r="D189" s="7" t="s">
        <v>1993</v>
      </c>
      <c r="E189" s="8">
        <v>29261</v>
      </c>
      <c r="F189" s="10" t="s">
        <v>1999</v>
      </c>
    </row>
    <row r="190" spans="1:6" ht="14.25" x14ac:dyDescent="0.45">
      <c r="A190" s="6" t="str">
        <f ca="1">IFERROR(__xludf.DUMMYFUNCTION("""COMPUTED_VALUE"""),"XGDRSJV")</f>
        <v>XGDRSJV</v>
      </c>
      <c r="B190" s="7" t="s">
        <v>1971</v>
      </c>
      <c r="C190" s="7" t="s">
        <v>1972</v>
      </c>
      <c r="D190" s="7" t="s">
        <v>1974</v>
      </c>
      <c r="E190" s="8">
        <v>29264</v>
      </c>
      <c r="F190" s="10" t="s">
        <v>2242</v>
      </c>
    </row>
    <row r="191" spans="1:6" ht="14.25" x14ac:dyDescent="0.45">
      <c r="A191" s="6" t="str">
        <f ca="1">IFERROR(__xludf.DUMMYFUNCTION("""COMPUTED_VALUE"""),"X2FUB8P")</f>
        <v>X2FUB8P</v>
      </c>
      <c r="B191" s="7" t="s">
        <v>1971</v>
      </c>
      <c r="C191" s="7" t="s">
        <v>1993</v>
      </c>
      <c r="D191" s="7" t="s">
        <v>1973</v>
      </c>
      <c r="E191" s="8">
        <v>29269</v>
      </c>
      <c r="F191" s="9">
        <v>44507</v>
      </c>
    </row>
    <row r="192" spans="1:6" ht="14.25" x14ac:dyDescent="0.45">
      <c r="A192" s="6" t="str">
        <f ca="1">IFERROR(__xludf.DUMMYFUNCTION("""COMPUTED_VALUE"""),"X24BU")</f>
        <v>X24BU</v>
      </c>
      <c r="B192" s="7" t="s">
        <v>1971</v>
      </c>
      <c r="C192" s="7" t="s">
        <v>1972</v>
      </c>
      <c r="D192" s="7" t="s">
        <v>2007</v>
      </c>
      <c r="E192" s="8">
        <v>29275</v>
      </c>
      <c r="F192" s="9">
        <v>44170</v>
      </c>
    </row>
    <row r="193" spans="1:6" ht="14.25" x14ac:dyDescent="0.45">
      <c r="A193" s="6" t="str">
        <f ca="1">IFERROR(__xludf.DUMMYFUNCTION("""COMPUTED_VALUE"""),"X2847")</f>
        <v>X2847</v>
      </c>
      <c r="B193" s="7" t="s">
        <v>1980</v>
      </c>
      <c r="C193" s="7" t="s">
        <v>1977</v>
      </c>
      <c r="D193" s="7" t="s">
        <v>2020</v>
      </c>
      <c r="E193" s="8">
        <v>29280</v>
      </c>
      <c r="F193" s="10" t="s">
        <v>2273</v>
      </c>
    </row>
    <row r="194" spans="1:6" ht="14.25" x14ac:dyDescent="0.45">
      <c r="A194" s="6" t="str">
        <f ca="1">IFERROR(__xludf.DUMMYFUNCTION("""COMPUTED_VALUE"""),"X2987")</f>
        <v>X2987</v>
      </c>
      <c r="B194" s="7" t="s">
        <v>1971</v>
      </c>
      <c r="C194" s="7" t="s">
        <v>1972</v>
      </c>
      <c r="D194" s="7" t="s">
        <v>2026</v>
      </c>
      <c r="E194" s="8">
        <v>29286</v>
      </c>
      <c r="F194" s="9">
        <v>43347</v>
      </c>
    </row>
    <row r="195" spans="1:6" ht="14.25" x14ac:dyDescent="0.45">
      <c r="A195" s="6" t="str">
        <f ca="1">IFERROR(__xludf.DUMMYFUNCTION("""COMPUTED_VALUE"""),"X2AS8")</f>
        <v>X2AS8</v>
      </c>
      <c r="B195" s="7" t="s">
        <v>1971</v>
      </c>
      <c r="C195" s="7" t="s">
        <v>1981</v>
      </c>
      <c r="D195" s="7" t="s">
        <v>1974</v>
      </c>
      <c r="E195" s="8">
        <v>29288</v>
      </c>
      <c r="F195" s="9">
        <v>43962</v>
      </c>
    </row>
    <row r="196" spans="1:6" ht="14.25" x14ac:dyDescent="0.45">
      <c r="A196" s="6" t="str">
        <f ca="1">IFERROR(__xludf.DUMMYFUNCTION("""COMPUTED_VALUE"""),"X2913F")</f>
        <v>X2913F</v>
      </c>
      <c r="B196" s="7" t="s">
        <v>1971</v>
      </c>
      <c r="C196" s="7" t="s">
        <v>1972</v>
      </c>
      <c r="D196" s="7" t="s">
        <v>1975</v>
      </c>
      <c r="E196" s="8">
        <v>29290</v>
      </c>
      <c r="F196" s="10" t="s">
        <v>2002</v>
      </c>
    </row>
    <row r="197" spans="1:6" ht="14.25" x14ac:dyDescent="0.45">
      <c r="A197" s="6" t="str">
        <f ca="1">IFERROR(__xludf.DUMMYFUNCTION("""COMPUTED_VALUE"""),"X1VNQ")</f>
        <v>X1VNQ</v>
      </c>
      <c r="B197" s="7" t="s">
        <v>1986</v>
      </c>
      <c r="C197" s="7" t="s">
        <v>1972</v>
      </c>
      <c r="D197" s="7" t="s">
        <v>2026</v>
      </c>
      <c r="E197" s="8">
        <v>29299</v>
      </c>
      <c r="F197" s="10" t="s">
        <v>2054</v>
      </c>
    </row>
    <row r="198" spans="1:6" ht="14.25" x14ac:dyDescent="0.45">
      <c r="A198" s="6" t="str">
        <f ca="1">IFERROR(__xludf.DUMMYFUNCTION("""COMPUTED_VALUE"""),"X1WLF")</f>
        <v>X1WLF</v>
      </c>
      <c r="B198" s="7" t="s">
        <v>1971</v>
      </c>
      <c r="C198" s="7" t="s">
        <v>1972</v>
      </c>
      <c r="D198" s="7" t="s">
        <v>1975</v>
      </c>
      <c r="E198" s="8">
        <v>29310</v>
      </c>
      <c r="F198" s="9">
        <v>43625</v>
      </c>
    </row>
    <row r="199" spans="1:6" ht="14.25" x14ac:dyDescent="0.45">
      <c r="A199" s="6" t="str">
        <f ca="1">IFERROR(__xludf.DUMMYFUNCTION("""COMPUTED_VALUE"""),"X3118")</f>
        <v>X3118</v>
      </c>
      <c r="B199" s="7" t="s">
        <v>1971</v>
      </c>
      <c r="C199" s="7" t="s">
        <v>1972</v>
      </c>
      <c r="D199" s="7" t="s">
        <v>1974</v>
      </c>
      <c r="E199" s="8">
        <v>29319</v>
      </c>
      <c r="F199" s="9">
        <v>43226</v>
      </c>
    </row>
    <row r="200" spans="1:6" ht="14.25" x14ac:dyDescent="0.45">
      <c r="A200" s="6" t="str">
        <f ca="1">IFERROR(__xludf.DUMMYFUNCTION("""COMPUTED_VALUE"""),"X3VTNP5")</f>
        <v>X3VTNP5</v>
      </c>
      <c r="B200" s="7" t="s">
        <v>1971</v>
      </c>
      <c r="C200" s="7" t="s">
        <v>1977</v>
      </c>
      <c r="D200" s="7" t="s">
        <v>1974</v>
      </c>
      <c r="E200" s="8">
        <v>29321</v>
      </c>
      <c r="F200" s="10" t="s">
        <v>2258</v>
      </c>
    </row>
    <row r="201" spans="1:6" ht="14.25" x14ac:dyDescent="0.45">
      <c r="A201" s="6" t="str">
        <f ca="1">IFERROR(__xludf.DUMMYFUNCTION("""COMPUTED_VALUE"""),"X3191")</f>
        <v>X3191</v>
      </c>
      <c r="B201" s="7" t="s">
        <v>1971</v>
      </c>
      <c r="C201" s="7" t="s">
        <v>1977</v>
      </c>
      <c r="D201" s="7" t="s">
        <v>1974</v>
      </c>
      <c r="E201" s="8">
        <v>29327</v>
      </c>
      <c r="F201" s="9">
        <v>43166</v>
      </c>
    </row>
    <row r="202" spans="1:6" ht="14.25" x14ac:dyDescent="0.45">
      <c r="A202" s="6" t="str">
        <f ca="1">IFERROR(__xludf.DUMMYFUNCTION("""COMPUTED_VALUE"""),"XMV7MW8")</f>
        <v>XMV7MW8</v>
      </c>
      <c r="B202" s="7" t="s">
        <v>1971</v>
      </c>
      <c r="C202" s="7" t="s">
        <v>1981</v>
      </c>
      <c r="D202" s="7" t="s">
        <v>1975</v>
      </c>
      <c r="E202" s="8">
        <v>29338</v>
      </c>
      <c r="F202" s="10" t="s">
        <v>2247</v>
      </c>
    </row>
    <row r="203" spans="1:6" ht="14.25" x14ac:dyDescent="0.45">
      <c r="A203" s="6" t="str">
        <f ca="1">IFERROR(__xludf.DUMMYFUNCTION("""COMPUTED_VALUE"""),"X8MJGLG")</f>
        <v>X8MJGLG</v>
      </c>
      <c r="B203" s="7" t="s">
        <v>1971</v>
      </c>
      <c r="C203" s="7" t="s">
        <v>1972</v>
      </c>
      <c r="D203" s="7" t="s">
        <v>2020</v>
      </c>
      <c r="E203" s="8">
        <v>29340</v>
      </c>
      <c r="F203" s="10" t="s">
        <v>2247</v>
      </c>
    </row>
    <row r="204" spans="1:6" ht="14.25" x14ac:dyDescent="0.45">
      <c r="A204" s="6" t="str">
        <f ca="1">IFERROR(__xludf.DUMMYFUNCTION("""COMPUTED_VALUE"""),"X2AIW")</f>
        <v>X2AIW</v>
      </c>
      <c r="B204" s="7" t="s">
        <v>1971</v>
      </c>
      <c r="C204" s="7" t="s">
        <v>1972</v>
      </c>
      <c r="D204" s="7" t="s">
        <v>2026</v>
      </c>
      <c r="E204" s="8">
        <v>29344</v>
      </c>
      <c r="F204" s="10" t="s">
        <v>2040</v>
      </c>
    </row>
    <row r="205" spans="1:6" ht="14.25" x14ac:dyDescent="0.45">
      <c r="A205" s="6" t="str">
        <f ca="1">IFERROR(__xludf.DUMMYFUNCTION("""COMPUTED_VALUE"""),"X2K4C8A")</f>
        <v>X2K4C8A</v>
      </c>
      <c r="B205" s="7" t="s">
        <v>1971</v>
      </c>
      <c r="C205" s="7" t="s">
        <v>1977</v>
      </c>
      <c r="D205" s="7" t="s">
        <v>1993</v>
      </c>
      <c r="E205" s="8">
        <v>29363</v>
      </c>
      <c r="F205" s="10" t="s">
        <v>2265</v>
      </c>
    </row>
    <row r="206" spans="1:6" ht="14.25" x14ac:dyDescent="0.45">
      <c r="A206" s="6" t="str">
        <f ca="1">IFERROR(__xludf.DUMMYFUNCTION("""COMPUTED_VALUE"""),"XUEN84J")</f>
        <v>XUEN84J</v>
      </c>
      <c r="B206" s="7" t="s">
        <v>1971</v>
      </c>
      <c r="C206" s="7" t="s">
        <v>1972</v>
      </c>
      <c r="D206" s="7" t="s">
        <v>1990</v>
      </c>
      <c r="E206" s="8">
        <v>29369</v>
      </c>
      <c r="F206" s="10" t="s">
        <v>2249</v>
      </c>
    </row>
    <row r="207" spans="1:6" ht="14.25" x14ac:dyDescent="0.45">
      <c r="A207" s="6" t="str">
        <f ca="1">IFERROR(__xludf.DUMMYFUNCTION("""COMPUTED_VALUE"""),"X2B2V")</f>
        <v>X2B2V</v>
      </c>
      <c r="B207" s="7" t="s">
        <v>1971</v>
      </c>
      <c r="C207" s="7" t="s">
        <v>1993</v>
      </c>
      <c r="D207" s="7" t="s">
        <v>1993</v>
      </c>
      <c r="E207" s="8">
        <v>29370</v>
      </c>
      <c r="F207" s="9">
        <v>44146</v>
      </c>
    </row>
    <row r="208" spans="1:6" ht="14.25" x14ac:dyDescent="0.45">
      <c r="A208" s="6" t="str">
        <f ca="1">IFERROR(__xludf.DUMMYFUNCTION("""COMPUTED_VALUE"""),"X20UD")</f>
        <v>X20UD</v>
      </c>
      <c r="B208" s="7" t="s">
        <v>1986</v>
      </c>
      <c r="C208" s="7" t="s">
        <v>1972</v>
      </c>
      <c r="D208" s="7" t="s">
        <v>1974</v>
      </c>
      <c r="E208" s="8">
        <v>29371</v>
      </c>
      <c r="F208" s="10" t="s">
        <v>2063</v>
      </c>
    </row>
    <row r="209" spans="1:6" ht="14.25" x14ac:dyDescent="0.45">
      <c r="A209" s="6" t="str">
        <f ca="1">IFERROR(__xludf.DUMMYFUNCTION("""COMPUTED_VALUE"""),"X3295")</f>
        <v>X3295</v>
      </c>
      <c r="B209" s="7" t="s">
        <v>1971</v>
      </c>
      <c r="C209" s="7" t="s">
        <v>1977</v>
      </c>
      <c r="D209" s="7" t="s">
        <v>1974</v>
      </c>
      <c r="E209" s="8">
        <v>29391</v>
      </c>
      <c r="F209" s="10" t="s">
        <v>2056</v>
      </c>
    </row>
    <row r="210" spans="1:6" ht="14.25" x14ac:dyDescent="0.45">
      <c r="A210" s="6" t="str">
        <f ca="1">IFERROR(__xludf.DUMMYFUNCTION("""COMPUTED_VALUE"""),"X2524MG")</f>
        <v>X2524MG</v>
      </c>
      <c r="B210" s="7" t="s">
        <v>1971</v>
      </c>
      <c r="C210" s="7" t="s">
        <v>1972</v>
      </c>
      <c r="D210" s="7" t="s">
        <v>1974</v>
      </c>
      <c r="E210" s="8">
        <v>29401</v>
      </c>
      <c r="F210" s="10" t="s">
        <v>2193</v>
      </c>
    </row>
    <row r="211" spans="1:6" ht="14.25" x14ac:dyDescent="0.45">
      <c r="A211" s="6" t="str">
        <f ca="1">IFERROR(__xludf.DUMMYFUNCTION("""COMPUTED_VALUE"""),"X2BBF")</f>
        <v>X2BBF</v>
      </c>
      <c r="B211" s="7" t="s">
        <v>1971</v>
      </c>
      <c r="C211" s="7" t="s">
        <v>1972</v>
      </c>
      <c r="D211" s="7" t="s">
        <v>1997</v>
      </c>
      <c r="E211" s="8">
        <v>29402</v>
      </c>
      <c r="F211" s="10" t="s">
        <v>2029</v>
      </c>
    </row>
    <row r="212" spans="1:6" ht="14.25" x14ac:dyDescent="0.45">
      <c r="A212" s="6" t="str">
        <f ca="1">IFERROR(__xludf.DUMMYFUNCTION("""COMPUTED_VALUE"""),"X1JMK")</f>
        <v>X1JMK</v>
      </c>
      <c r="B212" s="7" t="s">
        <v>1980</v>
      </c>
      <c r="C212" s="7" t="s">
        <v>1972</v>
      </c>
      <c r="D212" s="7" t="s">
        <v>1974</v>
      </c>
      <c r="E212" s="8">
        <v>29409</v>
      </c>
      <c r="F212" s="9">
        <v>43381</v>
      </c>
    </row>
    <row r="213" spans="1:6" ht="14.25" x14ac:dyDescent="0.45">
      <c r="A213" s="6" t="str">
        <f ca="1">IFERROR(__xludf.DUMMYFUNCTION("""COMPUTED_VALUE"""),"X7JXYYB")</f>
        <v>X7JXYYB</v>
      </c>
      <c r="B213" s="7" t="s">
        <v>1971</v>
      </c>
      <c r="C213" s="7" t="s">
        <v>1974</v>
      </c>
      <c r="D213" s="7" t="s">
        <v>2020</v>
      </c>
      <c r="E213" s="8">
        <v>29417</v>
      </c>
      <c r="F213" s="10" t="s">
        <v>2245</v>
      </c>
    </row>
    <row r="214" spans="1:6" ht="14.25" x14ac:dyDescent="0.45">
      <c r="A214" s="6" t="str">
        <f ca="1">IFERROR(__xludf.DUMMYFUNCTION("""COMPUTED_VALUE"""),"X3317")</f>
        <v>X3317</v>
      </c>
      <c r="B214" s="7" t="s">
        <v>1971</v>
      </c>
      <c r="C214" s="7" t="s">
        <v>1972</v>
      </c>
      <c r="D214" s="7" t="s">
        <v>1990</v>
      </c>
      <c r="E214" s="8">
        <v>29425</v>
      </c>
      <c r="F214" s="10" t="s">
        <v>2117</v>
      </c>
    </row>
    <row r="215" spans="1:6" ht="14.25" x14ac:dyDescent="0.45">
      <c r="A215" s="6" t="str">
        <f ca="1">IFERROR(__xludf.DUMMYFUNCTION("""COMPUTED_VALUE"""),"X1OA4")</f>
        <v>X1OA4</v>
      </c>
      <c r="B215" s="7" t="s">
        <v>1971</v>
      </c>
      <c r="C215" s="7" t="s">
        <v>1972</v>
      </c>
      <c r="D215" s="7" t="s">
        <v>2072</v>
      </c>
      <c r="E215" s="8">
        <v>29445</v>
      </c>
      <c r="F215" s="9">
        <v>43647</v>
      </c>
    </row>
    <row r="216" spans="1:6" ht="14.25" x14ac:dyDescent="0.45">
      <c r="A216" s="6" t="str">
        <f ca="1">IFERROR(__xludf.DUMMYFUNCTION("""COMPUTED_VALUE"""),"X3678")</f>
        <v>X3678</v>
      </c>
      <c r="B216" s="7" t="s">
        <v>1980</v>
      </c>
      <c r="C216" s="7" t="s">
        <v>1996</v>
      </c>
      <c r="D216" s="7" t="s">
        <v>2088</v>
      </c>
      <c r="E216" s="8">
        <v>29446</v>
      </c>
      <c r="F216" s="10" t="s">
        <v>2180</v>
      </c>
    </row>
    <row r="217" spans="1:6" ht="14.25" x14ac:dyDescent="0.45">
      <c r="A217" s="6" t="str">
        <f ca="1">IFERROR(__xludf.DUMMYFUNCTION("""COMPUTED_VALUE"""),"X2EDWCV")</f>
        <v>X2EDWCV</v>
      </c>
      <c r="B217" s="7" t="s">
        <v>1971</v>
      </c>
      <c r="C217" s="7" t="s">
        <v>1972</v>
      </c>
      <c r="D217" s="7" t="s">
        <v>1974</v>
      </c>
      <c r="E217" s="8">
        <v>29448</v>
      </c>
      <c r="F217" s="10" t="s">
        <v>2247</v>
      </c>
    </row>
    <row r="218" spans="1:6" ht="14.25" x14ac:dyDescent="0.45">
      <c r="A218" s="6" t="str">
        <f ca="1">IFERROR(__xludf.DUMMYFUNCTION("""COMPUTED_VALUE"""),"X22I4")</f>
        <v>X22I4</v>
      </c>
      <c r="B218" s="7" t="s">
        <v>1971</v>
      </c>
      <c r="C218" s="7" t="s">
        <v>1981</v>
      </c>
      <c r="D218" s="7" t="s">
        <v>1993</v>
      </c>
      <c r="E218" s="8">
        <v>29457</v>
      </c>
      <c r="F218" s="9">
        <v>43985</v>
      </c>
    </row>
    <row r="219" spans="1:6" ht="14.25" x14ac:dyDescent="0.45">
      <c r="A219" s="6" t="str">
        <f ca="1">IFERROR(__xludf.DUMMYFUNCTION("""COMPUTED_VALUE"""),"X2A4S")</f>
        <v>X2A4S</v>
      </c>
      <c r="B219" s="7" t="s">
        <v>1971</v>
      </c>
      <c r="C219" s="7" t="s">
        <v>1977</v>
      </c>
      <c r="D219" s="7" t="s">
        <v>1973</v>
      </c>
      <c r="E219" s="8">
        <v>29464</v>
      </c>
      <c r="F219" s="10" t="s">
        <v>2128</v>
      </c>
    </row>
    <row r="220" spans="1:6" ht="14.25" x14ac:dyDescent="0.45">
      <c r="A220" s="6" t="str">
        <f ca="1">IFERROR(__xludf.DUMMYFUNCTION("""COMPUTED_VALUE"""),"X2DIC")</f>
        <v>X2DIC</v>
      </c>
      <c r="B220" s="7" t="s">
        <v>1971</v>
      </c>
      <c r="C220" s="7" t="s">
        <v>1972</v>
      </c>
      <c r="D220" s="7" t="s">
        <v>1993</v>
      </c>
      <c r="E220" s="8">
        <v>29469</v>
      </c>
      <c r="F220" s="10" t="s">
        <v>2061</v>
      </c>
    </row>
    <row r="221" spans="1:6" ht="14.25" x14ac:dyDescent="0.45">
      <c r="A221" s="6" t="str">
        <f ca="1">IFERROR(__xludf.DUMMYFUNCTION("""COMPUTED_VALUE"""),"X1LI5")</f>
        <v>X1LI5</v>
      </c>
      <c r="B221" s="7" t="s">
        <v>1980</v>
      </c>
      <c r="C221" s="7" t="s">
        <v>1972</v>
      </c>
      <c r="D221" s="7" t="s">
        <v>2020</v>
      </c>
      <c r="E221" s="8">
        <v>29485</v>
      </c>
      <c r="F221" s="10" t="s">
        <v>2087</v>
      </c>
    </row>
    <row r="222" spans="1:6" ht="14.25" x14ac:dyDescent="0.45">
      <c r="A222" s="6" t="str">
        <f ca="1">IFERROR(__xludf.DUMMYFUNCTION("""COMPUTED_VALUE"""),"X3157")</f>
        <v>X3157</v>
      </c>
      <c r="B222" s="7" t="s">
        <v>1971</v>
      </c>
      <c r="C222" s="7" t="s">
        <v>1972</v>
      </c>
      <c r="D222" s="7" t="s">
        <v>1993</v>
      </c>
      <c r="E222" s="8">
        <v>29499</v>
      </c>
      <c r="F222" s="10" t="s">
        <v>2010</v>
      </c>
    </row>
    <row r="223" spans="1:6" ht="14.25" x14ac:dyDescent="0.45">
      <c r="A223" s="6" t="str">
        <f ca="1">IFERROR(__xludf.DUMMYFUNCTION("""COMPUTED_VALUE"""),"X2526")</f>
        <v>X2526</v>
      </c>
      <c r="B223" s="7" t="s">
        <v>1971</v>
      </c>
      <c r="C223" s="7" t="s">
        <v>1977</v>
      </c>
      <c r="D223" s="7" t="s">
        <v>2072</v>
      </c>
      <c r="E223" s="8">
        <v>29504</v>
      </c>
      <c r="F223" s="9">
        <v>42956</v>
      </c>
    </row>
    <row r="224" spans="1:6" ht="14.25" x14ac:dyDescent="0.45">
      <c r="A224" s="6" t="str">
        <f ca="1">IFERROR(__xludf.DUMMYFUNCTION("""COMPUTED_VALUE"""),"X1868")</f>
        <v>X1868</v>
      </c>
      <c r="B224" s="7" t="s">
        <v>1971</v>
      </c>
      <c r="C224" s="7" t="s">
        <v>1981</v>
      </c>
      <c r="D224" s="7" t="s">
        <v>2020</v>
      </c>
      <c r="E224" s="8">
        <v>29515</v>
      </c>
      <c r="F224" s="10" t="s">
        <v>2177</v>
      </c>
    </row>
    <row r="225" spans="1:6" ht="14.25" x14ac:dyDescent="0.45">
      <c r="A225" s="6" t="str">
        <f ca="1">IFERROR(__xludf.DUMMYFUNCTION("""COMPUTED_VALUE"""),"X1Y8E")</f>
        <v>X1Y8E</v>
      </c>
      <c r="B225" s="7" t="s">
        <v>1971</v>
      </c>
      <c r="C225" s="7" t="s">
        <v>1972</v>
      </c>
      <c r="D225" s="7" t="s">
        <v>1978</v>
      </c>
      <c r="E225" s="8">
        <v>29519</v>
      </c>
      <c r="F225" s="10" t="s">
        <v>2098</v>
      </c>
    </row>
    <row r="226" spans="1:6" ht="14.25" x14ac:dyDescent="0.45">
      <c r="A226" s="6" t="str">
        <f ca="1">IFERROR(__xludf.DUMMYFUNCTION("""COMPUTED_VALUE"""),"XIMKRKX")</f>
        <v>XIMKRKX</v>
      </c>
      <c r="B226" s="7" t="s">
        <v>1986</v>
      </c>
      <c r="C226" s="7" t="s">
        <v>1981</v>
      </c>
      <c r="D226" s="7" t="s">
        <v>1974</v>
      </c>
      <c r="E226" s="8">
        <v>29522</v>
      </c>
      <c r="F226" s="9">
        <v>44290</v>
      </c>
    </row>
    <row r="227" spans="1:6" ht="14.25" x14ac:dyDescent="0.45">
      <c r="A227" s="6" t="str">
        <f ca="1">IFERROR(__xludf.DUMMYFUNCTION("""COMPUTED_VALUE"""),"XITF86Y")</f>
        <v>XITF86Y</v>
      </c>
      <c r="B227" s="7" t="s">
        <v>1971</v>
      </c>
      <c r="C227" s="7" t="s">
        <v>1996</v>
      </c>
      <c r="D227" s="7" t="s">
        <v>1997</v>
      </c>
      <c r="E227" s="8">
        <v>29527</v>
      </c>
      <c r="F227" s="10" t="s">
        <v>2314</v>
      </c>
    </row>
    <row r="228" spans="1:6" ht="14.25" x14ac:dyDescent="0.45">
      <c r="A228" s="6" t="str">
        <f ca="1">IFERROR(__xludf.DUMMYFUNCTION("""COMPUTED_VALUE"""),"X1YFF")</f>
        <v>X1YFF</v>
      </c>
      <c r="B228" s="7" t="s">
        <v>1986</v>
      </c>
      <c r="C228" s="7" t="s">
        <v>1972</v>
      </c>
      <c r="D228" s="7" t="s">
        <v>1974</v>
      </c>
      <c r="E228" s="8">
        <v>29538</v>
      </c>
      <c r="F228" s="9">
        <v>43688</v>
      </c>
    </row>
    <row r="229" spans="1:6" ht="14.25" x14ac:dyDescent="0.45">
      <c r="A229" s="6" t="str">
        <f ca="1">IFERROR(__xludf.DUMMYFUNCTION("""COMPUTED_VALUE"""),"X29JS")</f>
        <v>X29JS</v>
      </c>
      <c r="B229" s="7" t="s">
        <v>1971</v>
      </c>
      <c r="C229" s="7" t="s">
        <v>1977</v>
      </c>
      <c r="D229" s="7" t="s">
        <v>1974</v>
      </c>
      <c r="E229" s="8">
        <v>29555</v>
      </c>
      <c r="F229" s="9">
        <v>43992</v>
      </c>
    </row>
    <row r="230" spans="1:6" ht="14.25" x14ac:dyDescent="0.45">
      <c r="A230" s="6" t="str">
        <f ca="1">IFERROR(__xludf.DUMMYFUNCTION("""COMPUTED_VALUE"""),"X3UOLUJ")</f>
        <v>X3UOLUJ</v>
      </c>
      <c r="B230" s="7" t="s">
        <v>1971</v>
      </c>
      <c r="C230" s="7" t="s">
        <v>1972</v>
      </c>
      <c r="D230" s="7" t="s">
        <v>1993</v>
      </c>
      <c r="E230" s="8">
        <v>29560</v>
      </c>
      <c r="F230" s="10" t="s">
        <v>2257</v>
      </c>
    </row>
    <row r="231" spans="1:6" ht="14.25" x14ac:dyDescent="0.45">
      <c r="A231" s="6" t="str">
        <f ca="1">IFERROR(__xludf.DUMMYFUNCTION("""COMPUTED_VALUE"""),"X2AU3")</f>
        <v>X2AU3</v>
      </c>
      <c r="B231" s="7" t="s">
        <v>1971</v>
      </c>
      <c r="C231" s="7" t="s">
        <v>1972</v>
      </c>
      <c r="D231" s="7" t="s">
        <v>1974</v>
      </c>
      <c r="E231" s="8">
        <v>29567</v>
      </c>
      <c r="F231" s="9">
        <v>44085</v>
      </c>
    </row>
    <row r="232" spans="1:6" ht="14.25" x14ac:dyDescent="0.45">
      <c r="A232" s="6" t="str">
        <f ca="1">IFERROR(__xludf.DUMMYFUNCTION("""COMPUTED_VALUE"""),"X5E7MD9")</f>
        <v>X5E7MD9</v>
      </c>
      <c r="B232" s="7" t="s">
        <v>2269</v>
      </c>
      <c r="C232" s="7" t="s">
        <v>1972</v>
      </c>
      <c r="D232" s="7" t="s">
        <v>1975</v>
      </c>
      <c r="E232" s="8">
        <v>29580</v>
      </c>
      <c r="F232" s="9">
        <v>44503</v>
      </c>
    </row>
    <row r="233" spans="1:6" ht="14.25" x14ac:dyDescent="0.45">
      <c r="A233" s="6" t="str">
        <f ca="1">IFERROR(__xludf.DUMMYFUNCTION("""COMPUTED_VALUE"""),"XQYDVR4")</f>
        <v>XQYDVR4</v>
      </c>
      <c r="B233" s="7" t="s">
        <v>1971</v>
      </c>
      <c r="C233" s="7" t="s">
        <v>1972</v>
      </c>
      <c r="D233" s="7" t="s">
        <v>1974</v>
      </c>
      <c r="E233" s="8">
        <v>29601</v>
      </c>
      <c r="F233" s="10" t="s">
        <v>2242</v>
      </c>
    </row>
    <row r="234" spans="1:6" ht="14.25" x14ac:dyDescent="0.45">
      <c r="A234" s="6" t="str">
        <f ca="1">IFERROR(__xludf.DUMMYFUNCTION("""COMPUTED_VALUE"""),"X2881")</f>
        <v>X2881</v>
      </c>
      <c r="B234" s="7" t="s">
        <v>1971</v>
      </c>
      <c r="C234" s="7" t="s">
        <v>1981</v>
      </c>
      <c r="D234" s="7" t="s">
        <v>1974</v>
      </c>
      <c r="E234" s="8">
        <v>29611</v>
      </c>
      <c r="F234" s="9">
        <v>43223</v>
      </c>
    </row>
    <row r="235" spans="1:6" ht="14.25" x14ac:dyDescent="0.45">
      <c r="A235" s="6" t="str">
        <f ca="1">IFERROR(__xludf.DUMMYFUNCTION("""COMPUTED_VALUE"""),"XOBUYGJ")</f>
        <v>XOBUYGJ</v>
      </c>
      <c r="B235" s="7" t="s">
        <v>1971</v>
      </c>
      <c r="C235" s="7" t="s">
        <v>1972</v>
      </c>
      <c r="D235" s="7" t="s">
        <v>1990</v>
      </c>
      <c r="E235" s="8">
        <v>29611</v>
      </c>
      <c r="F235" s="10" t="s">
        <v>2246</v>
      </c>
    </row>
    <row r="236" spans="1:6" ht="14.25" x14ac:dyDescent="0.45">
      <c r="A236" s="6" t="str">
        <f ca="1">IFERROR(__xludf.DUMMYFUNCTION("""COMPUTED_VALUE"""),"XR2IYF2")</f>
        <v>XR2IYF2</v>
      </c>
      <c r="B236" s="7" t="s">
        <v>1986</v>
      </c>
      <c r="C236" s="7" t="s">
        <v>1977</v>
      </c>
      <c r="D236" s="7" t="s">
        <v>1973</v>
      </c>
      <c r="E236" s="8">
        <v>29615</v>
      </c>
      <c r="F236" s="10" t="s">
        <v>2225</v>
      </c>
    </row>
    <row r="237" spans="1:6" ht="14.25" x14ac:dyDescent="0.45">
      <c r="A237" s="6" t="str">
        <f ca="1">IFERROR(__xludf.DUMMYFUNCTION("""COMPUTED_VALUE"""),"XWOZSC4")</f>
        <v>XWOZSC4</v>
      </c>
      <c r="B237" s="7" t="s">
        <v>1971</v>
      </c>
      <c r="C237" s="7" t="s">
        <v>1972</v>
      </c>
      <c r="D237" s="7" t="s">
        <v>2020</v>
      </c>
      <c r="E237" s="8">
        <v>29631</v>
      </c>
      <c r="F237" s="9">
        <v>44296</v>
      </c>
    </row>
    <row r="238" spans="1:6" ht="14.25" x14ac:dyDescent="0.45">
      <c r="A238" s="6" t="str">
        <f ca="1">IFERROR(__xludf.DUMMYFUNCTION("""COMPUTED_VALUE"""),"X2UKRWX")</f>
        <v>X2UKRWX</v>
      </c>
      <c r="B238" s="7" t="s">
        <v>1971</v>
      </c>
      <c r="C238" s="7" t="s">
        <v>1972</v>
      </c>
      <c r="D238" s="7" t="s">
        <v>1995</v>
      </c>
      <c r="E238" s="8">
        <v>29638</v>
      </c>
      <c r="F238" s="10" t="s">
        <v>2225</v>
      </c>
    </row>
    <row r="239" spans="1:6" ht="14.25" x14ac:dyDescent="0.45">
      <c r="A239" s="6" t="str">
        <f ca="1">IFERROR(__xludf.DUMMYFUNCTION("""COMPUTED_VALUE"""),"XKDC1DC")</f>
        <v>XKDC1DC</v>
      </c>
      <c r="B239" s="7" t="s">
        <v>1986</v>
      </c>
      <c r="C239" s="7" t="s">
        <v>1981</v>
      </c>
      <c r="D239" s="7" t="s">
        <v>2007</v>
      </c>
      <c r="E239" s="8">
        <v>29657</v>
      </c>
      <c r="F239" s="10" t="s">
        <v>2193</v>
      </c>
    </row>
    <row r="240" spans="1:6" ht="14.25" x14ac:dyDescent="0.45">
      <c r="A240" s="6" t="str">
        <f ca="1">IFERROR(__xludf.DUMMYFUNCTION("""COMPUTED_VALUE"""),"X1LUO")</f>
        <v>X1LUO</v>
      </c>
      <c r="B240" s="7" t="s">
        <v>1971</v>
      </c>
      <c r="C240" s="7" t="s">
        <v>1977</v>
      </c>
      <c r="D240" s="7" t="s">
        <v>2072</v>
      </c>
      <c r="E240" s="8">
        <v>29661</v>
      </c>
      <c r="F240" s="10" t="s">
        <v>2105</v>
      </c>
    </row>
    <row r="241" spans="1:6" ht="14.25" x14ac:dyDescent="0.45">
      <c r="A241" s="6" t="str">
        <f ca="1">IFERROR(__xludf.DUMMYFUNCTION("""COMPUTED_VALUE"""),"XVXT23M")</f>
        <v>XVXT23M</v>
      </c>
      <c r="B241" s="7" t="s">
        <v>1971</v>
      </c>
      <c r="C241" s="7" t="s">
        <v>1972</v>
      </c>
      <c r="D241" s="7" t="s">
        <v>1990</v>
      </c>
      <c r="E241" s="8">
        <v>29662</v>
      </c>
      <c r="F241" s="9">
        <v>44260</v>
      </c>
    </row>
    <row r="242" spans="1:6" ht="14.25" x14ac:dyDescent="0.45">
      <c r="A242" s="6" t="str">
        <f ca="1">IFERROR(__xludf.DUMMYFUNCTION("""COMPUTED_VALUE"""),"X20O1")</f>
        <v>X20O1</v>
      </c>
      <c r="B242" s="7" t="s">
        <v>1971</v>
      </c>
      <c r="C242" s="7" t="s">
        <v>1972</v>
      </c>
      <c r="D242" s="7" t="s">
        <v>1993</v>
      </c>
      <c r="E242" s="8">
        <v>29664</v>
      </c>
      <c r="F242" s="10" t="s">
        <v>2157</v>
      </c>
    </row>
    <row r="243" spans="1:6" ht="14.25" x14ac:dyDescent="0.45">
      <c r="A243" s="6" t="str">
        <f ca="1">IFERROR(__xludf.DUMMYFUNCTION("""COMPUTED_VALUE"""),"XZI9F37")</f>
        <v>XZI9F37</v>
      </c>
      <c r="B243" s="7" t="s">
        <v>1971</v>
      </c>
      <c r="C243" s="7" t="s">
        <v>1977</v>
      </c>
      <c r="D243" s="7" t="s">
        <v>2072</v>
      </c>
      <c r="E243" s="8">
        <v>29670</v>
      </c>
      <c r="F243" s="10" t="s">
        <v>2218</v>
      </c>
    </row>
    <row r="244" spans="1:6" ht="14.25" x14ac:dyDescent="0.45">
      <c r="A244" s="6" t="str">
        <f ca="1">IFERROR(__xludf.DUMMYFUNCTION("""COMPUTED_VALUE"""),"XO1P4E1")</f>
        <v>XO1P4E1</v>
      </c>
      <c r="B244" s="7" t="s">
        <v>1971</v>
      </c>
      <c r="C244" s="7" t="s">
        <v>1972</v>
      </c>
      <c r="D244" s="7" t="s">
        <v>2072</v>
      </c>
      <c r="E244" s="8">
        <v>29685</v>
      </c>
      <c r="F244" s="10" t="s">
        <v>2242</v>
      </c>
    </row>
    <row r="245" spans="1:6" ht="14.25" x14ac:dyDescent="0.45">
      <c r="A245" s="6" t="str">
        <f ca="1">IFERROR(__xludf.DUMMYFUNCTION("""COMPUTED_VALUE"""),"X2DP5")</f>
        <v>X2DP5</v>
      </c>
      <c r="B245" s="7" t="s">
        <v>1971</v>
      </c>
      <c r="C245" s="7" t="s">
        <v>1977</v>
      </c>
      <c r="D245" s="7" t="s">
        <v>2003</v>
      </c>
      <c r="E245" s="8">
        <v>29699</v>
      </c>
      <c r="F245" s="10" t="s">
        <v>2042</v>
      </c>
    </row>
    <row r="246" spans="1:6" ht="14.25" x14ac:dyDescent="0.45">
      <c r="A246" s="6" t="str">
        <f ca="1">IFERROR(__xludf.DUMMYFUNCTION("""COMPUTED_VALUE"""),"X8W9Y51")</f>
        <v>X8W9Y51</v>
      </c>
      <c r="B246" s="7" t="s">
        <v>1971</v>
      </c>
      <c r="C246" s="7" t="s">
        <v>1972</v>
      </c>
      <c r="D246" s="7" t="s">
        <v>1990</v>
      </c>
      <c r="E246" s="8">
        <v>29708</v>
      </c>
      <c r="F246" s="10" t="s">
        <v>2246</v>
      </c>
    </row>
    <row r="247" spans="1:6" ht="14.25" x14ac:dyDescent="0.45">
      <c r="A247" s="6" t="str">
        <f ca="1">IFERROR(__xludf.DUMMYFUNCTION("""COMPUTED_VALUE"""),"X3540")</f>
        <v>X3540</v>
      </c>
      <c r="B247" s="7" t="s">
        <v>1971</v>
      </c>
      <c r="C247" s="7" t="s">
        <v>1972</v>
      </c>
      <c r="D247" s="7" t="s">
        <v>1973</v>
      </c>
      <c r="E247" s="8">
        <v>29712</v>
      </c>
      <c r="F247" s="10" t="s">
        <v>2036</v>
      </c>
    </row>
    <row r="248" spans="1:6" ht="14.25" x14ac:dyDescent="0.45">
      <c r="A248" s="6" t="str">
        <f ca="1">IFERROR(__xludf.DUMMYFUNCTION("""COMPUTED_VALUE"""),"XXA3RBJ")</f>
        <v>XXA3RBJ</v>
      </c>
      <c r="B248" s="7" t="s">
        <v>1971</v>
      </c>
      <c r="C248" s="7" t="s">
        <v>1972</v>
      </c>
      <c r="D248" s="7" t="s">
        <v>1997</v>
      </c>
      <c r="E248" s="8">
        <v>29729</v>
      </c>
      <c r="F248" s="10" t="s">
        <v>2261</v>
      </c>
    </row>
    <row r="249" spans="1:6" ht="14.25" x14ac:dyDescent="0.45">
      <c r="A249" s="6" t="str">
        <f ca="1">IFERROR(__xludf.DUMMYFUNCTION("""COMPUTED_VALUE"""),"X3114")</f>
        <v>X3114</v>
      </c>
      <c r="B249" s="7" t="s">
        <v>1971</v>
      </c>
      <c r="C249" s="7" t="s">
        <v>1972</v>
      </c>
      <c r="D249" s="7" t="s">
        <v>1990</v>
      </c>
      <c r="E249" s="8">
        <v>29769</v>
      </c>
      <c r="F249" s="9">
        <v>43196</v>
      </c>
    </row>
    <row r="250" spans="1:6" ht="14.25" x14ac:dyDescent="0.45">
      <c r="A250" s="6" t="str">
        <f ca="1">IFERROR(__xludf.DUMMYFUNCTION("""COMPUTED_VALUE"""),"X74MJ6K")</f>
        <v>X74MJ6K</v>
      </c>
      <c r="B250" s="7" t="s">
        <v>1971</v>
      </c>
      <c r="C250" s="7" t="s">
        <v>1972</v>
      </c>
      <c r="D250" s="7" t="s">
        <v>2072</v>
      </c>
      <c r="E250" s="8">
        <v>29770</v>
      </c>
      <c r="F250" s="9">
        <v>44538</v>
      </c>
    </row>
    <row r="251" spans="1:6" ht="14.25" x14ac:dyDescent="0.45">
      <c r="A251" s="6" t="str">
        <f ca="1">IFERROR(__xludf.DUMMYFUNCTION("""COMPUTED_VALUE"""),"XL28V1F")</f>
        <v>XL28V1F</v>
      </c>
      <c r="B251" s="7" t="s">
        <v>1971</v>
      </c>
      <c r="C251" s="7" t="s">
        <v>1972</v>
      </c>
      <c r="D251" s="7" t="s">
        <v>1974</v>
      </c>
      <c r="E251" s="8">
        <v>29771</v>
      </c>
      <c r="F251" s="10" t="s">
        <v>2258</v>
      </c>
    </row>
    <row r="252" spans="1:6" ht="14.25" x14ac:dyDescent="0.45">
      <c r="A252" s="6" t="str">
        <f ca="1">IFERROR(__xludf.DUMMYFUNCTION("""COMPUTED_VALUE"""),"X2BBB")</f>
        <v>X2BBB</v>
      </c>
      <c r="B252" s="7" t="s">
        <v>1971</v>
      </c>
      <c r="C252" s="7" t="s">
        <v>1972</v>
      </c>
      <c r="D252" s="7" t="s">
        <v>1975</v>
      </c>
      <c r="E252" s="8">
        <v>29777</v>
      </c>
      <c r="F252" s="10" t="s">
        <v>2029</v>
      </c>
    </row>
    <row r="253" spans="1:6" ht="14.25" x14ac:dyDescent="0.45">
      <c r="A253" s="6" t="str">
        <f ca="1">IFERROR(__xludf.DUMMYFUNCTION("""COMPUTED_VALUE"""),"X2449")</f>
        <v>X2449</v>
      </c>
      <c r="B253" s="7" t="s">
        <v>1971</v>
      </c>
      <c r="C253" s="7" t="s">
        <v>1972</v>
      </c>
      <c r="D253" s="7" t="s">
        <v>1973</v>
      </c>
      <c r="E253" s="8">
        <v>29794</v>
      </c>
      <c r="F253" s="10" t="s">
        <v>2099</v>
      </c>
    </row>
    <row r="254" spans="1:6" ht="14.25" x14ac:dyDescent="0.45">
      <c r="A254" s="6" t="str">
        <f ca="1">IFERROR(__xludf.DUMMYFUNCTION("""COMPUTED_VALUE"""),"XOVEPLT")</f>
        <v>XOVEPLT</v>
      </c>
      <c r="B254" s="7" t="s">
        <v>1971</v>
      </c>
      <c r="C254" s="7" t="s">
        <v>1972</v>
      </c>
      <c r="D254" s="7" t="s">
        <v>1990</v>
      </c>
      <c r="E254" s="8">
        <v>29794</v>
      </c>
      <c r="F254" s="9">
        <v>44351</v>
      </c>
    </row>
    <row r="255" spans="1:6" ht="14.25" x14ac:dyDescent="0.45">
      <c r="A255" s="6" t="str">
        <f ca="1">IFERROR(__xludf.DUMMYFUNCTION("""COMPUTED_VALUE"""),"X1X2F")</f>
        <v>X1X2F</v>
      </c>
      <c r="B255" s="7" t="s">
        <v>1971</v>
      </c>
      <c r="C255" s="7" t="s">
        <v>1972</v>
      </c>
      <c r="D255" s="7" t="s">
        <v>1974</v>
      </c>
      <c r="E255" s="8">
        <v>29804</v>
      </c>
      <c r="F255" s="10" t="s">
        <v>2089</v>
      </c>
    </row>
    <row r="256" spans="1:6" ht="14.25" x14ac:dyDescent="0.45">
      <c r="A256" s="6" t="str">
        <f ca="1">IFERROR(__xludf.DUMMYFUNCTION("""COMPUTED_VALUE"""),"X3505")</f>
        <v>X3505</v>
      </c>
      <c r="B256" s="7" t="s">
        <v>1971</v>
      </c>
      <c r="C256" s="7" t="s">
        <v>1977</v>
      </c>
      <c r="D256" s="7" t="s">
        <v>2091</v>
      </c>
      <c r="E256" s="8">
        <v>29824</v>
      </c>
      <c r="F256" s="9">
        <v>43320</v>
      </c>
    </row>
    <row r="257" spans="1:6" ht="14.25" x14ac:dyDescent="0.45">
      <c r="A257" s="6" t="str">
        <f ca="1">IFERROR(__xludf.DUMMYFUNCTION("""COMPUTED_VALUE"""),"X3139")</f>
        <v>X3139</v>
      </c>
      <c r="B257" s="7" t="s">
        <v>1971</v>
      </c>
      <c r="C257" s="7" t="s">
        <v>1972</v>
      </c>
      <c r="D257" s="7" t="s">
        <v>1978</v>
      </c>
      <c r="E257" s="8">
        <v>29845</v>
      </c>
      <c r="F257" s="10" t="s">
        <v>2102</v>
      </c>
    </row>
    <row r="258" spans="1:6" ht="14.25" x14ac:dyDescent="0.45">
      <c r="A258" s="6" t="str">
        <f ca="1">IFERROR(__xludf.DUMMYFUNCTION("""COMPUTED_VALUE"""),"X3137")</f>
        <v>X3137</v>
      </c>
      <c r="B258" s="7" t="s">
        <v>1971</v>
      </c>
      <c r="C258" s="7" t="s">
        <v>1974</v>
      </c>
      <c r="D258" s="7" t="s">
        <v>1974</v>
      </c>
      <c r="E258" s="8">
        <v>29855</v>
      </c>
      <c r="F258" s="10" t="s">
        <v>2201</v>
      </c>
    </row>
    <row r="259" spans="1:6" ht="14.25" x14ac:dyDescent="0.45">
      <c r="A259" s="6" t="str">
        <f ca="1">IFERROR(__xludf.DUMMYFUNCTION("""COMPUTED_VALUE"""),"X1Y4K")</f>
        <v>X1Y4K</v>
      </c>
      <c r="B259" s="7" t="s">
        <v>1971</v>
      </c>
      <c r="C259" s="7" t="s">
        <v>1972</v>
      </c>
      <c r="D259" s="7" t="s">
        <v>1997</v>
      </c>
      <c r="E259" s="8">
        <v>29861</v>
      </c>
      <c r="F259" s="10" t="s">
        <v>2113</v>
      </c>
    </row>
    <row r="260" spans="1:6" ht="14.25" x14ac:dyDescent="0.45">
      <c r="A260" s="6" t="str">
        <f ca="1">IFERROR(__xludf.DUMMYFUNCTION("""COMPUTED_VALUE"""),"X2CL3")</f>
        <v>X2CL3</v>
      </c>
      <c r="B260" s="7" t="s">
        <v>1980</v>
      </c>
      <c r="C260" s="7" t="s">
        <v>1972</v>
      </c>
      <c r="D260" s="7" t="s">
        <v>2072</v>
      </c>
      <c r="E260" s="8">
        <v>29866</v>
      </c>
      <c r="F260" s="10" t="s">
        <v>2030</v>
      </c>
    </row>
    <row r="261" spans="1:6" ht="14.25" x14ac:dyDescent="0.45">
      <c r="A261" s="6" t="str">
        <f ca="1">IFERROR(__xludf.DUMMYFUNCTION("""COMPUTED_VALUE"""),"X1632")</f>
        <v>X1632</v>
      </c>
      <c r="B261" s="7" t="s">
        <v>1971</v>
      </c>
      <c r="C261" s="7" t="s">
        <v>1972</v>
      </c>
      <c r="D261" s="7" t="s">
        <v>1975</v>
      </c>
      <c r="E261" s="8">
        <v>29874</v>
      </c>
      <c r="F261" s="10" t="s">
        <v>1976</v>
      </c>
    </row>
    <row r="262" spans="1:6" ht="14.25" x14ac:dyDescent="0.45">
      <c r="A262" s="6" t="str">
        <f ca="1">IFERROR(__xludf.DUMMYFUNCTION("""COMPUTED_VALUE"""),"X3130")</f>
        <v>X3130</v>
      </c>
      <c r="B262" s="7" t="s">
        <v>1971</v>
      </c>
      <c r="C262" s="7" t="s">
        <v>1977</v>
      </c>
      <c r="D262" s="7" t="s">
        <v>1995</v>
      </c>
      <c r="E262" s="8">
        <v>29880</v>
      </c>
      <c r="F262" s="9">
        <v>43410</v>
      </c>
    </row>
    <row r="263" spans="1:6" ht="14.25" x14ac:dyDescent="0.45">
      <c r="A263" s="6" t="str">
        <f ca="1">IFERROR(__xludf.DUMMYFUNCTION("""COMPUTED_VALUE"""),"X2AMA")</f>
        <v>X2AMA</v>
      </c>
      <c r="B263" s="7" t="s">
        <v>1971</v>
      </c>
      <c r="C263" s="7" t="s">
        <v>1981</v>
      </c>
      <c r="D263" s="7" t="s">
        <v>1975</v>
      </c>
      <c r="E263" s="8">
        <v>29886</v>
      </c>
      <c r="F263" s="9">
        <v>43872</v>
      </c>
    </row>
    <row r="264" spans="1:6" ht="14.25" x14ac:dyDescent="0.45">
      <c r="A264" s="6" t="str">
        <f ca="1">IFERROR(__xludf.DUMMYFUNCTION("""COMPUTED_VALUE"""),"X3758")</f>
        <v>X3758</v>
      </c>
      <c r="B264" s="7" t="s">
        <v>1980</v>
      </c>
      <c r="C264" s="7" t="s">
        <v>1977</v>
      </c>
      <c r="D264" s="7" t="s">
        <v>2020</v>
      </c>
      <c r="E264" s="8">
        <v>29890</v>
      </c>
      <c r="F264" s="10" t="s">
        <v>2152</v>
      </c>
    </row>
    <row r="265" spans="1:6" ht="14.25" x14ac:dyDescent="0.45">
      <c r="A265" s="6" t="str">
        <f ca="1">IFERROR(__xludf.DUMMYFUNCTION("""COMPUTED_VALUE"""),"X1LET")</f>
        <v>X1LET</v>
      </c>
      <c r="B265" s="7" t="s">
        <v>1971</v>
      </c>
      <c r="C265" s="7" t="s">
        <v>1972</v>
      </c>
      <c r="D265" s="7" t="s">
        <v>1974</v>
      </c>
      <c r="E265" s="8">
        <v>29909</v>
      </c>
      <c r="F265" s="9">
        <v>43230</v>
      </c>
    </row>
    <row r="266" spans="1:6" ht="14.25" x14ac:dyDescent="0.45">
      <c r="A266" s="6" t="str">
        <f ca="1">IFERROR(__xludf.DUMMYFUNCTION("""COMPUTED_VALUE"""),"X2C2Z")</f>
        <v>X2C2Z</v>
      </c>
      <c r="B266" s="7" t="s">
        <v>1971</v>
      </c>
      <c r="C266" s="7" t="s">
        <v>1972</v>
      </c>
      <c r="D266" s="7" t="s">
        <v>1974</v>
      </c>
      <c r="E266" s="8">
        <v>29926</v>
      </c>
      <c r="F266" s="9">
        <v>44055</v>
      </c>
    </row>
    <row r="267" spans="1:6" ht="14.25" x14ac:dyDescent="0.45">
      <c r="A267" s="6" t="str">
        <f ca="1">IFERROR(__xludf.DUMMYFUNCTION("""COMPUTED_VALUE"""),"X51ULC8")</f>
        <v>X51ULC8</v>
      </c>
      <c r="B267" s="7" t="s">
        <v>1971</v>
      </c>
      <c r="C267" s="7" t="s">
        <v>1972</v>
      </c>
      <c r="D267" s="7" t="s">
        <v>1974</v>
      </c>
      <c r="E267" s="8">
        <v>29936</v>
      </c>
      <c r="F267" s="10" t="s">
        <v>2247</v>
      </c>
    </row>
    <row r="268" spans="1:6" ht="14.25" x14ac:dyDescent="0.45">
      <c r="A268" s="6" t="str">
        <f ca="1">IFERROR(__xludf.DUMMYFUNCTION("""COMPUTED_VALUE"""),"X1681")</f>
        <v>X1681</v>
      </c>
      <c r="B268" s="7" t="s">
        <v>1971</v>
      </c>
      <c r="C268" s="7" t="s">
        <v>1972</v>
      </c>
      <c r="D268" s="7" t="s">
        <v>2020</v>
      </c>
      <c r="E268" s="8">
        <v>29950</v>
      </c>
      <c r="F268" s="10" t="s">
        <v>2000</v>
      </c>
    </row>
    <row r="269" spans="1:6" ht="14.25" x14ac:dyDescent="0.45">
      <c r="A269" s="6" t="str">
        <f ca="1">IFERROR(__xludf.DUMMYFUNCTION("""COMPUTED_VALUE"""),"X1X77")</f>
        <v>X1X77</v>
      </c>
      <c r="B269" s="7" t="s">
        <v>1971</v>
      </c>
      <c r="C269" s="7" t="s">
        <v>1974</v>
      </c>
      <c r="D269" s="7" t="s">
        <v>2140</v>
      </c>
      <c r="E269" s="8">
        <v>29967</v>
      </c>
      <c r="F269" s="10" t="s">
        <v>2141</v>
      </c>
    </row>
    <row r="270" spans="1:6" ht="14.25" x14ac:dyDescent="0.45">
      <c r="A270" s="6" t="str">
        <f ca="1">IFERROR(__xludf.DUMMYFUNCTION("""COMPUTED_VALUE"""),"X3775")</f>
        <v>X3775</v>
      </c>
      <c r="B270" s="7" t="s">
        <v>1980</v>
      </c>
      <c r="C270" s="7" t="s">
        <v>1996</v>
      </c>
      <c r="D270" s="7" t="s">
        <v>2070</v>
      </c>
      <c r="E270" s="8">
        <v>29968</v>
      </c>
      <c r="F270" s="10" t="s">
        <v>2152</v>
      </c>
    </row>
    <row r="271" spans="1:6" ht="14.25" x14ac:dyDescent="0.45">
      <c r="A271" s="6" t="str">
        <f ca="1">IFERROR(__xludf.DUMMYFUNCTION("""COMPUTED_VALUE"""),"X22FQ")</f>
        <v>X22FQ</v>
      </c>
      <c r="B271" s="7" t="s">
        <v>1971</v>
      </c>
      <c r="C271" s="7" t="s">
        <v>1977</v>
      </c>
      <c r="D271" s="7" t="s">
        <v>1990</v>
      </c>
      <c r="E271" s="8">
        <v>29975</v>
      </c>
      <c r="F271" s="9">
        <v>43893</v>
      </c>
    </row>
    <row r="272" spans="1:6" ht="14.25" x14ac:dyDescent="0.45">
      <c r="A272" s="6" t="str">
        <f ca="1">IFERROR(__xludf.DUMMYFUNCTION("""COMPUTED_VALUE"""),"X2A17V")</f>
        <v>X2A17V</v>
      </c>
      <c r="B272" s="7" t="s">
        <v>1971</v>
      </c>
      <c r="C272" s="7" t="s">
        <v>1981</v>
      </c>
      <c r="D272" s="7" t="s">
        <v>1975</v>
      </c>
      <c r="E272" s="8">
        <v>29977</v>
      </c>
      <c r="F272" s="10" t="s">
        <v>2071</v>
      </c>
    </row>
    <row r="273" spans="1:6" ht="14.25" x14ac:dyDescent="0.45">
      <c r="A273" s="6" t="str">
        <f ca="1">IFERROR(__xludf.DUMMYFUNCTION("""COMPUTED_VALUE"""),"X22NH")</f>
        <v>X22NH</v>
      </c>
      <c r="B273" s="7" t="s">
        <v>1971</v>
      </c>
      <c r="C273" s="7" t="s">
        <v>1977</v>
      </c>
      <c r="D273" s="7" t="s">
        <v>1995</v>
      </c>
      <c r="E273" s="8">
        <v>29981</v>
      </c>
      <c r="F273" s="9">
        <v>44138</v>
      </c>
    </row>
    <row r="274" spans="1:6" ht="14.25" x14ac:dyDescent="0.45">
      <c r="A274" s="6" t="str">
        <f ca="1">IFERROR(__xludf.DUMMYFUNCTION("""COMPUTED_VALUE"""),"X2B10D")</f>
        <v>X2B10D</v>
      </c>
      <c r="B274" s="7" t="s">
        <v>1971</v>
      </c>
      <c r="C274" s="7" t="s">
        <v>1996</v>
      </c>
      <c r="D274" s="7" t="s">
        <v>1997</v>
      </c>
      <c r="E274" s="8">
        <v>29986</v>
      </c>
      <c r="F274" s="9">
        <v>44116</v>
      </c>
    </row>
    <row r="275" spans="1:6" ht="14.25" x14ac:dyDescent="0.45">
      <c r="A275" s="6" t="str">
        <f ca="1">IFERROR(__xludf.DUMMYFUNCTION("""COMPUTED_VALUE"""),"XCE93G6")</f>
        <v>XCE93G6</v>
      </c>
      <c r="B275" s="7" t="s">
        <v>1971</v>
      </c>
      <c r="C275" s="7" t="s">
        <v>1972</v>
      </c>
      <c r="D275" s="7" t="s">
        <v>1997</v>
      </c>
      <c r="E275" s="8">
        <v>29988</v>
      </c>
      <c r="F275" s="10" t="s">
        <v>2257</v>
      </c>
    </row>
    <row r="276" spans="1:6" ht="14.25" x14ac:dyDescent="0.45">
      <c r="A276" s="6" t="str">
        <f ca="1">IFERROR(__xludf.DUMMYFUNCTION("""COMPUTED_VALUE"""),"X2CO5")</f>
        <v>X2CO5</v>
      </c>
      <c r="B276" s="7" t="s">
        <v>1986</v>
      </c>
      <c r="C276" s="7" t="s">
        <v>1972</v>
      </c>
      <c r="D276" s="7" t="s">
        <v>1995</v>
      </c>
      <c r="E276" s="8">
        <v>30010</v>
      </c>
      <c r="F276" s="10" t="s">
        <v>2001</v>
      </c>
    </row>
    <row r="277" spans="1:6" ht="14.25" x14ac:dyDescent="0.45">
      <c r="A277" s="6" t="str">
        <f ca="1">IFERROR(__xludf.DUMMYFUNCTION("""COMPUTED_VALUE"""),"X2DKX")</f>
        <v>X2DKX</v>
      </c>
      <c r="B277" s="7" t="s">
        <v>1971</v>
      </c>
      <c r="C277" s="7" t="s">
        <v>1972</v>
      </c>
      <c r="D277" s="7" t="s">
        <v>1993</v>
      </c>
      <c r="E277" s="8">
        <v>30018</v>
      </c>
      <c r="F277" s="10" t="s">
        <v>2051</v>
      </c>
    </row>
    <row r="278" spans="1:6" ht="14.25" x14ac:dyDescent="0.45">
      <c r="A278" s="6" t="str">
        <f ca="1">IFERROR(__xludf.DUMMYFUNCTION("""COMPUTED_VALUE"""),"X2CL1")</f>
        <v>X2CL1</v>
      </c>
      <c r="B278" s="7" t="s">
        <v>1980</v>
      </c>
      <c r="C278" s="7" t="s">
        <v>1972</v>
      </c>
      <c r="D278" s="7" t="s">
        <v>1974</v>
      </c>
      <c r="E278" s="8">
        <v>30031</v>
      </c>
      <c r="F278" s="10" t="s">
        <v>2030</v>
      </c>
    </row>
    <row r="279" spans="1:6" ht="14.25" x14ac:dyDescent="0.45">
      <c r="A279" s="6" t="str">
        <f ca="1">IFERROR(__xludf.DUMMYFUNCTION("""COMPUTED_VALUE"""),"X27X9")</f>
        <v>X27X9</v>
      </c>
      <c r="B279" s="7" t="s">
        <v>1971</v>
      </c>
      <c r="C279" s="7" t="s">
        <v>1996</v>
      </c>
      <c r="D279" s="7" t="s">
        <v>1997</v>
      </c>
      <c r="E279" s="8">
        <v>30039</v>
      </c>
      <c r="F279" s="10" t="s">
        <v>2017</v>
      </c>
    </row>
    <row r="280" spans="1:6" ht="14.25" x14ac:dyDescent="0.45">
      <c r="A280" s="6" t="str">
        <f ca="1">IFERROR(__xludf.DUMMYFUNCTION("""COMPUTED_VALUE"""),"X3RH239")</f>
        <v>X3RH239</v>
      </c>
      <c r="B280" s="7" t="s">
        <v>1971</v>
      </c>
      <c r="C280" s="7" t="s">
        <v>1981</v>
      </c>
      <c r="D280" s="7" t="s">
        <v>1974</v>
      </c>
      <c r="E280" s="8">
        <v>30068</v>
      </c>
      <c r="F280" s="10" t="s">
        <v>2246</v>
      </c>
    </row>
    <row r="281" spans="1:6" ht="14.25" x14ac:dyDescent="0.45">
      <c r="A281" s="6" t="str">
        <f ca="1">IFERROR(__xludf.DUMMYFUNCTION("""COMPUTED_VALUE"""),"X2C88")</f>
        <v>X2C88</v>
      </c>
      <c r="B281" s="7" t="s">
        <v>1971</v>
      </c>
      <c r="C281" s="7" t="s">
        <v>1972</v>
      </c>
      <c r="D281" s="7" t="s">
        <v>1990</v>
      </c>
      <c r="E281" s="8">
        <v>30076</v>
      </c>
      <c r="F281" s="10" t="s">
        <v>2052</v>
      </c>
    </row>
    <row r="282" spans="1:6" ht="14.25" x14ac:dyDescent="0.45">
      <c r="A282" s="6" t="str">
        <f ca="1">IFERROR(__xludf.DUMMYFUNCTION("""COMPUTED_VALUE"""),"X2DXR")</f>
        <v>X2DXR</v>
      </c>
      <c r="B282" s="7" t="s">
        <v>1980</v>
      </c>
      <c r="C282" s="7" t="s">
        <v>1972</v>
      </c>
      <c r="D282" s="7" t="s">
        <v>1984</v>
      </c>
      <c r="E282" s="8">
        <v>30081</v>
      </c>
      <c r="F282" s="10" t="s">
        <v>2152</v>
      </c>
    </row>
    <row r="283" spans="1:6" ht="14.25" x14ac:dyDescent="0.45">
      <c r="A283" s="6" t="str">
        <f ca="1">IFERROR(__xludf.DUMMYFUNCTION("""COMPUTED_VALUE"""),"X15K7L8")</f>
        <v>X15K7L8</v>
      </c>
      <c r="B283" s="7" t="s">
        <v>1971</v>
      </c>
      <c r="C283" s="7" t="s">
        <v>1972</v>
      </c>
      <c r="D283" s="7" t="s">
        <v>2014</v>
      </c>
      <c r="E283" s="8">
        <v>30088</v>
      </c>
      <c r="F283" s="10" t="s">
        <v>2247</v>
      </c>
    </row>
    <row r="284" spans="1:6" ht="14.25" x14ac:dyDescent="0.45">
      <c r="A284" s="6" t="str">
        <f ca="1">IFERROR(__xludf.DUMMYFUNCTION("""COMPUTED_VALUE"""),"XHRZIXN")</f>
        <v>XHRZIXN</v>
      </c>
      <c r="B284" s="7" t="s">
        <v>1971</v>
      </c>
      <c r="C284" s="7" t="s">
        <v>1972</v>
      </c>
      <c r="D284" s="7" t="s">
        <v>1978</v>
      </c>
      <c r="E284" s="8">
        <v>30097</v>
      </c>
      <c r="F284" s="9">
        <v>44202</v>
      </c>
    </row>
    <row r="285" spans="1:6" ht="14.25" x14ac:dyDescent="0.45">
      <c r="A285" s="6" t="str">
        <f ca="1">IFERROR(__xludf.DUMMYFUNCTION("""COMPUTED_VALUE"""),"XO3VG95")</f>
        <v>XO3VG95</v>
      </c>
      <c r="B285" s="7" t="s">
        <v>1971</v>
      </c>
      <c r="C285" s="7" t="s">
        <v>1972</v>
      </c>
      <c r="D285" s="7" t="s">
        <v>1975</v>
      </c>
      <c r="E285" s="8">
        <v>30098</v>
      </c>
      <c r="F285" s="10" t="s">
        <v>2220</v>
      </c>
    </row>
    <row r="286" spans="1:6" ht="14.25" x14ac:dyDescent="0.45">
      <c r="A286" s="6" t="str">
        <f ca="1">IFERROR(__xludf.DUMMYFUNCTION("""COMPUTED_VALUE"""),"X21BC")</f>
        <v>X21BC</v>
      </c>
      <c r="B286" s="7" t="s">
        <v>1971</v>
      </c>
      <c r="C286" s="7" t="s">
        <v>1972</v>
      </c>
      <c r="D286" s="7" t="s">
        <v>1990</v>
      </c>
      <c r="E286" s="8">
        <v>30121</v>
      </c>
      <c r="F286" s="9">
        <v>43892</v>
      </c>
    </row>
    <row r="287" spans="1:6" ht="14.25" x14ac:dyDescent="0.45">
      <c r="A287" s="6" t="str">
        <f ca="1">IFERROR(__xludf.DUMMYFUNCTION("""COMPUTED_VALUE"""),"X1671")</f>
        <v>X1671</v>
      </c>
      <c r="B287" s="7" t="s">
        <v>1971</v>
      </c>
      <c r="C287" s="7" t="s">
        <v>1972</v>
      </c>
      <c r="D287" s="7" t="s">
        <v>1990</v>
      </c>
      <c r="E287" s="8">
        <v>30126</v>
      </c>
      <c r="F287" s="10" t="s">
        <v>2000</v>
      </c>
    </row>
    <row r="288" spans="1:6" ht="14.25" x14ac:dyDescent="0.45">
      <c r="A288" s="6" t="str">
        <f ca="1">IFERROR(__xludf.DUMMYFUNCTION("""COMPUTED_VALUE"""),"X2CLD")</f>
        <v>X2CLD</v>
      </c>
      <c r="B288" s="7" t="s">
        <v>1971</v>
      </c>
      <c r="C288" s="7" t="s">
        <v>1972</v>
      </c>
      <c r="D288" s="7" t="s">
        <v>2072</v>
      </c>
      <c r="E288" s="8">
        <v>30126</v>
      </c>
      <c r="F288" s="10" t="s">
        <v>2030</v>
      </c>
    </row>
    <row r="289" spans="1:6" ht="14.25" x14ac:dyDescent="0.45">
      <c r="A289" s="6" t="str">
        <f ca="1">IFERROR(__xludf.DUMMYFUNCTION("""COMPUTED_VALUE"""),"XRXWAC9")</f>
        <v>XRXWAC9</v>
      </c>
      <c r="B289" s="7" t="s">
        <v>1971</v>
      </c>
      <c r="C289" s="7" t="s">
        <v>1977</v>
      </c>
      <c r="D289" s="7" t="s">
        <v>2072</v>
      </c>
      <c r="E289" s="8">
        <v>30135</v>
      </c>
      <c r="F289" s="10" t="s">
        <v>2340</v>
      </c>
    </row>
    <row r="290" spans="1:6" ht="14.25" x14ac:dyDescent="0.45">
      <c r="A290" s="6" t="str">
        <f ca="1">IFERROR(__xludf.DUMMYFUNCTION("""COMPUTED_VALUE"""),"XOHMI5B")</f>
        <v>XOHMI5B</v>
      </c>
      <c r="B290" s="7" t="s">
        <v>1986</v>
      </c>
      <c r="C290" s="7" t="s">
        <v>1972</v>
      </c>
      <c r="D290" s="7" t="s">
        <v>1995</v>
      </c>
      <c r="E290" s="8">
        <v>30141</v>
      </c>
      <c r="F290" s="9">
        <v>44239</v>
      </c>
    </row>
    <row r="291" spans="1:6" ht="14.25" x14ac:dyDescent="0.45">
      <c r="A291" s="6" t="str">
        <f ca="1">IFERROR(__xludf.DUMMYFUNCTION("""COMPUTED_VALUE"""),"XAXFFEY")</f>
        <v>XAXFFEY</v>
      </c>
      <c r="B291" s="7" t="s">
        <v>1971</v>
      </c>
      <c r="C291" s="7" t="s">
        <v>1972</v>
      </c>
      <c r="D291" s="7" t="s">
        <v>1974</v>
      </c>
      <c r="E291" s="8">
        <v>30153</v>
      </c>
      <c r="F291" s="10" t="s">
        <v>2245</v>
      </c>
    </row>
    <row r="292" spans="1:6" ht="14.25" x14ac:dyDescent="0.45">
      <c r="A292" s="6" t="str">
        <f ca="1">IFERROR(__xludf.DUMMYFUNCTION("""COMPUTED_VALUE"""),"X1W6U")</f>
        <v>X1W6U</v>
      </c>
      <c r="B292" s="7" t="s">
        <v>1971</v>
      </c>
      <c r="C292" s="7" t="s">
        <v>1972</v>
      </c>
      <c r="D292" s="7" t="s">
        <v>1978</v>
      </c>
      <c r="E292" s="8">
        <v>30161</v>
      </c>
      <c r="F292" s="9">
        <v>43533</v>
      </c>
    </row>
    <row r="293" spans="1:6" ht="14.25" x14ac:dyDescent="0.45">
      <c r="A293" s="6" t="str">
        <f ca="1">IFERROR(__xludf.DUMMYFUNCTION("""COMPUTED_VALUE"""),"XWNJE5Z")</f>
        <v>XWNJE5Z</v>
      </c>
      <c r="B293" s="7" t="s">
        <v>1971</v>
      </c>
      <c r="C293" s="7" t="s">
        <v>1996</v>
      </c>
      <c r="D293" s="7" t="s">
        <v>2012</v>
      </c>
      <c r="E293" s="8">
        <v>30162</v>
      </c>
      <c r="F293" s="10" t="s">
        <v>2245</v>
      </c>
    </row>
    <row r="294" spans="1:6" ht="14.25" x14ac:dyDescent="0.45">
      <c r="A294" s="6" t="str">
        <f ca="1">IFERROR(__xludf.DUMMYFUNCTION("""COMPUTED_VALUE"""),"X2B6N")</f>
        <v>X2B6N</v>
      </c>
      <c r="B294" s="7" t="s">
        <v>1971</v>
      </c>
      <c r="C294" s="7" t="s">
        <v>1977</v>
      </c>
      <c r="D294" s="7" t="s">
        <v>2003</v>
      </c>
      <c r="E294" s="8">
        <v>30169</v>
      </c>
      <c r="F294" s="10" t="s">
        <v>2004</v>
      </c>
    </row>
    <row r="295" spans="1:6" ht="14.25" x14ac:dyDescent="0.45">
      <c r="A295" s="6" t="str">
        <f ca="1">IFERROR(__xludf.DUMMYFUNCTION("""COMPUTED_VALUE"""),"X1YDH")</f>
        <v>X1YDH</v>
      </c>
      <c r="B295" s="7" t="s">
        <v>1971</v>
      </c>
      <c r="C295" s="7" t="s">
        <v>1972</v>
      </c>
      <c r="D295" s="7" t="s">
        <v>1974</v>
      </c>
      <c r="E295" s="8">
        <v>30190</v>
      </c>
      <c r="F295" s="9">
        <v>43476</v>
      </c>
    </row>
    <row r="296" spans="1:6" ht="14.25" x14ac:dyDescent="0.45">
      <c r="A296" s="6" t="str">
        <f ca="1">IFERROR(__xludf.DUMMYFUNCTION("""COMPUTED_VALUE"""),"X1YS0")</f>
        <v>X1YS0</v>
      </c>
      <c r="B296" s="7" t="s">
        <v>1971</v>
      </c>
      <c r="C296" s="7" t="s">
        <v>1996</v>
      </c>
      <c r="D296" s="7" t="s">
        <v>2020</v>
      </c>
      <c r="E296" s="8">
        <v>30202</v>
      </c>
      <c r="F296" s="10" t="s">
        <v>2301</v>
      </c>
    </row>
    <row r="297" spans="1:6" ht="14.25" x14ac:dyDescent="0.45">
      <c r="A297" s="6" t="str">
        <f ca="1">IFERROR(__xludf.DUMMYFUNCTION("""COMPUTED_VALUE"""),"X1XJN")</f>
        <v>X1XJN</v>
      </c>
      <c r="B297" s="7" t="s">
        <v>1971</v>
      </c>
      <c r="C297" s="7" t="s">
        <v>1972</v>
      </c>
      <c r="D297" s="7" t="s">
        <v>1974</v>
      </c>
      <c r="E297" s="8">
        <v>30232</v>
      </c>
      <c r="F297" s="10" t="s">
        <v>2080</v>
      </c>
    </row>
    <row r="298" spans="1:6" ht="14.25" x14ac:dyDescent="0.45">
      <c r="A298" s="6" t="str">
        <f ca="1">IFERROR(__xludf.DUMMYFUNCTION("""COMPUTED_VALUE"""),"XHGVJZV")</f>
        <v>XHGVJZV</v>
      </c>
      <c r="B298" s="7" t="s">
        <v>1971</v>
      </c>
      <c r="C298" s="7" t="s">
        <v>1972</v>
      </c>
      <c r="D298" s="7" t="s">
        <v>1974</v>
      </c>
      <c r="E298" s="8">
        <v>30234</v>
      </c>
      <c r="F298" s="10" t="s">
        <v>2261</v>
      </c>
    </row>
    <row r="299" spans="1:6" ht="14.25" x14ac:dyDescent="0.45">
      <c r="A299" s="6" t="str">
        <f ca="1">IFERROR(__xludf.DUMMYFUNCTION("""COMPUTED_VALUE"""),"X2DDL")</f>
        <v>X2DDL</v>
      </c>
      <c r="B299" s="7" t="s">
        <v>1971</v>
      </c>
      <c r="C299" s="7" t="s">
        <v>1972</v>
      </c>
      <c r="D299" s="7" t="s">
        <v>1974</v>
      </c>
      <c r="E299" s="8">
        <v>30236</v>
      </c>
      <c r="F299" s="9">
        <v>44501</v>
      </c>
    </row>
    <row r="300" spans="1:6" ht="14.25" x14ac:dyDescent="0.45">
      <c r="A300" s="6" t="str">
        <f ca="1">IFERROR(__xludf.DUMMYFUNCTION("""COMPUTED_VALUE"""),"X2DDE")</f>
        <v>X2DDE</v>
      </c>
      <c r="B300" s="7" t="s">
        <v>1971</v>
      </c>
      <c r="C300" s="7" t="s">
        <v>1981</v>
      </c>
      <c r="D300" s="7" t="s">
        <v>1975</v>
      </c>
      <c r="E300" s="8">
        <v>30244</v>
      </c>
      <c r="F300" s="9">
        <v>44501</v>
      </c>
    </row>
    <row r="301" spans="1:6" ht="14.25" x14ac:dyDescent="0.45">
      <c r="A301" s="6" t="str">
        <f ca="1">IFERROR(__xludf.DUMMYFUNCTION("""COMPUTED_VALUE"""),"XXXCG3H")</f>
        <v>XXXCG3H</v>
      </c>
      <c r="B301" s="7" t="s">
        <v>1971</v>
      </c>
      <c r="C301" s="7" t="s">
        <v>1977</v>
      </c>
      <c r="D301" s="7" t="s">
        <v>1974</v>
      </c>
      <c r="E301" s="8">
        <v>30251</v>
      </c>
      <c r="F301" s="10" t="s">
        <v>2217</v>
      </c>
    </row>
    <row r="302" spans="1:6" ht="14.25" x14ac:dyDescent="0.45">
      <c r="A302" s="6" t="str">
        <f ca="1">IFERROR(__xludf.DUMMYFUNCTION("""COMPUTED_VALUE"""),"XZK8VJ2")</f>
        <v>XZK8VJ2</v>
      </c>
      <c r="B302" s="7" t="s">
        <v>1971</v>
      </c>
      <c r="C302" s="7" t="s">
        <v>1977</v>
      </c>
      <c r="D302" s="7" t="s">
        <v>1990</v>
      </c>
      <c r="E302" s="8">
        <v>30264</v>
      </c>
      <c r="F302" s="10" t="s">
        <v>2191</v>
      </c>
    </row>
    <row r="303" spans="1:6" ht="14.25" x14ac:dyDescent="0.45">
      <c r="A303" s="6" t="str">
        <f ca="1">IFERROR(__xludf.DUMMYFUNCTION("""COMPUTED_VALUE"""),"XIFX7HL")</f>
        <v>XIFX7HL</v>
      </c>
      <c r="B303" s="7" t="s">
        <v>1980</v>
      </c>
      <c r="C303" s="7" t="s">
        <v>1977</v>
      </c>
      <c r="D303" s="7" t="s">
        <v>1974</v>
      </c>
      <c r="E303" s="8">
        <v>30277</v>
      </c>
      <c r="F303" s="9">
        <v>44533</v>
      </c>
    </row>
    <row r="304" spans="1:6" ht="14.25" x14ac:dyDescent="0.45">
      <c r="A304" s="6" t="str">
        <f ca="1">IFERROR(__xludf.DUMMYFUNCTION("""COMPUTED_VALUE"""),"X2CY9")</f>
        <v>X2CY9</v>
      </c>
      <c r="B304" s="7" t="s">
        <v>1971</v>
      </c>
      <c r="C304" s="7" t="s">
        <v>1972</v>
      </c>
      <c r="D304" s="7" t="s">
        <v>2091</v>
      </c>
      <c r="E304" s="8">
        <v>30288</v>
      </c>
      <c r="F304" s="9">
        <v>44287</v>
      </c>
    </row>
    <row r="305" spans="1:6" ht="14.25" x14ac:dyDescent="0.45">
      <c r="A305" s="6" t="str">
        <f ca="1">IFERROR(__xludf.DUMMYFUNCTION("""COMPUTED_VALUE"""),"XNLYDDY")</f>
        <v>XNLYDDY</v>
      </c>
      <c r="B305" s="7" t="s">
        <v>1971</v>
      </c>
      <c r="C305" s="7" t="s">
        <v>1974</v>
      </c>
      <c r="D305" s="7" t="s">
        <v>1974</v>
      </c>
      <c r="E305" s="8">
        <v>30288</v>
      </c>
      <c r="F305" s="10" t="s">
        <v>2307</v>
      </c>
    </row>
    <row r="306" spans="1:6" ht="14.25" x14ac:dyDescent="0.45">
      <c r="A306" s="6" t="str">
        <f ca="1">IFERROR(__xludf.DUMMYFUNCTION("""COMPUTED_VALUE"""),"X1VV6")</f>
        <v>X1VV6</v>
      </c>
      <c r="B306" s="7" t="s">
        <v>1971</v>
      </c>
      <c r="C306" s="7" t="s">
        <v>1972</v>
      </c>
      <c r="D306" s="7" t="s">
        <v>1993</v>
      </c>
      <c r="E306" s="8">
        <v>30291</v>
      </c>
      <c r="F306" s="10" t="s">
        <v>2058</v>
      </c>
    </row>
    <row r="307" spans="1:6" ht="14.25" x14ac:dyDescent="0.45">
      <c r="A307" s="6" t="str">
        <f ca="1">IFERROR(__xludf.DUMMYFUNCTION("""COMPUTED_VALUE"""),"X1VTY")</f>
        <v>X1VTY</v>
      </c>
      <c r="B307" s="7" t="s">
        <v>1971</v>
      </c>
      <c r="C307" s="7" t="s">
        <v>1972</v>
      </c>
      <c r="D307" s="7" t="s">
        <v>1974</v>
      </c>
      <c r="E307" s="8">
        <v>30296</v>
      </c>
      <c r="F307" s="10" t="s">
        <v>2054</v>
      </c>
    </row>
    <row r="308" spans="1:6" ht="14.25" x14ac:dyDescent="0.45">
      <c r="A308" s="6" t="str">
        <f ca="1">IFERROR(__xludf.DUMMYFUNCTION("""COMPUTED_VALUE"""),"X1VSD")</f>
        <v>X1VSD</v>
      </c>
      <c r="B308" s="7" t="s">
        <v>1971</v>
      </c>
      <c r="C308" s="7" t="s">
        <v>1972</v>
      </c>
      <c r="D308" s="7" t="s">
        <v>1990</v>
      </c>
      <c r="E308" s="8">
        <v>30309</v>
      </c>
      <c r="F308" s="10" t="s">
        <v>2058</v>
      </c>
    </row>
    <row r="309" spans="1:6" ht="14.25" x14ac:dyDescent="0.45">
      <c r="A309" s="6" t="str">
        <f ca="1">IFERROR(__xludf.DUMMYFUNCTION("""COMPUTED_VALUE"""),"X1517")</f>
        <v>X1517</v>
      </c>
      <c r="B309" s="7" t="s">
        <v>1980</v>
      </c>
      <c r="C309" s="7" t="s">
        <v>1972</v>
      </c>
      <c r="D309" s="7" t="s">
        <v>2012</v>
      </c>
      <c r="E309" s="8">
        <v>30310</v>
      </c>
      <c r="F309" s="9">
        <v>42981</v>
      </c>
    </row>
    <row r="310" spans="1:6" ht="14.25" x14ac:dyDescent="0.45">
      <c r="A310" s="6" t="str">
        <f ca="1">IFERROR(__xludf.DUMMYFUNCTION("""COMPUTED_VALUE"""),"X2A7P")</f>
        <v>X2A7P</v>
      </c>
      <c r="B310" s="7" t="s">
        <v>1971</v>
      </c>
      <c r="C310" s="7" t="s">
        <v>1993</v>
      </c>
      <c r="D310" s="7" t="s">
        <v>1975</v>
      </c>
      <c r="E310" s="8">
        <v>30320</v>
      </c>
      <c r="F310" s="10" t="s">
        <v>2109</v>
      </c>
    </row>
    <row r="311" spans="1:6" ht="14.25" x14ac:dyDescent="0.45">
      <c r="A311" s="6" t="str">
        <f ca="1">IFERROR(__xludf.DUMMYFUNCTION("""COMPUTED_VALUE"""),"X6939Z9")</f>
        <v>X6939Z9</v>
      </c>
      <c r="B311" s="7" t="s">
        <v>1971</v>
      </c>
      <c r="C311" s="7" t="s">
        <v>1972</v>
      </c>
      <c r="D311" s="7" t="s">
        <v>1974</v>
      </c>
      <c r="E311" s="8">
        <v>30326</v>
      </c>
      <c r="F311" s="10" t="s">
        <v>2242</v>
      </c>
    </row>
    <row r="312" spans="1:6" ht="14.25" x14ac:dyDescent="0.45">
      <c r="A312" s="6" t="str">
        <f ca="1">IFERROR(__xludf.DUMMYFUNCTION("""COMPUTED_VALUE"""),"X1KX1")</f>
        <v>X1KX1</v>
      </c>
      <c r="B312" s="7" t="s">
        <v>1971</v>
      </c>
      <c r="C312" s="7" t="s">
        <v>1972</v>
      </c>
      <c r="D312" s="7" t="s">
        <v>1990</v>
      </c>
      <c r="E312" s="8">
        <v>30336</v>
      </c>
      <c r="F312" s="10" t="s">
        <v>2047</v>
      </c>
    </row>
    <row r="313" spans="1:6" ht="14.25" x14ac:dyDescent="0.45">
      <c r="A313" s="6" t="str">
        <f ca="1">IFERROR(__xludf.DUMMYFUNCTION("""COMPUTED_VALUE"""),"X2A8I")</f>
        <v>X2A8I</v>
      </c>
      <c r="B313" s="7" t="s">
        <v>1980</v>
      </c>
      <c r="C313" s="7" t="s">
        <v>1972</v>
      </c>
      <c r="D313" s="7" t="s">
        <v>1993</v>
      </c>
      <c r="E313" s="8">
        <v>30336</v>
      </c>
      <c r="F313" s="10" t="s">
        <v>2109</v>
      </c>
    </row>
    <row r="314" spans="1:6" ht="14.25" x14ac:dyDescent="0.45">
      <c r="A314" s="6" t="str">
        <f ca="1">IFERROR(__xludf.DUMMYFUNCTION("""COMPUTED_VALUE"""),"X2AKE")</f>
        <v>X2AKE</v>
      </c>
      <c r="B314" s="7" t="s">
        <v>1971</v>
      </c>
      <c r="C314" s="7" t="s">
        <v>1974</v>
      </c>
      <c r="D314" s="7" t="s">
        <v>1974</v>
      </c>
      <c r="E314" s="8">
        <v>30340</v>
      </c>
      <c r="F314" s="10" t="s">
        <v>1979</v>
      </c>
    </row>
    <row r="315" spans="1:6" ht="14.25" x14ac:dyDescent="0.45">
      <c r="A315" s="6" t="str">
        <f ca="1">IFERROR(__xludf.DUMMYFUNCTION("""COMPUTED_VALUE"""),"X8LDLIP")</f>
        <v>X8LDLIP</v>
      </c>
      <c r="B315" s="7" t="s">
        <v>1980</v>
      </c>
      <c r="C315" s="7" t="s">
        <v>1977</v>
      </c>
      <c r="D315" s="7" t="s">
        <v>1974</v>
      </c>
      <c r="E315" s="8">
        <v>30345</v>
      </c>
      <c r="F315" s="9">
        <v>44411</v>
      </c>
    </row>
    <row r="316" spans="1:6" ht="14.25" x14ac:dyDescent="0.45">
      <c r="A316" s="6" t="str">
        <f ca="1">IFERROR(__xludf.DUMMYFUNCTION("""COMPUTED_VALUE"""),"XWK8RN1")</f>
        <v>XWK8RN1</v>
      </c>
      <c r="B316" s="7" t="s">
        <v>1971</v>
      </c>
      <c r="C316" s="7" t="s">
        <v>1972</v>
      </c>
      <c r="D316" s="7" t="s">
        <v>1974</v>
      </c>
      <c r="E316" s="8">
        <v>30358</v>
      </c>
      <c r="F316" s="10" t="s">
        <v>2307</v>
      </c>
    </row>
    <row r="317" spans="1:6" ht="14.25" x14ac:dyDescent="0.45">
      <c r="A317" s="6" t="str">
        <f ca="1">IFERROR(__xludf.DUMMYFUNCTION("""COMPUTED_VALUE"""),"X3154")</f>
        <v>X3154</v>
      </c>
      <c r="B317" s="7" t="s">
        <v>1971</v>
      </c>
      <c r="C317" s="7" t="s">
        <v>1972</v>
      </c>
      <c r="D317" s="7" t="s">
        <v>1990</v>
      </c>
      <c r="E317" s="8">
        <v>30376</v>
      </c>
      <c r="F317" s="10" t="s">
        <v>2090</v>
      </c>
    </row>
    <row r="318" spans="1:6" ht="14.25" x14ac:dyDescent="0.45">
      <c r="A318" s="6" t="str">
        <f ca="1">IFERROR(__xludf.DUMMYFUNCTION("""COMPUTED_VALUE"""),"X2DV6")</f>
        <v>X2DV6</v>
      </c>
      <c r="B318" s="7" t="s">
        <v>1971</v>
      </c>
      <c r="C318" s="7" t="s">
        <v>1974</v>
      </c>
      <c r="D318" s="7" t="s">
        <v>1974</v>
      </c>
      <c r="E318" s="8">
        <v>30376</v>
      </c>
      <c r="F318" s="9">
        <v>44441</v>
      </c>
    </row>
    <row r="319" spans="1:6" ht="14.25" x14ac:dyDescent="0.45">
      <c r="A319" s="6" t="str">
        <f ca="1">IFERROR(__xludf.DUMMYFUNCTION("""COMPUTED_VALUE"""),"X2DDF")</f>
        <v>X2DDF</v>
      </c>
      <c r="B319" s="7" t="s">
        <v>1971</v>
      </c>
      <c r="C319" s="7" t="s">
        <v>1972</v>
      </c>
      <c r="D319" s="7" t="s">
        <v>1973</v>
      </c>
      <c r="E319" s="8">
        <v>30395</v>
      </c>
      <c r="F319" s="9">
        <v>44501</v>
      </c>
    </row>
    <row r="320" spans="1:6" ht="14.25" x14ac:dyDescent="0.45">
      <c r="A320" s="6" t="str">
        <f ca="1">IFERROR(__xludf.DUMMYFUNCTION("""COMPUTED_VALUE"""),"X3QYSDZ")</f>
        <v>X3QYSDZ</v>
      </c>
      <c r="B320" s="7" t="s">
        <v>1971</v>
      </c>
      <c r="C320" s="7" t="s">
        <v>1981</v>
      </c>
      <c r="D320" s="7" t="s">
        <v>1974</v>
      </c>
      <c r="E320" s="8">
        <v>30396</v>
      </c>
      <c r="F320" s="10" t="s">
        <v>2304</v>
      </c>
    </row>
    <row r="321" spans="1:6" ht="14.25" x14ac:dyDescent="0.45">
      <c r="A321" s="6" t="str">
        <f ca="1">IFERROR(__xludf.DUMMYFUNCTION("""COMPUTED_VALUE"""),"X27IS")</f>
        <v>X27IS</v>
      </c>
      <c r="B321" s="7" t="s">
        <v>1971</v>
      </c>
      <c r="C321" s="7" t="s">
        <v>1972</v>
      </c>
      <c r="D321" s="7" t="s">
        <v>1974</v>
      </c>
      <c r="E321" s="8">
        <v>30413</v>
      </c>
      <c r="F321" s="10" t="s">
        <v>2148</v>
      </c>
    </row>
    <row r="322" spans="1:6" ht="14.25" x14ac:dyDescent="0.45">
      <c r="A322" s="6" t="str">
        <f ca="1">IFERROR(__xludf.DUMMYFUNCTION("""COMPUTED_VALUE"""),"XUNQWBG")</f>
        <v>XUNQWBG</v>
      </c>
      <c r="B322" s="7" t="s">
        <v>1980</v>
      </c>
      <c r="C322" s="7" t="s">
        <v>2232</v>
      </c>
      <c r="D322" s="7" t="s">
        <v>1974</v>
      </c>
      <c r="E322" s="8">
        <v>30414</v>
      </c>
      <c r="F322" s="10" t="s">
        <v>2233</v>
      </c>
    </row>
    <row r="323" spans="1:6" ht="14.25" x14ac:dyDescent="0.45">
      <c r="A323" s="6" t="str">
        <f ca="1">IFERROR(__xludf.DUMMYFUNCTION("""COMPUTED_VALUE"""),"X29T3")</f>
        <v>X29T3</v>
      </c>
      <c r="B323" s="7" t="s">
        <v>1971</v>
      </c>
      <c r="C323" s="7" t="s">
        <v>1972</v>
      </c>
      <c r="D323" s="7" t="s">
        <v>1974</v>
      </c>
      <c r="E323" s="8">
        <v>30416</v>
      </c>
      <c r="F323" s="9">
        <v>44175</v>
      </c>
    </row>
    <row r="324" spans="1:6" ht="14.25" x14ac:dyDescent="0.45">
      <c r="A324" s="6" t="str">
        <f ca="1">IFERROR(__xludf.DUMMYFUNCTION("""COMPUTED_VALUE"""),"XX4JAJV")</f>
        <v>XX4JAJV</v>
      </c>
      <c r="B324" s="7" t="s">
        <v>1971</v>
      </c>
      <c r="C324" s="7" t="s">
        <v>1972</v>
      </c>
      <c r="D324" s="7" t="s">
        <v>1974</v>
      </c>
      <c r="E324" s="8">
        <v>30419</v>
      </c>
      <c r="F324" s="10" t="s">
        <v>2246</v>
      </c>
    </row>
    <row r="325" spans="1:6" ht="14.25" x14ac:dyDescent="0.45">
      <c r="A325" s="6" t="str">
        <f ca="1">IFERROR(__xludf.DUMMYFUNCTION("""COMPUTED_VALUE"""),"X2014E")</f>
        <v>X2014E</v>
      </c>
      <c r="B325" s="7" t="s">
        <v>1971</v>
      </c>
      <c r="C325" s="7" t="s">
        <v>1972</v>
      </c>
      <c r="D325" s="7" t="s">
        <v>1974</v>
      </c>
      <c r="E325" s="8">
        <v>30429</v>
      </c>
      <c r="F325" s="10" t="s">
        <v>2106</v>
      </c>
    </row>
    <row r="326" spans="1:6" ht="14.25" x14ac:dyDescent="0.45">
      <c r="A326" s="6" t="str">
        <f ca="1">IFERROR(__xludf.DUMMYFUNCTION("""COMPUTED_VALUE"""),"XH72IV7")</f>
        <v>XH72IV7</v>
      </c>
      <c r="B326" s="7" t="s">
        <v>1971</v>
      </c>
      <c r="C326" s="7" t="s">
        <v>1972</v>
      </c>
      <c r="D326" s="7" t="s">
        <v>2007</v>
      </c>
      <c r="E326" s="8">
        <v>30456</v>
      </c>
      <c r="F326" s="10" t="s">
        <v>2293</v>
      </c>
    </row>
    <row r="327" spans="1:6" ht="14.25" x14ac:dyDescent="0.45">
      <c r="A327" s="6" t="str">
        <f ca="1">IFERROR(__xludf.DUMMYFUNCTION("""COMPUTED_VALUE"""),"X1SOH")</f>
        <v>X1SOH</v>
      </c>
      <c r="B327" s="7" t="s">
        <v>1980</v>
      </c>
      <c r="C327" s="7" t="s">
        <v>1972</v>
      </c>
      <c r="D327" s="7" t="s">
        <v>2007</v>
      </c>
      <c r="E327" s="8">
        <v>30469</v>
      </c>
      <c r="F327" s="10" t="s">
        <v>2183</v>
      </c>
    </row>
    <row r="328" spans="1:6" ht="14.25" x14ac:dyDescent="0.45">
      <c r="A328" s="6" t="str">
        <f ca="1">IFERROR(__xludf.DUMMYFUNCTION("""COMPUTED_VALUE"""),"XYNB2PI")</f>
        <v>XYNB2PI</v>
      </c>
      <c r="B328" s="7" t="s">
        <v>1971</v>
      </c>
      <c r="C328" s="7" t="s">
        <v>1972</v>
      </c>
      <c r="D328" s="7" t="s">
        <v>1997</v>
      </c>
      <c r="E328" s="8">
        <v>30471</v>
      </c>
      <c r="F328" s="10" t="s">
        <v>2291</v>
      </c>
    </row>
    <row r="329" spans="1:6" ht="14.25" x14ac:dyDescent="0.45">
      <c r="A329" s="6" t="str">
        <f ca="1">IFERROR(__xludf.DUMMYFUNCTION("""COMPUTED_VALUE"""),"XG9546R")</f>
        <v>XG9546R</v>
      </c>
      <c r="B329" s="7" t="s">
        <v>1971</v>
      </c>
      <c r="C329" s="7" t="s">
        <v>1977</v>
      </c>
      <c r="D329" s="7" t="s">
        <v>2026</v>
      </c>
      <c r="E329" s="8">
        <v>30496</v>
      </c>
      <c r="F329" s="10" t="s">
        <v>2245</v>
      </c>
    </row>
    <row r="330" spans="1:6" ht="14.25" x14ac:dyDescent="0.45">
      <c r="A330" s="6" t="str">
        <f ca="1">IFERROR(__xludf.DUMMYFUNCTION("""COMPUTED_VALUE"""),"X1S4T")</f>
        <v>X1S4T</v>
      </c>
      <c r="B330" s="7" t="s">
        <v>1980</v>
      </c>
      <c r="C330" s="7" t="s">
        <v>1996</v>
      </c>
      <c r="D330" s="7" t="s">
        <v>1982</v>
      </c>
      <c r="E330" s="8">
        <v>30499</v>
      </c>
      <c r="F330" s="9">
        <v>43501</v>
      </c>
    </row>
    <row r="331" spans="1:6" ht="14.25" x14ac:dyDescent="0.45">
      <c r="A331" s="6" t="str">
        <f ca="1">IFERROR(__xludf.DUMMYFUNCTION("""COMPUTED_VALUE"""),"X1N8P")</f>
        <v>X1N8P</v>
      </c>
      <c r="B331" s="7" t="s">
        <v>1971</v>
      </c>
      <c r="C331" s="7" t="s">
        <v>1977</v>
      </c>
      <c r="D331" s="7" t="s">
        <v>1975</v>
      </c>
      <c r="E331" s="8">
        <v>30509</v>
      </c>
      <c r="F331" s="9">
        <v>43232</v>
      </c>
    </row>
    <row r="332" spans="1:6" ht="14.25" x14ac:dyDescent="0.45">
      <c r="A332" s="6" t="str">
        <f ca="1">IFERROR(__xludf.DUMMYFUNCTION("""COMPUTED_VALUE"""),"X1XJ5")</f>
        <v>X1XJ5</v>
      </c>
      <c r="B332" s="7" t="s">
        <v>1971</v>
      </c>
      <c r="C332" s="7" t="s">
        <v>1974</v>
      </c>
      <c r="D332" s="7" t="s">
        <v>2072</v>
      </c>
      <c r="E332" s="8">
        <v>30509</v>
      </c>
      <c r="F332" s="9">
        <v>43506</v>
      </c>
    </row>
    <row r="333" spans="1:6" ht="14.25" x14ac:dyDescent="0.45">
      <c r="A333" s="6" t="str">
        <f ca="1">IFERROR(__xludf.DUMMYFUNCTION("""COMPUTED_VALUE"""),"X2CS2")</f>
        <v>X2CS2</v>
      </c>
      <c r="B333" s="7" t="s">
        <v>1971</v>
      </c>
      <c r="C333" s="7" t="s">
        <v>1972</v>
      </c>
      <c r="D333" s="7" t="s">
        <v>2026</v>
      </c>
      <c r="E333" s="8">
        <v>30515</v>
      </c>
      <c r="F333" s="10" t="s">
        <v>2096</v>
      </c>
    </row>
    <row r="334" spans="1:6" ht="14.25" x14ac:dyDescent="0.45">
      <c r="A334" s="6" t="str">
        <f ca="1">IFERROR(__xludf.DUMMYFUNCTION("""COMPUTED_VALUE"""),"XE64WX1")</f>
        <v>XE64WX1</v>
      </c>
      <c r="B334" s="7" t="s">
        <v>1971</v>
      </c>
      <c r="C334" s="7" t="s">
        <v>1977</v>
      </c>
      <c r="D334" s="7" t="s">
        <v>2020</v>
      </c>
      <c r="E334" s="8">
        <v>30520</v>
      </c>
      <c r="F334" s="9">
        <v>44443</v>
      </c>
    </row>
    <row r="335" spans="1:6" ht="14.25" x14ac:dyDescent="0.45">
      <c r="A335" s="6" t="str">
        <f ca="1">IFERROR(__xludf.DUMMYFUNCTION("""COMPUTED_VALUE"""),"X22U7")</f>
        <v>X22U7</v>
      </c>
      <c r="B335" s="7" t="s">
        <v>1971</v>
      </c>
      <c r="C335" s="7" t="s">
        <v>1972</v>
      </c>
      <c r="D335" s="7" t="s">
        <v>1975</v>
      </c>
      <c r="E335" s="8">
        <v>30529</v>
      </c>
      <c r="F335" s="10" t="s">
        <v>2145</v>
      </c>
    </row>
    <row r="336" spans="1:6" ht="14.25" x14ac:dyDescent="0.45">
      <c r="A336" s="6" t="str">
        <f ca="1">IFERROR(__xludf.DUMMYFUNCTION("""COMPUTED_VALUE"""),"XSQXUJD")</f>
        <v>XSQXUJD</v>
      </c>
      <c r="B336" s="7" t="s">
        <v>1971</v>
      </c>
      <c r="C336" s="7" t="s">
        <v>1972</v>
      </c>
      <c r="D336" s="7" t="s">
        <v>1974</v>
      </c>
      <c r="E336" s="8">
        <v>30545</v>
      </c>
      <c r="F336" s="10" t="s">
        <v>2218</v>
      </c>
    </row>
    <row r="337" spans="1:6" ht="14.25" x14ac:dyDescent="0.45">
      <c r="A337" s="6" t="str">
        <f ca="1">IFERROR(__xludf.DUMMYFUNCTION("""COMPUTED_VALUE"""),"X3399")</f>
        <v>X3399</v>
      </c>
      <c r="B337" s="7" t="s">
        <v>1971</v>
      </c>
      <c r="C337" s="7" t="s">
        <v>1972</v>
      </c>
      <c r="D337" s="7" t="s">
        <v>1995</v>
      </c>
      <c r="E337" s="8">
        <v>30546</v>
      </c>
      <c r="F337" s="10" t="s">
        <v>2156</v>
      </c>
    </row>
    <row r="338" spans="1:6" ht="14.25" x14ac:dyDescent="0.45">
      <c r="A338" s="6" t="str">
        <f ca="1">IFERROR(__xludf.DUMMYFUNCTION("""COMPUTED_VALUE"""),"X2687")</f>
        <v>X2687</v>
      </c>
      <c r="B338" s="7" t="s">
        <v>1971</v>
      </c>
      <c r="C338" s="7" t="s">
        <v>1972</v>
      </c>
      <c r="D338" s="7" t="s">
        <v>2003</v>
      </c>
      <c r="E338" s="8">
        <v>30547</v>
      </c>
      <c r="F338" s="10" t="s">
        <v>2165</v>
      </c>
    </row>
    <row r="339" spans="1:6" ht="14.25" x14ac:dyDescent="0.45">
      <c r="A339" s="6" t="str">
        <f ca="1">IFERROR(__xludf.DUMMYFUNCTION("""COMPUTED_VALUE"""),"X22C8SK")</f>
        <v>X22C8SK</v>
      </c>
      <c r="B339" s="7" t="s">
        <v>1971</v>
      </c>
      <c r="C339" s="7" t="s">
        <v>1972</v>
      </c>
      <c r="D339" s="7" t="s">
        <v>1993</v>
      </c>
      <c r="E339" s="8">
        <v>30569</v>
      </c>
      <c r="F339" s="9">
        <v>44505</v>
      </c>
    </row>
    <row r="340" spans="1:6" ht="14.25" x14ac:dyDescent="0.45">
      <c r="A340" s="6" t="str">
        <f ca="1">IFERROR(__xludf.DUMMYFUNCTION("""COMPUTED_VALUE"""),"X69DXXB")</f>
        <v>X69DXXB</v>
      </c>
      <c r="B340" s="7" t="s">
        <v>1971</v>
      </c>
      <c r="C340" s="7" t="s">
        <v>1972</v>
      </c>
      <c r="D340" s="7" t="s">
        <v>1997</v>
      </c>
      <c r="E340" s="8">
        <v>30585</v>
      </c>
      <c r="F340" s="10" t="s">
        <v>2287</v>
      </c>
    </row>
    <row r="341" spans="1:6" ht="14.25" x14ac:dyDescent="0.45">
      <c r="A341" s="6" t="str">
        <f ca="1">IFERROR(__xludf.DUMMYFUNCTION("""COMPUTED_VALUE"""),"XD8UIRN")</f>
        <v>XD8UIRN</v>
      </c>
      <c r="B341" s="7" t="s">
        <v>1971</v>
      </c>
      <c r="C341" s="7" t="s">
        <v>1972</v>
      </c>
      <c r="D341" s="7" t="s">
        <v>1997</v>
      </c>
      <c r="E341" s="8">
        <v>30586</v>
      </c>
      <c r="F341" s="10" t="s">
        <v>2261</v>
      </c>
    </row>
    <row r="342" spans="1:6" ht="14.25" x14ac:dyDescent="0.45">
      <c r="A342" s="6" t="str">
        <f ca="1">IFERROR(__xludf.DUMMYFUNCTION("""COMPUTED_VALUE"""),"X1JJ8")</f>
        <v>X1JJ8</v>
      </c>
      <c r="B342" s="7" t="s">
        <v>1971</v>
      </c>
      <c r="C342" s="7" t="s">
        <v>1972</v>
      </c>
      <c r="D342" s="7" t="s">
        <v>1993</v>
      </c>
      <c r="E342" s="8">
        <v>30595</v>
      </c>
      <c r="F342" s="10" t="s">
        <v>2111</v>
      </c>
    </row>
    <row r="343" spans="1:6" ht="14.25" x14ac:dyDescent="0.45">
      <c r="A343" s="6" t="str">
        <f ca="1">IFERROR(__xludf.DUMMYFUNCTION("""COMPUTED_VALUE"""),"XZ37BGP")</f>
        <v>XZ37BGP</v>
      </c>
      <c r="B343" s="7" t="s">
        <v>1971</v>
      </c>
      <c r="C343" s="7" t="s">
        <v>1972</v>
      </c>
      <c r="D343" s="7" t="s">
        <v>1987</v>
      </c>
      <c r="E343" s="8">
        <v>30599</v>
      </c>
      <c r="F343" s="10" t="s">
        <v>2284</v>
      </c>
    </row>
    <row r="344" spans="1:6" ht="14.25" x14ac:dyDescent="0.45">
      <c r="A344" s="6" t="str">
        <f ca="1">IFERROR(__xludf.DUMMYFUNCTION("""COMPUTED_VALUE"""),"X2CNX")</f>
        <v>X2CNX</v>
      </c>
      <c r="B344" s="7" t="s">
        <v>1971</v>
      </c>
      <c r="C344" s="7" t="s">
        <v>1972</v>
      </c>
      <c r="D344" s="7" t="s">
        <v>1974</v>
      </c>
      <c r="E344" s="8">
        <v>30600</v>
      </c>
      <c r="F344" s="10" t="s">
        <v>2001</v>
      </c>
    </row>
    <row r="345" spans="1:6" ht="14.25" x14ac:dyDescent="0.45">
      <c r="A345" s="6" t="str">
        <f ca="1">IFERROR(__xludf.DUMMYFUNCTION("""COMPUTED_VALUE"""),"X1YJ1")</f>
        <v>X1YJ1</v>
      </c>
      <c r="B345" s="7" t="s">
        <v>1971</v>
      </c>
      <c r="C345" s="7" t="s">
        <v>1972</v>
      </c>
      <c r="D345" s="7" t="s">
        <v>2007</v>
      </c>
      <c r="E345" s="8">
        <v>30605</v>
      </c>
      <c r="F345" s="9">
        <v>43476</v>
      </c>
    </row>
    <row r="346" spans="1:6" ht="14.25" x14ac:dyDescent="0.45">
      <c r="A346" s="6" t="str">
        <f ca="1">IFERROR(__xludf.DUMMYFUNCTION("""COMPUTED_VALUE"""),"XC6ICAT")</f>
        <v>XC6ICAT</v>
      </c>
      <c r="B346" s="7" t="s">
        <v>1971</v>
      </c>
      <c r="C346" s="7" t="s">
        <v>1974</v>
      </c>
      <c r="D346" s="7" t="s">
        <v>1974</v>
      </c>
      <c r="E346" s="8">
        <v>30608</v>
      </c>
      <c r="F346" s="10" t="s">
        <v>2200</v>
      </c>
    </row>
    <row r="347" spans="1:6" ht="14.25" x14ac:dyDescent="0.45">
      <c r="A347" s="6" t="str">
        <f ca="1">IFERROR(__xludf.DUMMYFUNCTION("""COMPUTED_VALUE"""),"X29U5")</f>
        <v>X29U5</v>
      </c>
      <c r="B347" s="7" t="s">
        <v>2064</v>
      </c>
      <c r="C347" s="7" t="s">
        <v>1977</v>
      </c>
      <c r="D347" s="7" t="s">
        <v>1984</v>
      </c>
      <c r="E347" s="8">
        <v>30623</v>
      </c>
      <c r="F347" s="9">
        <v>44175</v>
      </c>
    </row>
    <row r="348" spans="1:6" ht="14.25" x14ac:dyDescent="0.45">
      <c r="A348" s="6" t="str">
        <f ca="1">IFERROR(__xludf.DUMMYFUNCTION("""COMPUTED_VALUE"""),"X2DHB")</f>
        <v>X2DHB</v>
      </c>
      <c r="B348" s="7" t="s">
        <v>1971</v>
      </c>
      <c r="C348" s="7" t="s">
        <v>1972</v>
      </c>
      <c r="D348" s="7" t="s">
        <v>2014</v>
      </c>
      <c r="E348" s="8">
        <v>30623</v>
      </c>
      <c r="F348" s="10" t="s">
        <v>2061</v>
      </c>
    </row>
    <row r="349" spans="1:6" ht="14.25" x14ac:dyDescent="0.45">
      <c r="A349" s="6" t="str">
        <f ca="1">IFERROR(__xludf.DUMMYFUNCTION("""COMPUTED_VALUE"""),"X2B4D")</f>
        <v>X2B4D</v>
      </c>
      <c r="B349" s="7" t="s">
        <v>1971</v>
      </c>
      <c r="C349" s="7" t="s">
        <v>1977</v>
      </c>
      <c r="D349" s="7" t="s">
        <v>1978</v>
      </c>
      <c r="E349" s="8">
        <v>30626</v>
      </c>
      <c r="F349" s="9">
        <v>44146</v>
      </c>
    </row>
    <row r="350" spans="1:6" ht="14.25" x14ac:dyDescent="0.45">
      <c r="A350" s="6" t="str">
        <f ca="1">IFERROR(__xludf.DUMMYFUNCTION("""COMPUTED_VALUE"""),"X2C13H")</f>
        <v>X2C13H</v>
      </c>
      <c r="B350" s="7" t="s">
        <v>1971</v>
      </c>
      <c r="C350" s="7" t="s">
        <v>1972</v>
      </c>
      <c r="D350" s="7" t="s">
        <v>1975</v>
      </c>
      <c r="E350" s="8">
        <v>30638</v>
      </c>
      <c r="F350" s="10" t="s">
        <v>2019</v>
      </c>
    </row>
    <row r="351" spans="1:6" ht="14.25" x14ac:dyDescent="0.45">
      <c r="A351" s="6" t="str">
        <f ca="1">IFERROR(__xludf.DUMMYFUNCTION("""COMPUTED_VALUE"""),"X20U7")</f>
        <v>X20U7</v>
      </c>
      <c r="B351" s="7" t="s">
        <v>1971</v>
      </c>
      <c r="C351" s="7" t="s">
        <v>1972</v>
      </c>
      <c r="D351" s="7" t="s">
        <v>2020</v>
      </c>
      <c r="E351" s="8">
        <v>30638</v>
      </c>
      <c r="F351" s="10" t="s">
        <v>2063</v>
      </c>
    </row>
    <row r="352" spans="1:6" ht="14.25" x14ac:dyDescent="0.45">
      <c r="A352" s="6" t="str">
        <f ca="1">IFERROR(__xludf.DUMMYFUNCTION("""COMPUTED_VALUE"""),"XYEAATK")</f>
        <v>XYEAATK</v>
      </c>
      <c r="B352" s="7" t="s">
        <v>1971</v>
      </c>
      <c r="C352" s="7" t="s">
        <v>1972</v>
      </c>
      <c r="D352" s="7" t="s">
        <v>1973</v>
      </c>
      <c r="E352" s="8">
        <v>30646</v>
      </c>
      <c r="F352" s="9">
        <v>44415</v>
      </c>
    </row>
    <row r="353" spans="1:6" ht="14.25" x14ac:dyDescent="0.45">
      <c r="A353" s="6" t="str">
        <f ca="1">IFERROR(__xludf.DUMMYFUNCTION("""COMPUTED_VALUE"""),"X1JO3")</f>
        <v>X1JO3</v>
      </c>
      <c r="B353" s="7" t="s">
        <v>1971</v>
      </c>
      <c r="C353" s="7" t="s">
        <v>1972</v>
      </c>
      <c r="D353" s="7" t="s">
        <v>2072</v>
      </c>
      <c r="E353" s="8">
        <v>30648</v>
      </c>
      <c r="F353" s="10" t="s">
        <v>1989</v>
      </c>
    </row>
    <row r="354" spans="1:6" ht="14.25" x14ac:dyDescent="0.45">
      <c r="A354" s="6" t="str">
        <f ca="1">IFERROR(__xludf.DUMMYFUNCTION("""COMPUTED_VALUE"""),"X1JPS")</f>
        <v>X1JPS</v>
      </c>
      <c r="B354" s="7" t="s">
        <v>1971</v>
      </c>
      <c r="C354" s="7" t="s">
        <v>1972</v>
      </c>
      <c r="D354" s="7" t="s">
        <v>2072</v>
      </c>
      <c r="E354" s="8">
        <v>30670</v>
      </c>
      <c r="F354" s="10" t="s">
        <v>2037</v>
      </c>
    </row>
    <row r="355" spans="1:6" ht="14.25" x14ac:dyDescent="0.45">
      <c r="A355" s="6" t="str">
        <f ca="1">IFERROR(__xludf.DUMMYFUNCTION("""COMPUTED_VALUE"""),"X3573")</f>
        <v>X3573</v>
      </c>
      <c r="B355" s="7" t="s">
        <v>1971</v>
      </c>
      <c r="C355" s="7" t="s">
        <v>1972</v>
      </c>
      <c r="D355" s="7" t="s">
        <v>2072</v>
      </c>
      <c r="E355" s="8">
        <v>30671</v>
      </c>
      <c r="F355" s="10" t="s">
        <v>2182</v>
      </c>
    </row>
    <row r="356" spans="1:6" ht="14.25" x14ac:dyDescent="0.45">
      <c r="A356" s="6" t="str">
        <f ca="1">IFERROR(__xludf.DUMMYFUNCTION("""COMPUTED_VALUE"""),"XDOR1EF")</f>
        <v>XDOR1EF</v>
      </c>
      <c r="B356" s="7" t="s">
        <v>1971</v>
      </c>
      <c r="C356" s="7" t="s">
        <v>1972</v>
      </c>
      <c r="D356" s="7" t="s">
        <v>1993</v>
      </c>
      <c r="E356" s="8">
        <v>30671</v>
      </c>
      <c r="F356" s="10" t="s">
        <v>2193</v>
      </c>
    </row>
    <row r="357" spans="1:6" ht="14.25" x14ac:dyDescent="0.45">
      <c r="A357" s="6" t="str">
        <f ca="1">IFERROR(__xludf.DUMMYFUNCTION("""COMPUTED_VALUE"""),"X2DYQ")</f>
        <v>X2DYQ</v>
      </c>
      <c r="B357" s="7" t="s">
        <v>1980</v>
      </c>
      <c r="C357" s="7" t="s">
        <v>1996</v>
      </c>
      <c r="D357" s="7" t="s">
        <v>1974</v>
      </c>
      <c r="E357" s="8">
        <v>30672</v>
      </c>
      <c r="F357" s="10" t="s">
        <v>2152</v>
      </c>
    </row>
    <row r="358" spans="1:6" ht="14.25" x14ac:dyDescent="0.45">
      <c r="A358" s="6" t="str">
        <f ca="1">IFERROR(__xludf.DUMMYFUNCTION("""COMPUTED_VALUE"""),"X49IBZD")</f>
        <v>X49IBZD</v>
      </c>
      <c r="B358" s="7" t="s">
        <v>1971</v>
      </c>
      <c r="C358" s="7" t="s">
        <v>1972</v>
      </c>
      <c r="D358" s="7" t="s">
        <v>1993</v>
      </c>
      <c r="E358" s="8">
        <v>30682</v>
      </c>
      <c r="F358" s="10" t="s">
        <v>2337</v>
      </c>
    </row>
    <row r="359" spans="1:6" ht="14.25" x14ac:dyDescent="0.45">
      <c r="A359" s="6" t="str">
        <f ca="1">IFERROR(__xludf.DUMMYFUNCTION("""COMPUTED_VALUE"""),"X1X81")</f>
        <v>X1X81</v>
      </c>
      <c r="B359" s="7" t="s">
        <v>1971</v>
      </c>
      <c r="C359" s="7" t="s">
        <v>1981</v>
      </c>
      <c r="D359" s="7" t="s">
        <v>1993</v>
      </c>
      <c r="E359" s="8">
        <v>30689</v>
      </c>
      <c r="F359" s="9">
        <v>43656</v>
      </c>
    </row>
    <row r="360" spans="1:6" ht="14.25" x14ac:dyDescent="0.45">
      <c r="A360" s="6" t="str">
        <f ca="1">IFERROR(__xludf.DUMMYFUNCTION("""COMPUTED_VALUE"""),"X52ANSN")</f>
        <v>X52ANSN</v>
      </c>
      <c r="B360" s="7" t="s">
        <v>1971</v>
      </c>
      <c r="C360" s="7" t="s">
        <v>1972</v>
      </c>
      <c r="D360" s="7" t="s">
        <v>1990</v>
      </c>
      <c r="E360" s="8">
        <v>30698</v>
      </c>
      <c r="F360" s="9">
        <v>44203</v>
      </c>
    </row>
    <row r="361" spans="1:6" ht="14.25" x14ac:dyDescent="0.45">
      <c r="A361" s="6" t="str">
        <f ca="1">IFERROR(__xludf.DUMMYFUNCTION("""COMPUTED_VALUE"""),"XSLZOMC")</f>
        <v>XSLZOMC</v>
      </c>
      <c r="B361" s="7" t="s">
        <v>1971</v>
      </c>
      <c r="C361" s="7" t="s">
        <v>1972</v>
      </c>
      <c r="D361" s="7" t="s">
        <v>1995</v>
      </c>
      <c r="E361" s="8">
        <v>30709</v>
      </c>
      <c r="F361" s="10" t="s">
        <v>2246</v>
      </c>
    </row>
    <row r="362" spans="1:6" ht="14.25" x14ac:dyDescent="0.45">
      <c r="A362" s="6" t="str">
        <f ca="1">IFERROR(__xludf.DUMMYFUNCTION("""COMPUTED_VALUE"""),"X1QTA")</f>
        <v>X1QTA</v>
      </c>
      <c r="B362" s="7" t="s">
        <v>1971</v>
      </c>
      <c r="C362" s="7" t="s">
        <v>1972</v>
      </c>
      <c r="D362" s="7" t="s">
        <v>1995</v>
      </c>
      <c r="E362" s="8">
        <v>30710</v>
      </c>
      <c r="F362" s="10" t="s">
        <v>2158</v>
      </c>
    </row>
    <row r="363" spans="1:6" ht="14.25" x14ac:dyDescent="0.45">
      <c r="A363" s="6" t="str">
        <f ca="1">IFERROR(__xludf.DUMMYFUNCTION("""COMPUTED_VALUE"""),"X20XI")</f>
        <v>X20XI</v>
      </c>
      <c r="B363" s="7" t="s">
        <v>1971</v>
      </c>
      <c r="C363" s="7" t="s">
        <v>1977</v>
      </c>
      <c r="D363" s="7" t="s">
        <v>1993</v>
      </c>
      <c r="E363" s="8">
        <v>30711</v>
      </c>
      <c r="F363" s="10" t="s">
        <v>2126</v>
      </c>
    </row>
    <row r="364" spans="1:6" ht="14.25" x14ac:dyDescent="0.45">
      <c r="A364" s="6" t="str">
        <f ca="1">IFERROR(__xludf.DUMMYFUNCTION("""COMPUTED_VALUE"""),"X2517")</f>
        <v>X2517</v>
      </c>
      <c r="B364" s="7" t="s">
        <v>1971</v>
      </c>
      <c r="C364" s="7" t="s">
        <v>1977</v>
      </c>
      <c r="D364" s="7" t="s">
        <v>1974</v>
      </c>
      <c r="E364" s="8">
        <v>30718</v>
      </c>
      <c r="F364" s="9">
        <v>42925</v>
      </c>
    </row>
    <row r="365" spans="1:6" ht="14.25" x14ac:dyDescent="0.45">
      <c r="A365" s="6" t="str">
        <f ca="1">IFERROR(__xludf.DUMMYFUNCTION("""COMPUTED_VALUE"""),"X2ARZ")</f>
        <v>X2ARZ</v>
      </c>
      <c r="B365" s="7" t="s">
        <v>1971</v>
      </c>
      <c r="C365" s="7" t="s">
        <v>1972</v>
      </c>
      <c r="D365" s="7" t="s">
        <v>1974</v>
      </c>
      <c r="E365" s="8">
        <v>30747</v>
      </c>
      <c r="F365" s="9">
        <v>43962</v>
      </c>
    </row>
    <row r="366" spans="1:6" ht="14.25" x14ac:dyDescent="0.45">
      <c r="A366" s="6" t="str">
        <f ca="1">IFERROR(__xludf.DUMMYFUNCTION("""COMPUTED_VALUE"""),"X2DE4")</f>
        <v>X2DE4</v>
      </c>
      <c r="B366" s="7" t="s">
        <v>1971</v>
      </c>
      <c r="C366" s="7" t="s">
        <v>1972</v>
      </c>
      <c r="D366" s="7" t="s">
        <v>1990</v>
      </c>
      <c r="E366" s="8">
        <v>30758</v>
      </c>
      <c r="F366" s="10" t="s">
        <v>2019</v>
      </c>
    </row>
    <row r="367" spans="1:6" ht="14.25" x14ac:dyDescent="0.45">
      <c r="A367" s="6" t="str">
        <f ca="1">IFERROR(__xludf.DUMMYFUNCTION("""COMPUTED_VALUE"""),"X1WRX")</f>
        <v>X1WRX</v>
      </c>
      <c r="B367" s="7" t="s">
        <v>1971</v>
      </c>
      <c r="C367" s="7" t="s">
        <v>1972</v>
      </c>
      <c r="D367" s="7" t="s">
        <v>1974</v>
      </c>
      <c r="E367" s="8">
        <v>30759</v>
      </c>
      <c r="F367" s="9">
        <v>43625</v>
      </c>
    </row>
    <row r="368" spans="1:6" ht="14.25" x14ac:dyDescent="0.45">
      <c r="A368" s="6" t="str">
        <f ca="1">IFERROR(__xludf.DUMMYFUNCTION("""COMPUTED_VALUE"""),"X2CHK")</f>
        <v>X2CHK</v>
      </c>
      <c r="B368" s="7" t="s">
        <v>1971</v>
      </c>
      <c r="C368" s="7" t="s">
        <v>1972</v>
      </c>
      <c r="D368" s="7" t="s">
        <v>1993</v>
      </c>
      <c r="E368" s="8">
        <v>30764</v>
      </c>
      <c r="F368" s="10" t="s">
        <v>2024</v>
      </c>
    </row>
    <row r="369" spans="1:6" ht="14.25" x14ac:dyDescent="0.45">
      <c r="A369" s="6" t="str">
        <f ca="1">IFERROR(__xludf.DUMMYFUNCTION("""COMPUTED_VALUE"""),"X1V19J")</f>
        <v>X1V19J</v>
      </c>
      <c r="B369" s="7" t="s">
        <v>1971</v>
      </c>
      <c r="C369" s="7" t="s">
        <v>1972</v>
      </c>
      <c r="D369" s="7" t="s">
        <v>1975</v>
      </c>
      <c r="E369" s="8">
        <v>30775</v>
      </c>
      <c r="F369" s="10" t="s">
        <v>2054</v>
      </c>
    </row>
    <row r="370" spans="1:6" ht="14.25" x14ac:dyDescent="0.45">
      <c r="A370" s="6" t="str">
        <f ca="1">IFERROR(__xludf.DUMMYFUNCTION("""COMPUTED_VALUE"""),"X1OEJ")</f>
        <v>X1OEJ</v>
      </c>
      <c r="B370" s="7" t="s">
        <v>1980</v>
      </c>
      <c r="C370" s="7" t="s">
        <v>1972</v>
      </c>
      <c r="D370" s="7" t="s">
        <v>1974</v>
      </c>
      <c r="E370" s="8">
        <v>30776</v>
      </c>
      <c r="F370" s="10" t="s">
        <v>2199</v>
      </c>
    </row>
    <row r="371" spans="1:6" ht="14.25" x14ac:dyDescent="0.45">
      <c r="A371" s="6" t="str">
        <f ca="1">IFERROR(__xludf.DUMMYFUNCTION("""COMPUTED_VALUE"""),"XIVY3B1")</f>
        <v>XIVY3B1</v>
      </c>
      <c r="B371" s="7" t="s">
        <v>1971</v>
      </c>
      <c r="C371" s="7" t="s">
        <v>1977</v>
      </c>
      <c r="D371" s="7" t="s">
        <v>1990</v>
      </c>
      <c r="E371" s="8">
        <v>30780</v>
      </c>
      <c r="F371" s="10" t="s">
        <v>2192</v>
      </c>
    </row>
    <row r="372" spans="1:6" ht="14.25" x14ac:dyDescent="0.45">
      <c r="A372" s="6" t="str">
        <f ca="1">IFERROR(__xludf.DUMMYFUNCTION("""COMPUTED_VALUE"""),"XBPLBQY")</f>
        <v>XBPLBQY</v>
      </c>
      <c r="B372" s="7" t="s">
        <v>1971</v>
      </c>
      <c r="C372" s="7" t="s">
        <v>1977</v>
      </c>
      <c r="D372" s="7" t="s">
        <v>1974</v>
      </c>
      <c r="E372" s="8">
        <v>30796</v>
      </c>
      <c r="F372" s="10" t="s">
        <v>2320</v>
      </c>
    </row>
    <row r="373" spans="1:6" ht="14.25" x14ac:dyDescent="0.45">
      <c r="A373" s="6" t="str">
        <f ca="1">IFERROR(__xludf.DUMMYFUNCTION("""COMPUTED_VALUE"""),"X2DS8")</f>
        <v>X2DS8</v>
      </c>
      <c r="B373" s="7" t="s">
        <v>1980</v>
      </c>
      <c r="C373" s="7" t="s">
        <v>1977</v>
      </c>
      <c r="D373" s="7" t="s">
        <v>1974</v>
      </c>
      <c r="E373" s="8">
        <v>30797</v>
      </c>
      <c r="F373" s="10" t="s">
        <v>2114</v>
      </c>
    </row>
    <row r="374" spans="1:6" ht="14.25" x14ac:dyDescent="0.45">
      <c r="A374" s="6" t="str">
        <f ca="1">IFERROR(__xludf.DUMMYFUNCTION("""COMPUTED_VALUE"""),"X21AU")</f>
        <v>X21AU</v>
      </c>
      <c r="B374" s="7" t="s">
        <v>1986</v>
      </c>
      <c r="C374" s="7" t="s">
        <v>1972</v>
      </c>
      <c r="D374" s="7" t="s">
        <v>1974</v>
      </c>
      <c r="E374" s="8">
        <v>30798</v>
      </c>
      <c r="F374" s="9">
        <v>44014</v>
      </c>
    </row>
    <row r="375" spans="1:6" ht="14.25" x14ac:dyDescent="0.45">
      <c r="A375" s="6" t="str">
        <f ca="1">IFERROR(__xludf.DUMMYFUNCTION("""COMPUTED_VALUE"""),"XKKGW1O")</f>
        <v>XKKGW1O</v>
      </c>
      <c r="B375" s="7" t="s">
        <v>1971</v>
      </c>
      <c r="C375" s="7" t="s">
        <v>1972</v>
      </c>
      <c r="D375" s="7" t="s">
        <v>1974</v>
      </c>
      <c r="E375" s="8">
        <v>30803</v>
      </c>
      <c r="F375" s="10" t="s">
        <v>2242</v>
      </c>
    </row>
    <row r="376" spans="1:6" ht="14.25" x14ac:dyDescent="0.45">
      <c r="A376" s="6" t="str">
        <f ca="1">IFERROR(__xludf.DUMMYFUNCTION("""COMPUTED_VALUE"""),"X1KH6")</f>
        <v>X1KH6</v>
      </c>
      <c r="B376" s="7" t="s">
        <v>1971</v>
      </c>
      <c r="C376" s="7" t="s">
        <v>1972</v>
      </c>
      <c r="D376" s="7" t="s">
        <v>1997</v>
      </c>
      <c r="E376" s="8">
        <v>30805</v>
      </c>
      <c r="F376" s="10" t="s">
        <v>2131</v>
      </c>
    </row>
    <row r="377" spans="1:6" ht="14.25" x14ac:dyDescent="0.45">
      <c r="A377" s="6" t="str">
        <f ca="1">IFERROR(__xludf.DUMMYFUNCTION("""COMPUTED_VALUE"""),"X9FU1IG")</f>
        <v>X9FU1IG</v>
      </c>
      <c r="B377" s="7" t="s">
        <v>1971</v>
      </c>
      <c r="C377" s="7" t="s">
        <v>1974</v>
      </c>
      <c r="D377" s="7" t="s">
        <v>1975</v>
      </c>
      <c r="E377" s="8">
        <v>30807</v>
      </c>
      <c r="F377" s="10" t="s">
        <v>2245</v>
      </c>
    </row>
    <row r="378" spans="1:6" ht="14.25" x14ac:dyDescent="0.45">
      <c r="A378" s="6" t="str">
        <f ca="1">IFERROR(__xludf.DUMMYFUNCTION("""COMPUTED_VALUE"""),"X1979")</f>
        <v>X1979</v>
      </c>
      <c r="B378" s="7" t="s">
        <v>1971</v>
      </c>
      <c r="C378" s="7" t="s">
        <v>1972</v>
      </c>
      <c r="D378" s="7" t="s">
        <v>1993</v>
      </c>
      <c r="E378" s="8">
        <v>30809</v>
      </c>
      <c r="F378" s="9">
        <v>42771</v>
      </c>
    </row>
    <row r="379" spans="1:6" ht="14.25" x14ac:dyDescent="0.45">
      <c r="A379" s="6" t="str">
        <f ca="1">IFERROR(__xludf.DUMMYFUNCTION("""COMPUTED_VALUE"""),"X2B8I")</f>
        <v>X2B8I</v>
      </c>
      <c r="B379" s="7" t="s">
        <v>1971</v>
      </c>
      <c r="C379" s="7" t="s">
        <v>1977</v>
      </c>
      <c r="D379" s="7" t="s">
        <v>1974</v>
      </c>
      <c r="E379" s="8">
        <v>30812</v>
      </c>
      <c r="F379" s="10" t="s">
        <v>2029</v>
      </c>
    </row>
    <row r="380" spans="1:6" ht="14.25" x14ac:dyDescent="0.45">
      <c r="A380" s="6" t="str">
        <f ca="1">IFERROR(__xludf.DUMMYFUNCTION("""COMPUTED_VALUE"""),"XS34NW4")</f>
        <v>XS34NW4</v>
      </c>
      <c r="B380" s="7" t="s">
        <v>1971</v>
      </c>
      <c r="C380" s="7" t="s">
        <v>1981</v>
      </c>
      <c r="D380" s="7" t="s">
        <v>1990</v>
      </c>
      <c r="E380" s="8">
        <v>30827</v>
      </c>
      <c r="F380" s="10" t="s">
        <v>2300</v>
      </c>
    </row>
    <row r="381" spans="1:6" ht="14.25" x14ac:dyDescent="0.45">
      <c r="A381" s="6" t="str">
        <f ca="1">IFERROR(__xludf.DUMMYFUNCTION("""COMPUTED_VALUE"""),"X2A17D")</f>
        <v>X2A17D</v>
      </c>
      <c r="B381" s="7" t="s">
        <v>1980</v>
      </c>
      <c r="C381" s="7" t="s">
        <v>1972</v>
      </c>
      <c r="D381" s="7" t="s">
        <v>1975</v>
      </c>
      <c r="E381" s="8">
        <v>30832</v>
      </c>
      <c r="F381" s="10" t="s">
        <v>2071</v>
      </c>
    </row>
    <row r="382" spans="1:6" ht="14.25" x14ac:dyDescent="0.45">
      <c r="A382" s="6" t="str">
        <f ca="1">IFERROR(__xludf.DUMMYFUNCTION("""COMPUTED_VALUE"""),"XJLVKVT")</f>
        <v>XJLVKVT</v>
      </c>
      <c r="B382" s="7" t="s">
        <v>1971</v>
      </c>
      <c r="C382" s="7" t="s">
        <v>1972</v>
      </c>
      <c r="D382" s="7" t="s">
        <v>2007</v>
      </c>
      <c r="E382" s="8">
        <v>30832</v>
      </c>
      <c r="F382" s="9">
        <v>44411</v>
      </c>
    </row>
    <row r="383" spans="1:6" ht="14.25" x14ac:dyDescent="0.45">
      <c r="A383" s="6" t="str">
        <f ca="1">IFERROR(__xludf.DUMMYFUNCTION("""COMPUTED_VALUE"""),"X1X10Z")</f>
        <v>X1X10Z</v>
      </c>
      <c r="B383" s="7" t="s">
        <v>1971</v>
      </c>
      <c r="C383" s="7" t="s">
        <v>1972</v>
      </c>
      <c r="D383" s="7" t="s">
        <v>1973</v>
      </c>
      <c r="E383" s="8">
        <v>30837</v>
      </c>
      <c r="F383" s="10" t="s">
        <v>2043</v>
      </c>
    </row>
    <row r="384" spans="1:6" ht="14.25" x14ac:dyDescent="0.45">
      <c r="A384" s="6" t="str">
        <f ca="1">IFERROR(__xludf.DUMMYFUNCTION("""COMPUTED_VALUE"""),"X2271")</f>
        <v>X2271</v>
      </c>
      <c r="B384" s="7" t="s">
        <v>1971</v>
      </c>
      <c r="C384" s="7" t="s">
        <v>1977</v>
      </c>
      <c r="D384" s="10">
        <v>0</v>
      </c>
      <c r="E384" s="8">
        <v>30841</v>
      </c>
      <c r="F384" s="9">
        <v>43046</v>
      </c>
    </row>
    <row r="385" spans="1:6" ht="14.25" x14ac:dyDescent="0.45">
      <c r="A385" s="6" t="str">
        <f ca="1">IFERROR(__xludf.DUMMYFUNCTION("""COMPUTED_VALUE"""),"X1R3Y")</f>
        <v>X1R3Y</v>
      </c>
      <c r="B385" s="7" t="s">
        <v>1971</v>
      </c>
      <c r="C385" s="7" t="s">
        <v>1972</v>
      </c>
      <c r="D385" s="7" t="s">
        <v>1993</v>
      </c>
      <c r="E385" s="8">
        <v>30845</v>
      </c>
      <c r="F385" s="9">
        <v>43528</v>
      </c>
    </row>
    <row r="386" spans="1:6" ht="14.25" x14ac:dyDescent="0.45">
      <c r="A386" s="6" t="str">
        <f ca="1">IFERROR(__xludf.DUMMYFUNCTION("""COMPUTED_VALUE"""),"XTAXH2K")</f>
        <v>XTAXH2K</v>
      </c>
      <c r="B386" s="7" t="s">
        <v>1971</v>
      </c>
      <c r="C386" s="7" t="s">
        <v>1974</v>
      </c>
      <c r="D386" s="7" t="s">
        <v>1974</v>
      </c>
      <c r="E386" s="8">
        <v>30850</v>
      </c>
      <c r="F386" s="10" t="s">
        <v>2261</v>
      </c>
    </row>
    <row r="387" spans="1:6" ht="14.25" x14ac:dyDescent="0.45">
      <c r="A387" s="6" t="str">
        <f ca="1">IFERROR(__xludf.DUMMYFUNCTION("""COMPUTED_VALUE"""),"X3201")</f>
        <v>X3201</v>
      </c>
      <c r="B387" s="7" t="s">
        <v>1980</v>
      </c>
      <c r="C387" s="7" t="s">
        <v>1972</v>
      </c>
      <c r="D387" s="7" t="s">
        <v>1993</v>
      </c>
      <c r="E387" s="8">
        <v>30851</v>
      </c>
      <c r="F387" s="9">
        <v>43227</v>
      </c>
    </row>
    <row r="388" spans="1:6" ht="14.25" x14ac:dyDescent="0.45">
      <c r="A388" s="6" t="str">
        <f ca="1">IFERROR(__xludf.DUMMYFUNCTION("""COMPUTED_VALUE"""),"X1LH5")</f>
        <v>X1LH5</v>
      </c>
      <c r="B388" s="7" t="s">
        <v>1971</v>
      </c>
      <c r="C388" s="7" t="s">
        <v>1977</v>
      </c>
      <c r="D388" s="7" t="s">
        <v>2020</v>
      </c>
      <c r="E388" s="8">
        <v>30874</v>
      </c>
      <c r="F388" s="10" t="s">
        <v>2129</v>
      </c>
    </row>
    <row r="389" spans="1:6" ht="14.25" x14ac:dyDescent="0.45">
      <c r="A389" s="6" t="str">
        <f ca="1">IFERROR(__xludf.DUMMYFUNCTION("""COMPUTED_VALUE"""),"XUJSRP2")</f>
        <v>XUJSRP2</v>
      </c>
      <c r="B389" s="7" t="s">
        <v>1971</v>
      </c>
      <c r="C389" s="7" t="s">
        <v>1974</v>
      </c>
      <c r="D389" s="7" t="s">
        <v>1974</v>
      </c>
      <c r="E389" s="8">
        <v>30879</v>
      </c>
      <c r="F389" s="10" t="s">
        <v>2289</v>
      </c>
    </row>
    <row r="390" spans="1:6" ht="14.25" x14ac:dyDescent="0.45">
      <c r="A390" s="6" t="str">
        <f ca="1">IFERROR(__xludf.DUMMYFUNCTION("""COMPUTED_VALUE"""),"X2CVL")</f>
        <v>X2CVL</v>
      </c>
      <c r="B390" s="7" t="s">
        <v>1971</v>
      </c>
      <c r="C390" s="7" t="s">
        <v>1972</v>
      </c>
      <c r="D390" s="7" t="s">
        <v>1987</v>
      </c>
      <c r="E390" s="8">
        <v>30892</v>
      </c>
      <c r="F390" s="9">
        <v>44287</v>
      </c>
    </row>
    <row r="391" spans="1:6" ht="14.25" x14ac:dyDescent="0.45">
      <c r="A391" s="6" t="str">
        <f ca="1">IFERROR(__xludf.DUMMYFUNCTION("""COMPUTED_VALUE"""),"X4VL3AY")</f>
        <v>X4VL3AY</v>
      </c>
      <c r="B391" s="7" t="s">
        <v>1971</v>
      </c>
      <c r="C391" s="7" t="s">
        <v>1972</v>
      </c>
      <c r="D391" s="7" t="s">
        <v>2020</v>
      </c>
      <c r="E391" s="8">
        <v>30897</v>
      </c>
      <c r="F391" s="9">
        <v>44235</v>
      </c>
    </row>
    <row r="392" spans="1:6" ht="14.25" x14ac:dyDescent="0.45">
      <c r="A392" s="6" t="str">
        <f ca="1">IFERROR(__xludf.DUMMYFUNCTION("""COMPUTED_VALUE"""),"XPTWTZN")</f>
        <v>XPTWTZN</v>
      </c>
      <c r="B392" s="7" t="s">
        <v>1971</v>
      </c>
      <c r="C392" s="7" t="s">
        <v>1972</v>
      </c>
      <c r="D392" s="7" t="s">
        <v>1990</v>
      </c>
      <c r="E392" s="8">
        <v>30909</v>
      </c>
      <c r="F392" s="9">
        <v>44236</v>
      </c>
    </row>
    <row r="393" spans="1:6" ht="14.25" x14ac:dyDescent="0.45">
      <c r="A393" s="6" t="str">
        <f ca="1">IFERROR(__xludf.DUMMYFUNCTION("""COMPUTED_VALUE"""),"XBQ4K1T")</f>
        <v>XBQ4K1T</v>
      </c>
      <c r="B393" s="7" t="s">
        <v>1971</v>
      </c>
      <c r="C393" s="7" t="s">
        <v>1972</v>
      </c>
      <c r="D393" s="7" t="s">
        <v>1974</v>
      </c>
      <c r="E393" s="8">
        <v>30922</v>
      </c>
      <c r="F393" s="10" t="s">
        <v>2216</v>
      </c>
    </row>
    <row r="394" spans="1:6" ht="14.25" x14ac:dyDescent="0.45">
      <c r="A394" s="6" t="str">
        <f ca="1">IFERROR(__xludf.DUMMYFUNCTION("""COMPUTED_VALUE"""),"X2CGB")</f>
        <v>X2CGB</v>
      </c>
      <c r="B394" s="7" t="s">
        <v>1980</v>
      </c>
      <c r="C394" s="7" t="s">
        <v>1972</v>
      </c>
      <c r="D394" s="7" t="s">
        <v>1973</v>
      </c>
      <c r="E394" s="8">
        <v>30924</v>
      </c>
      <c r="F394" s="10" t="s">
        <v>2032</v>
      </c>
    </row>
    <row r="395" spans="1:6" ht="14.25" x14ac:dyDescent="0.45">
      <c r="A395" s="6" t="str">
        <f ca="1">IFERROR(__xludf.DUMMYFUNCTION("""COMPUTED_VALUE"""),"X1JNV")</f>
        <v>X1JNV</v>
      </c>
      <c r="B395" s="7" t="s">
        <v>1971</v>
      </c>
      <c r="C395" s="7" t="s">
        <v>1972</v>
      </c>
      <c r="D395" s="7" t="s">
        <v>1978</v>
      </c>
      <c r="E395" s="8">
        <v>30934</v>
      </c>
      <c r="F395" s="10" t="s">
        <v>1989</v>
      </c>
    </row>
    <row r="396" spans="1:6" ht="14.25" x14ac:dyDescent="0.45">
      <c r="A396" s="6" t="str">
        <f ca="1">IFERROR(__xludf.DUMMYFUNCTION("""COMPUTED_VALUE"""),"X2E70")</f>
        <v>X2E70</v>
      </c>
      <c r="B396" s="7" t="s">
        <v>1971</v>
      </c>
      <c r="C396" s="7" t="s">
        <v>1972</v>
      </c>
      <c r="D396" s="7" t="s">
        <v>1993</v>
      </c>
      <c r="E396" s="8">
        <v>30936</v>
      </c>
      <c r="F396" s="10" t="s">
        <v>2196</v>
      </c>
    </row>
    <row r="397" spans="1:6" ht="14.25" x14ac:dyDescent="0.45">
      <c r="A397" s="6" t="str">
        <f ca="1">IFERROR(__xludf.DUMMYFUNCTION("""COMPUTED_VALUE"""),"X1357")</f>
        <v>X1357</v>
      </c>
      <c r="B397" s="7" t="s">
        <v>1971</v>
      </c>
      <c r="C397" s="7" t="s">
        <v>1972</v>
      </c>
      <c r="D397" s="7" t="s">
        <v>1975</v>
      </c>
      <c r="E397" s="8">
        <v>30941</v>
      </c>
      <c r="F397" s="10" t="s">
        <v>2176</v>
      </c>
    </row>
    <row r="398" spans="1:6" ht="14.25" x14ac:dyDescent="0.45">
      <c r="A398" s="6" t="str">
        <f ca="1">IFERROR(__xludf.DUMMYFUNCTION("""COMPUTED_VALUE"""),"XZAKCTT")</f>
        <v>XZAKCTT</v>
      </c>
      <c r="B398" s="7" t="s">
        <v>1971</v>
      </c>
      <c r="C398" s="7" t="s">
        <v>1974</v>
      </c>
      <c r="D398" s="7" t="s">
        <v>1974</v>
      </c>
      <c r="E398" s="8">
        <v>30951</v>
      </c>
      <c r="F398" s="10" t="s">
        <v>2217</v>
      </c>
    </row>
    <row r="399" spans="1:6" ht="14.25" x14ac:dyDescent="0.45">
      <c r="A399" s="6" t="str">
        <f ca="1">IFERROR(__xludf.DUMMYFUNCTION("""COMPUTED_VALUE"""),"XU4XUSN")</f>
        <v>XU4XUSN</v>
      </c>
      <c r="B399" s="7" t="s">
        <v>1971</v>
      </c>
      <c r="C399" s="7" t="s">
        <v>1972</v>
      </c>
      <c r="D399" s="7" t="s">
        <v>1975</v>
      </c>
      <c r="E399" s="8">
        <v>30952</v>
      </c>
      <c r="F399" s="10" t="s">
        <v>2218</v>
      </c>
    </row>
    <row r="400" spans="1:6" ht="14.25" x14ac:dyDescent="0.45">
      <c r="A400" s="6" t="str">
        <f ca="1">IFERROR(__xludf.DUMMYFUNCTION("""COMPUTED_VALUE"""),"X2CY2")</f>
        <v>X2CY2</v>
      </c>
      <c r="B400" s="7" t="s">
        <v>1971</v>
      </c>
      <c r="C400" s="7" t="s">
        <v>1981</v>
      </c>
      <c r="D400" s="7" t="s">
        <v>1974</v>
      </c>
      <c r="E400" s="8">
        <v>30955</v>
      </c>
      <c r="F400" s="9">
        <v>44287</v>
      </c>
    </row>
    <row r="401" spans="1:6" ht="14.25" x14ac:dyDescent="0.45">
      <c r="A401" s="6" t="str">
        <f ca="1">IFERROR(__xludf.DUMMYFUNCTION("""COMPUTED_VALUE"""),"X22PF")</f>
        <v>X22PF</v>
      </c>
      <c r="B401" s="7" t="s">
        <v>1971</v>
      </c>
      <c r="C401" s="7" t="s">
        <v>1974</v>
      </c>
      <c r="D401" s="7" t="s">
        <v>1990</v>
      </c>
      <c r="E401" s="8">
        <v>30962</v>
      </c>
      <c r="F401" s="10" t="s">
        <v>2161</v>
      </c>
    </row>
    <row r="402" spans="1:6" ht="14.25" x14ac:dyDescent="0.45">
      <c r="A402" s="6" t="str">
        <f ca="1">IFERROR(__xludf.DUMMYFUNCTION("""COMPUTED_VALUE"""),"XWPYRW5")</f>
        <v>XWPYRW5</v>
      </c>
      <c r="B402" s="7" t="s">
        <v>1971</v>
      </c>
      <c r="C402" s="7" t="s">
        <v>1972</v>
      </c>
      <c r="D402" s="7" t="s">
        <v>1993</v>
      </c>
      <c r="E402" s="8">
        <v>30963</v>
      </c>
      <c r="F402" s="10" t="s">
        <v>2261</v>
      </c>
    </row>
    <row r="403" spans="1:6" ht="14.25" x14ac:dyDescent="0.45">
      <c r="A403" s="6" t="str">
        <f ca="1">IFERROR(__xludf.DUMMYFUNCTION("""COMPUTED_VALUE"""),"XWFSP14")</f>
        <v>XWFSP14</v>
      </c>
      <c r="B403" s="7" t="s">
        <v>1971</v>
      </c>
      <c r="C403" s="7" t="s">
        <v>1972</v>
      </c>
      <c r="D403" s="7" t="s">
        <v>1978</v>
      </c>
      <c r="E403" s="8">
        <v>30965</v>
      </c>
      <c r="F403" s="10" t="s">
        <v>2300</v>
      </c>
    </row>
    <row r="404" spans="1:6" ht="14.25" x14ac:dyDescent="0.45">
      <c r="A404" s="6" t="str">
        <f ca="1">IFERROR(__xludf.DUMMYFUNCTION("""COMPUTED_VALUE"""),"X2BZB")</f>
        <v>X2BZB</v>
      </c>
      <c r="B404" s="7" t="s">
        <v>1971</v>
      </c>
      <c r="C404" s="7" t="s">
        <v>1977</v>
      </c>
      <c r="D404" s="7" t="s">
        <v>1993</v>
      </c>
      <c r="E404" s="8">
        <v>30983</v>
      </c>
      <c r="F404" s="9">
        <v>44086</v>
      </c>
    </row>
    <row r="405" spans="1:6" ht="14.25" x14ac:dyDescent="0.45">
      <c r="A405" s="6" t="str">
        <f ca="1">IFERROR(__xludf.DUMMYFUNCTION("""COMPUTED_VALUE"""),"X3007")</f>
        <v>X3007</v>
      </c>
      <c r="B405" s="7" t="s">
        <v>1971</v>
      </c>
      <c r="C405" s="7" t="s">
        <v>1972</v>
      </c>
      <c r="D405" s="7" t="s">
        <v>1993</v>
      </c>
      <c r="E405" s="8">
        <v>30998</v>
      </c>
      <c r="F405" s="10" t="s">
        <v>2101</v>
      </c>
    </row>
    <row r="406" spans="1:6" ht="14.25" x14ac:dyDescent="0.45">
      <c r="A406" s="6" t="str">
        <f ca="1">IFERROR(__xludf.DUMMYFUNCTION("""COMPUTED_VALUE"""),"X2089")</f>
        <v>X2089</v>
      </c>
      <c r="B406" s="7" t="s">
        <v>1971</v>
      </c>
      <c r="C406" s="7" t="s">
        <v>1972</v>
      </c>
      <c r="D406" s="7" t="s">
        <v>1975</v>
      </c>
      <c r="E406" s="8">
        <v>31002</v>
      </c>
      <c r="F406" s="10" t="s">
        <v>2146</v>
      </c>
    </row>
    <row r="407" spans="1:6" ht="14.25" x14ac:dyDescent="0.45">
      <c r="A407" s="6" t="str">
        <f ca="1">IFERROR(__xludf.DUMMYFUNCTION("""COMPUTED_VALUE"""),"X56P374")</f>
        <v>X56P374</v>
      </c>
      <c r="B407" s="7" t="s">
        <v>1971</v>
      </c>
      <c r="C407" s="7" t="s">
        <v>1972</v>
      </c>
      <c r="D407" s="7" t="s">
        <v>1990</v>
      </c>
      <c r="E407" s="8">
        <v>31002</v>
      </c>
      <c r="F407" s="10" t="s">
        <v>2261</v>
      </c>
    </row>
    <row r="408" spans="1:6" ht="14.25" x14ac:dyDescent="0.45">
      <c r="A408" s="6" t="str">
        <f ca="1">IFERROR(__xludf.DUMMYFUNCTION("""COMPUTED_VALUE"""),"X9GO2O2")</f>
        <v>X9GO2O2</v>
      </c>
      <c r="B408" s="7" t="s">
        <v>1971</v>
      </c>
      <c r="C408" s="7" t="s">
        <v>1977</v>
      </c>
      <c r="D408" s="7" t="s">
        <v>2020</v>
      </c>
      <c r="E408" s="8">
        <v>31036</v>
      </c>
      <c r="F408" s="10" t="s">
        <v>2284</v>
      </c>
    </row>
    <row r="409" spans="1:6" ht="14.25" x14ac:dyDescent="0.45">
      <c r="A409" s="6" t="str">
        <f ca="1">IFERROR(__xludf.DUMMYFUNCTION("""COMPUTED_VALUE"""),"X3724")</f>
        <v>X3724</v>
      </c>
      <c r="B409" s="7" t="s">
        <v>1980</v>
      </c>
      <c r="C409" s="7" t="s">
        <v>1981</v>
      </c>
      <c r="D409" s="7" t="s">
        <v>2020</v>
      </c>
      <c r="E409" s="8">
        <v>31040</v>
      </c>
      <c r="F409" s="10" t="s">
        <v>2185</v>
      </c>
    </row>
    <row r="410" spans="1:6" ht="14.25" x14ac:dyDescent="0.45">
      <c r="A410" s="6" t="str">
        <f ca="1">IFERROR(__xludf.DUMMYFUNCTION("""COMPUTED_VALUE"""),"X2015W")</f>
        <v>X2015W</v>
      </c>
      <c r="B410" s="7" t="s">
        <v>1971</v>
      </c>
      <c r="C410" s="7" t="s">
        <v>1972</v>
      </c>
      <c r="D410" s="7" t="s">
        <v>1990</v>
      </c>
      <c r="E410" s="8">
        <v>31047</v>
      </c>
      <c r="F410" s="10" t="s">
        <v>2106</v>
      </c>
    </row>
    <row r="411" spans="1:6" ht="14.25" x14ac:dyDescent="0.45">
      <c r="A411" s="6" t="str">
        <f ca="1">IFERROR(__xludf.DUMMYFUNCTION("""COMPUTED_VALUE"""),"X1ST2")</f>
        <v>X1ST2</v>
      </c>
      <c r="B411" s="7" t="s">
        <v>1971</v>
      </c>
      <c r="C411" s="7" t="s">
        <v>1981</v>
      </c>
      <c r="D411" s="7" t="s">
        <v>1975</v>
      </c>
      <c r="E411" s="8">
        <v>31049</v>
      </c>
      <c r="F411" s="10" t="s">
        <v>1998</v>
      </c>
    </row>
    <row r="412" spans="1:6" ht="14.25" x14ac:dyDescent="0.45">
      <c r="A412" s="6" t="str">
        <f ca="1">IFERROR(__xludf.DUMMYFUNCTION("""COMPUTED_VALUE"""),"XFG12H8")</f>
        <v>XFG12H8</v>
      </c>
      <c r="B412" s="7" t="s">
        <v>1971</v>
      </c>
      <c r="C412" s="7" t="s">
        <v>1974</v>
      </c>
      <c r="D412" s="7" t="s">
        <v>1993</v>
      </c>
      <c r="E412" s="8">
        <v>31068</v>
      </c>
      <c r="F412" s="9">
        <v>44533</v>
      </c>
    </row>
    <row r="413" spans="1:6" ht="14.25" x14ac:dyDescent="0.45">
      <c r="A413" s="6" t="str">
        <f ca="1">IFERROR(__xludf.DUMMYFUNCTION("""COMPUTED_VALUE"""),"X1YHB")</f>
        <v>X1YHB</v>
      </c>
      <c r="B413" s="7" t="s">
        <v>1986</v>
      </c>
      <c r="C413" s="7" t="s">
        <v>1996</v>
      </c>
      <c r="D413" s="7" t="s">
        <v>2020</v>
      </c>
      <c r="E413" s="8">
        <v>31091</v>
      </c>
      <c r="F413" s="9">
        <v>43780</v>
      </c>
    </row>
    <row r="414" spans="1:6" ht="14.25" x14ac:dyDescent="0.45">
      <c r="A414" s="6" t="str">
        <f ca="1">IFERROR(__xludf.DUMMYFUNCTION("""COMPUTED_VALUE"""),"XHZ9V5B")</f>
        <v>XHZ9V5B</v>
      </c>
      <c r="B414" s="7" t="s">
        <v>1971</v>
      </c>
      <c r="C414" s="7" t="s">
        <v>1972</v>
      </c>
      <c r="D414" s="7" t="s">
        <v>1997</v>
      </c>
      <c r="E414" s="8">
        <v>31105</v>
      </c>
      <c r="F414" s="9">
        <v>44538</v>
      </c>
    </row>
    <row r="415" spans="1:6" ht="14.25" x14ac:dyDescent="0.45">
      <c r="A415" s="6" t="str">
        <f ca="1">IFERROR(__xludf.DUMMYFUNCTION("""COMPUTED_VALUE"""),"X1WR3")</f>
        <v>X1WR3</v>
      </c>
      <c r="B415" s="7" t="s">
        <v>1971</v>
      </c>
      <c r="C415" s="7" t="s">
        <v>1972</v>
      </c>
      <c r="D415" s="7" t="s">
        <v>1973</v>
      </c>
      <c r="E415" s="8">
        <v>31107</v>
      </c>
      <c r="F415" s="9">
        <v>43625</v>
      </c>
    </row>
    <row r="416" spans="1:6" ht="14.25" x14ac:dyDescent="0.45">
      <c r="A416" s="6" t="str">
        <f ca="1">IFERROR(__xludf.DUMMYFUNCTION("""COMPUTED_VALUE"""),"X2DDW")</f>
        <v>X2DDW</v>
      </c>
      <c r="B416" s="7" t="s">
        <v>1971</v>
      </c>
      <c r="C416" s="7" t="s">
        <v>1974</v>
      </c>
      <c r="D416" s="7" t="s">
        <v>2091</v>
      </c>
      <c r="E416" s="8">
        <v>31110</v>
      </c>
      <c r="F416" s="9">
        <v>44501</v>
      </c>
    </row>
    <row r="417" spans="1:6" ht="14.25" x14ac:dyDescent="0.45">
      <c r="A417" s="6" t="str">
        <f ca="1">IFERROR(__xludf.DUMMYFUNCTION("""COMPUTED_VALUE"""),"XU65Q33")</f>
        <v>XU65Q33</v>
      </c>
      <c r="B417" s="7" t="s">
        <v>1971</v>
      </c>
      <c r="C417" s="7" t="s">
        <v>1972</v>
      </c>
      <c r="D417" s="7" t="s">
        <v>1993</v>
      </c>
      <c r="E417" s="8">
        <v>31117</v>
      </c>
      <c r="F417" s="10" t="s">
        <v>2261</v>
      </c>
    </row>
    <row r="418" spans="1:6" ht="14.25" x14ac:dyDescent="0.45">
      <c r="A418" s="6" t="str">
        <f ca="1">IFERROR(__xludf.DUMMYFUNCTION("""COMPUTED_VALUE"""),"X1X80")</f>
        <v>X1X80</v>
      </c>
      <c r="B418" s="7" t="s">
        <v>1971</v>
      </c>
      <c r="C418" s="7" t="s">
        <v>1972</v>
      </c>
      <c r="D418" s="7" t="s">
        <v>1974</v>
      </c>
      <c r="E418" s="8">
        <v>31118</v>
      </c>
      <c r="F418" s="9">
        <v>43656</v>
      </c>
    </row>
    <row r="419" spans="1:6" ht="14.25" x14ac:dyDescent="0.45">
      <c r="A419" s="6" t="str">
        <f ca="1">IFERROR(__xludf.DUMMYFUNCTION("""COMPUTED_VALUE"""),"XZDQMCL")</f>
        <v>XZDQMCL</v>
      </c>
      <c r="B419" s="7" t="s">
        <v>1971</v>
      </c>
      <c r="C419" s="7" t="s">
        <v>1977</v>
      </c>
      <c r="D419" s="7" t="s">
        <v>1993</v>
      </c>
      <c r="E419" s="8">
        <v>31123</v>
      </c>
      <c r="F419" s="9">
        <v>44445</v>
      </c>
    </row>
    <row r="420" spans="1:6" ht="14.25" x14ac:dyDescent="0.45">
      <c r="A420" s="6" t="str">
        <f ca="1">IFERROR(__xludf.DUMMYFUNCTION("""COMPUTED_VALUE"""),"XSIPI9V")</f>
        <v>XSIPI9V</v>
      </c>
      <c r="B420" s="7" t="s">
        <v>1971</v>
      </c>
      <c r="C420" s="7" t="s">
        <v>1972</v>
      </c>
      <c r="D420" s="7" t="s">
        <v>1975</v>
      </c>
      <c r="E420" s="8">
        <v>31123</v>
      </c>
      <c r="F420" s="10" t="s">
        <v>2287</v>
      </c>
    </row>
    <row r="421" spans="1:6" ht="14.25" x14ac:dyDescent="0.45">
      <c r="A421" s="6" t="str">
        <f ca="1">IFERROR(__xludf.DUMMYFUNCTION("""COMPUTED_VALUE"""),"XSQUEEV")</f>
        <v>XSQUEEV</v>
      </c>
      <c r="B421" s="7" t="s">
        <v>1971</v>
      </c>
      <c r="C421" s="7" t="s">
        <v>1972</v>
      </c>
      <c r="D421" s="7" t="s">
        <v>1993</v>
      </c>
      <c r="E421" s="8">
        <v>31130</v>
      </c>
      <c r="F421" s="10" t="s">
        <v>2242</v>
      </c>
    </row>
    <row r="422" spans="1:6" ht="14.25" x14ac:dyDescent="0.45">
      <c r="A422" s="6" t="str">
        <f ca="1">IFERROR(__xludf.DUMMYFUNCTION("""COMPUTED_VALUE"""),"XN92R2J")</f>
        <v>XN92R2J</v>
      </c>
      <c r="B422" s="7" t="s">
        <v>1971</v>
      </c>
      <c r="C422" s="7" t="s">
        <v>1972</v>
      </c>
      <c r="D422" s="7" t="s">
        <v>1997</v>
      </c>
      <c r="E422" s="8">
        <v>31136</v>
      </c>
      <c r="F422" s="10" t="s">
        <v>2291</v>
      </c>
    </row>
    <row r="423" spans="1:6" ht="14.25" x14ac:dyDescent="0.45">
      <c r="A423" s="6" t="str">
        <f ca="1">IFERROR(__xludf.DUMMYFUNCTION("""COMPUTED_VALUE"""),"X1WUC")</f>
        <v>X1WUC</v>
      </c>
      <c r="B423" s="7" t="s">
        <v>1971</v>
      </c>
      <c r="C423" s="7" t="s">
        <v>1972</v>
      </c>
      <c r="D423" s="7" t="s">
        <v>1978</v>
      </c>
      <c r="E423" s="8">
        <v>31143</v>
      </c>
      <c r="F423" s="9">
        <v>43625</v>
      </c>
    </row>
    <row r="424" spans="1:6" ht="14.25" x14ac:dyDescent="0.45">
      <c r="A424" s="6" t="str">
        <f ca="1">IFERROR(__xludf.DUMMYFUNCTION("""COMPUTED_VALUE"""),"XNW7MKO")</f>
        <v>XNW7MKO</v>
      </c>
      <c r="B424" s="7" t="s">
        <v>1971</v>
      </c>
      <c r="C424" s="7" t="s">
        <v>1972</v>
      </c>
      <c r="D424" s="7" t="s">
        <v>1990</v>
      </c>
      <c r="E424" s="8">
        <v>31159</v>
      </c>
      <c r="F424" s="10" t="s">
        <v>2287</v>
      </c>
    </row>
    <row r="425" spans="1:6" ht="14.25" x14ac:dyDescent="0.45">
      <c r="A425" s="6" t="str">
        <f ca="1">IFERROR(__xludf.DUMMYFUNCTION("""COMPUTED_VALUE"""),"X26G7")</f>
        <v>X26G7</v>
      </c>
      <c r="B425" s="7" t="s">
        <v>1971</v>
      </c>
      <c r="C425" s="7" t="s">
        <v>1972</v>
      </c>
      <c r="D425" s="7" t="s">
        <v>1974</v>
      </c>
      <c r="E425" s="8">
        <v>31164</v>
      </c>
      <c r="F425" s="10" t="s">
        <v>2271</v>
      </c>
    </row>
    <row r="426" spans="1:6" ht="14.25" x14ac:dyDescent="0.45">
      <c r="A426" s="6" t="str">
        <f ca="1">IFERROR(__xludf.DUMMYFUNCTION("""COMPUTED_VALUE"""),"X2DR4")</f>
        <v>X2DR4</v>
      </c>
      <c r="B426" s="7" t="s">
        <v>1971</v>
      </c>
      <c r="C426" s="7" t="s">
        <v>1972</v>
      </c>
      <c r="D426" s="7" t="s">
        <v>1973</v>
      </c>
      <c r="E426" s="8">
        <v>31167</v>
      </c>
      <c r="F426" s="10" t="s">
        <v>2114</v>
      </c>
    </row>
    <row r="427" spans="1:6" ht="14.25" x14ac:dyDescent="0.45">
      <c r="A427" s="6" t="str">
        <f ca="1">IFERROR(__xludf.DUMMYFUNCTION("""COMPUTED_VALUE"""),"X2327")</f>
        <v>X2327</v>
      </c>
      <c r="B427" s="7" t="s">
        <v>1971</v>
      </c>
      <c r="C427" s="7" t="s">
        <v>1972</v>
      </c>
      <c r="D427" s="7" t="s">
        <v>2020</v>
      </c>
      <c r="E427" s="8">
        <v>31168</v>
      </c>
      <c r="F427" s="10" t="s">
        <v>2006</v>
      </c>
    </row>
    <row r="428" spans="1:6" ht="14.25" x14ac:dyDescent="0.45">
      <c r="A428" s="6" t="str">
        <f ca="1">IFERROR(__xludf.DUMMYFUNCTION("""COMPUTED_VALUE"""),"X14PCR4")</f>
        <v>X14PCR4</v>
      </c>
      <c r="B428" s="7" t="s">
        <v>1971</v>
      </c>
      <c r="C428" s="7" t="s">
        <v>1972</v>
      </c>
      <c r="D428" s="7" t="s">
        <v>1978</v>
      </c>
      <c r="E428" s="8">
        <v>31176</v>
      </c>
      <c r="F428" s="10" t="s">
        <v>2247</v>
      </c>
    </row>
    <row r="429" spans="1:6" ht="14.25" x14ac:dyDescent="0.45">
      <c r="A429" s="6" t="str">
        <f ca="1">IFERROR(__xludf.DUMMYFUNCTION("""COMPUTED_VALUE"""),"XER8MGC")</f>
        <v>XER8MGC</v>
      </c>
      <c r="B429" s="7" t="s">
        <v>1986</v>
      </c>
      <c r="C429" s="7" t="s">
        <v>1972</v>
      </c>
      <c r="D429" s="7" t="s">
        <v>1995</v>
      </c>
      <c r="E429" s="8">
        <v>31177</v>
      </c>
      <c r="F429" s="10" t="s">
        <v>2335</v>
      </c>
    </row>
    <row r="430" spans="1:6" ht="14.25" x14ac:dyDescent="0.45">
      <c r="A430" s="6" t="str">
        <f ca="1">IFERROR(__xludf.DUMMYFUNCTION("""COMPUTED_VALUE"""),"X21OT")</f>
        <v>X21OT</v>
      </c>
      <c r="B430" s="7" t="s">
        <v>1971</v>
      </c>
      <c r="C430" s="7" t="s">
        <v>1972</v>
      </c>
      <c r="D430" s="7" t="s">
        <v>1975</v>
      </c>
      <c r="E430" s="8">
        <v>31179</v>
      </c>
      <c r="F430" s="10" t="s">
        <v>2104</v>
      </c>
    </row>
    <row r="431" spans="1:6" ht="14.25" x14ac:dyDescent="0.45">
      <c r="A431" s="6" t="str">
        <f ca="1">IFERROR(__xludf.DUMMYFUNCTION("""COMPUTED_VALUE"""),"XJGYAGX")</f>
        <v>XJGYAGX</v>
      </c>
      <c r="B431" s="7" t="s">
        <v>1971</v>
      </c>
      <c r="C431" s="7" t="s">
        <v>1972</v>
      </c>
      <c r="D431" s="7" t="s">
        <v>1974</v>
      </c>
      <c r="E431" s="8">
        <v>31195</v>
      </c>
      <c r="F431" s="10" t="s">
        <v>2257</v>
      </c>
    </row>
    <row r="432" spans="1:6" ht="14.25" x14ac:dyDescent="0.45">
      <c r="A432" s="6" t="str">
        <f ca="1">IFERROR(__xludf.DUMMYFUNCTION("""COMPUTED_VALUE"""),"X2D7V")</f>
        <v>X2D7V</v>
      </c>
      <c r="B432" s="7" t="s">
        <v>1971</v>
      </c>
      <c r="C432" s="7" t="s">
        <v>1981</v>
      </c>
      <c r="D432" s="7" t="s">
        <v>2072</v>
      </c>
      <c r="E432" s="8">
        <v>31203</v>
      </c>
      <c r="F432" s="9">
        <v>44409</v>
      </c>
    </row>
    <row r="433" spans="1:6" ht="14.25" x14ac:dyDescent="0.45">
      <c r="A433" s="6" t="str">
        <f ca="1">IFERROR(__xludf.DUMMYFUNCTION("""COMPUTED_VALUE"""),"XCMPY93")</f>
        <v>XCMPY93</v>
      </c>
      <c r="B433" s="7" t="s">
        <v>1971</v>
      </c>
      <c r="C433" s="7" t="s">
        <v>1981</v>
      </c>
      <c r="D433" s="7" t="s">
        <v>1990</v>
      </c>
      <c r="E433" s="8">
        <v>31206</v>
      </c>
      <c r="F433" s="10" t="s">
        <v>2260</v>
      </c>
    </row>
    <row r="434" spans="1:6" ht="14.25" x14ac:dyDescent="0.45">
      <c r="A434" s="6" t="str">
        <f ca="1">IFERROR(__xludf.DUMMYFUNCTION("""COMPUTED_VALUE"""),"X1WSD")</f>
        <v>X1WSD</v>
      </c>
      <c r="B434" s="7" t="s">
        <v>1971</v>
      </c>
      <c r="C434" s="7" t="s">
        <v>1981</v>
      </c>
      <c r="D434" s="7" t="s">
        <v>1973</v>
      </c>
      <c r="E434" s="8">
        <v>31207</v>
      </c>
      <c r="F434" s="9">
        <v>43564</v>
      </c>
    </row>
    <row r="435" spans="1:6" ht="14.25" x14ac:dyDescent="0.45">
      <c r="A435" s="6" t="str">
        <f ca="1">IFERROR(__xludf.DUMMYFUNCTION("""COMPUTED_VALUE"""),"X1WWA")</f>
        <v>X1WWA</v>
      </c>
      <c r="B435" s="7" t="s">
        <v>1971</v>
      </c>
      <c r="C435" s="7" t="s">
        <v>1972</v>
      </c>
      <c r="D435" s="7" t="s">
        <v>1974</v>
      </c>
      <c r="E435" s="8">
        <v>31222</v>
      </c>
      <c r="F435" s="9">
        <v>43594</v>
      </c>
    </row>
    <row r="436" spans="1:6" ht="14.25" x14ac:dyDescent="0.45">
      <c r="A436" s="6" t="str">
        <f ca="1">IFERROR(__xludf.DUMMYFUNCTION("""COMPUTED_VALUE"""),"XBIIUYZ")</f>
        <v>XBIIUYZ</v>
      </c>
      <c r="B436" s="7" t="s">
        <v>1971</v>
      </c>
      <c r="C436" s="7" t="s">
        <v>1972</v>
      </c>
      <c r="D436" s="7" t="s">
        <v>2072</v>
      </c>
      <c r="E436" s="8">
        <v>31225</v>
      </c>
      <c r="F436" s="10" t="s">
        <v>2245</v>
      </c>
    </row>
    <row r="437" spans="1:6" ht="14.25" x14ac:dyDescent="0.45">
      <c r="A437" s="6" t="str">
        <f ca="1">IFERROR(__xludf.DUMMYFUNCTION("""COMPUTED_VALUE"""),"X3543")</f>
        <v>X3543</v>
      </c>
      <c r="B437" s="7" t="s">
        <v>1971</v>
      </c>
      <c r="C437" s="7" t="s">
        <v>1974</v>
      </c>
      <c r="D437" s="7" t="s">
        <v>2072</v>
      </c>
      <c r="E437" s="8">
        <v>31239</v>
      </c>
      <c r="F437" s="10" t="s">
        <v>2036</v>
      </c>
    </row>
    <row r="438" spans="1:6" ht="14.25" x14ac:dyDescent="0.45">
      <c r="A438" s="6" t="str">
        <f ca="1">IFERROR(__xludf.DUMMYFUNCTION("""COMPUTED_VALUE"""),"X27XZ")</f>
        <v>X27XZ</v>
      </c>
      <c r="B438" s="7" t="s">
        <v>1971</v>
      </c>
      <c r="C438" s="7" t="s">
        <v>1972</v>
      </c>
      <c r="D438" s="7" t="s">
        <v>1975</v>
      </c>
      <c r="E438" s="8">
        <v>31248</v>
      </c>
      <c r="F438" s="10" t="s">
        <v>2017</v>
      </c>
    </row>
    <row r="439" spans="1:6" ht="14.25" x14ac:dyDescent="0.45">
      <c r="A439" s="6" t="str">
        <f ca="1">IFERROR(__xludf.DUMMYFUNCTION("""COMPUTED_VALUE"""),"X20CK")</f>
        <v>X20CK</v>
      </c>
      <c r="B439" s="7" t="s">
        <v>1971</v>
      </c>
      <c r="C439" s="7" t="s">
        <v>1981</v>
      </c>
      <c r="D439" s="7" t="s">
        <v>2020</v>
      </c>
      <c r="E439" s="8">
        <v>31254</v>
      </c>
      <c r="F439" s="9">
        <v>44044</v>
      </c>
    </row>
    <row r="440" spans="1:6" ht="14.25" x14ac:dyDescent="0.45">
      <c r="A440" s="6" t="str">
        <f ca="1">IFERROR(__xludf.DUMMYFUNCTION("""COMPUTED_VALUE"""),"XBEPLK5")</f>
        <v>XBEPLK5</v>
      </c>
      <c r="B440" s="7" t="s">
        <v>1971</v>
      </c>
      <c r="C440" s="7" t="s">
        <v>1977</v>
      </c>
      <c r="D440" s="7" t="s">
        <v>1974</v>
      </c>
      <c r="E440" s="8">
        <v>31276</v>
      </c>
      <c r="F440" s="10" t="s">
        <v>2265</v>
      </c>
    </row>
    <row r="441" spans="1:6" ht="14.25" x14ac:dyDescent="0.45">
      <c r="A441" s="6" t="str">
        <f ca="1">IFERROR(__xludf.DUMMYFUNCTION("""COMPUTED_VALUE"""),"X3172")</f>
        <v>X3172</v>
      </c>
      <c r="B441" s="7" t="s">
        <v>1971</v>
      </c>
      <c r="C441" s="7" t="s">
        <v>1977</v>
      </c>
      <c r="D441" s="7" t="s">
        <v>1974</v>
      </c>
      <c r="E441" s="8">
        <v>31289</v>
      </c>
      <c r="F441" s="10" t="s">
        <v>2075</v>
      </c>
    </row>
    <row r="442" spans="1:6" ht="14.25" x14ac:dyDescent="0.45">
      <c r="A442" s="6" t="str">
        <f ca="1">IFERROR(__xludf.DUMMYFUNCTION("""COMPUTED_VALUE"""),"X29MG")</f>
        <v>X29MG</v>
      </c>
      <c r="B442" s="7" t="s">
        <v>1971</v>
      </c>
      <c r="C442" s="7" t="s">
        <v>1972</v>
      </c>
      <c r="D442" s="7" t="s">
        <v>1975</v>
      </c>
      <c r="E442" s="8">
        <v>31299</v>
      </c>
      <c r="F442" s="9">
        <v>44022</v>
      </c>
    </row>
    <row r="443" spans="1:6" ht="14.25" x14ac:dyDescent="0.45">
      <c r="A443" s="6" t="str">
        <f ca="1">IFERROR(__xludf.DUMMYFUNCTION("""COMPUTED_VALUE"""),"XD31B4V")</f>
        <v>XD31B4V</v>
      </c>
      <c r="B443" s="7" t="s">
        <v>1971</v>
      </c>
      <c r="C443" s="7" t="s">
        <v>1972</v>
      </c>
      <c r="D443" s="7" t="s">
        <v>1995</v>
      </c>
      <c r="E443" s="8">
        <v>31299</v>
      </c>
      <c r="F443" s="10" t="s">
        <v>2321</v>
      </c>
    </row>
    <row r="444" spans="1:6" ht="14.25" x14ac:dyDescent="0.45">
      <c r="A444" s="6" t="str">
        <f ca="1">IFERROR(__xludf.DUMMYFUNCTION("""COMPUTED_VALUE"""),"X7RDCB1")</f>
        <v>X7RDCB1</v>
      </c>
      <c r="B444" s="7" t="s">
        <v>1971</v>
      </c>
      <c r="C444" s="7" t="s">
        <v>1977</v>
      </c>
      <c r="D444" s="7" t="s">
        <v>1990</v>
      </c>
      <c r="E444" s="8">
        <v>31307</v>
      </c>
      <c r="F444" s="10" t="s">
        <v>2220</v>
      </c>
    </row>
    <row r="445" spans="1:6" ht="14.25" x14ac:dyDescent="0.45">
      <c r="A445" s="6" t="str">
        <f ca="1">IFERROR(__xludf.DUMMYFUNCTION("""COMPUTED_VALUE"""),"X2DOM")</f>
        <v>X2DOM</v>
      </c>
      <c r="B445" s="7" t="s">
        <v>1971</v>
      </c>
      <c r="C445" s="7" t="s">
        <v>1972</v>
      </c>
      <c r="D445" s="7" t="s">
        <v>1990</v>
      </c>
      <c r="E445" s="8">
        <v>31308</v>
      </c>
      <c r="F445" s="10" t="s">
        <v>2042</v>
      </c>
    </row>
    <row r="446" spans="1:6" ht="14.25" x14ac:dyDescent="0.45">
      <c r="A446" s="6" t="str">
        <f ca="1">IFERROR(__xludf.DUMMYFUNCTION("""COMPUTED_VALUE"""),"X5DJD2Q")</f>
        <v>X5DJD2Q</v>
      </c>
      <c r="B446" s="7" t="s">
        <v>1971</v>
      </c>
      <c r="C446" s="7" t="s">
        <v>1972</v>
      </c>
      <c r="D446" s="7" t="s">
        <v>1975</v>
      </c>
      <c r="E446" s="8">
        <v>31313</v>
      </c>
      <c r="F446" s="10" t="s">
        <v>2245</v>
      </c>
    </row>
    <row r="447" spans="1:6" ht="14.25" x14ac:dyDescent="0.45">
      <c r="A447" s="6" t="str">
        <f ca="1">IFERROR(__xludf.DUMMYFUNCTION("""COMPUTED_VALUE"""),"XO2GO3H")</f>
        <v>XO2GO3H</v>
      </c>
      <c r="B447" s="7" t="s">
        <v>1971</v>
      </c>
      <c r="C447" s="7" t="s">
        <v>1977</v>
      </c>
      <c r="D447" s="7" t="s">
        <v>1993</v>
      </c>
      <c r="E447" s="8">
        <v>31315</v>
      </c>
      <c r="F447" s="9">
        <v>44447</v>
      </c>
    </row>
    <row r="448" spans="1:6" ht="14.25" x14ac:dyDescent="0.45">
      <c r="A448" s="6" t="str">
        <f ca="1">IFERROR(__xludf.DUMMYFUNCTION("""COMPUTED_VALUE"""),"XAMTGCH")</f>
        <v>XAMTGCH</v>
      </c>
      <c r="B448" s="7" t="s">
        <v>1971</v>
      </c>
      <c r="C448" s="7" t="s">
        <v>1977</v>
      </c>
      <c r="D448" s="7" t="s">
        <v>1974</v>
      </c>
      <c r="E448" s="8">
        <v>31319</v>
      </c>
      <c r="F448" s="10" t="s">
        <v>2261</v>
      </c>
    </row>
    <row r="449" spans="1:6" ht="14.25" x14ac:dyDescent="0.45">
      <c r="A449" s="6" t="str">
        <f ca="1">IFERROR(__xludf.DUMMYFUNCTION("""COMPUTED_VALUE"""),"X2247")</f>
        <v>X2247</v>
      </c>
      <c r="B449" s="7" t="s">
        <v>1971</v>
      </c>
      <c r="C449" s="7" t="s">
        <v>1972</v>
      </c>
      <c r="D449" s="7" t="s">
        <v>2003</v>
      </c>
      <c r="E449" s="8">
        <v>31322</v>
      </c>
      <c r="F449" s="9">
        <v>42832</v>
      </c>
    </row>
    <row r="450" spans="1:6" ht="14.25" x14ac:dyDescent="0.45">
      <c r="A450" s="6" t="str">
        <f ca="1">IFERROR(__xludf.DUMMYFUNCTION("""COMPUTED_VALUE"""),"X2BCG")</f>
        <v>X2BCG</v>
      </c>
      <c r="B450" s="7" t="s">
        <v>1971</v>
      </c>
      <c r="C450" s="7" t="s">
        <v>1981</v>
      </c>
      <c r="D450" s="7" t="s">
        <v>1993</v>
      </c>
      <c r="E450" s="8">
        <v>31322</v>
      </c>
      <c r="F450" s="10" t="s">
        <v>2029</v>
      </c>
    </row>
    <row r="451" spans="1:6" ht="14.25" x14ac:dyDescent="0.45">
      <c r="A451" s="6" t="str">
        <f ca="1">IFERROR(__xludf.DUMMYFUNCTION("""COMPUTED_VALUE"""),"X9YF4R4")</f>
        <v>X9YF4R4</v>
      </c>
      <c r="B451" s="7" t="s">
        <v>1971</v>
      </c>
      <c r="C451" s="7" t="s">
        <v>1972</v>
      </c>
      <c r="D451" s="7" t="s">
        <v>1993</v>
      </c>
      <c r="E451" s="8">
        <v>31327</v>
      </c>
      <c r="F451" s="10" t="s">
        <v>2192</v>
      </c>
    </row>
    <row r="452" spans="1:6" ht="14.25" x14ac:dyDescent="0.45">
      <c r="A452" s="6" t="str">
        <f ca="1">IFERROR(__xludf.DUMMYFUNCTION("""COMPUTED_VALUE"""),"X8AFDVC")</f>
        <v>X8AFDVC</v>
      </c>
      <c r="B452" s="7" t="s">
        <v>1971</v>
      </c>
      <c r="C452" s="7" t="s">
        <v>1977</v>
      </c>
      <c r="D452" s="7" t="s">
        <v>1975</v>
      </c>
      <c r="E452" s="8">
        <v>31334</v>
      </c>
      <c r="F452" s="10" t="s">
        <v>2328</v>
      </c>
    </row>
    <row r="453" spans="1:6" ht="14.25" x14ac:dyDescent="0.45">
      <c r="A453" s="6" t="str">
        <f ca="1">IFERROR(__xludf.DUMMYFUNCTION("""COMPUTED_VALUE"""),"X1X84")</f>
        <v>X1X84</v>
      </c>
      <c r="B453" s="7" t="s">
        <v>1971</v>
      </c>
      <c r="C453" s="7" t="s">
        <v>1981</v>
      </c>
      <c r="D453" s="7" t="s">
        <v>1993</v>
      </c>
      <c r="E453" s="8">
        <v>31359</v>
      </c>
      <c r="F453" s="9">
        <v>43656</v>
      </c>
    </row>
    <row r="454" spans="1:6" ht="14.25" x14ac:dyDescent="0.45">
      <c r="A454" s="6" t="str">
        <f ca="1">IFERROR(__xludf.DUMMYFUNCTION("""COMPUTED_VALUE"""),"XD5WFIE")</f>
        <v>XD5WFIE</v>
      </c>
      <c r="B454" s="7" t="s">
        <v>1971</v>
      </c>
      <c r="C454" s="7" t="s">
        <v>1972</v>
      </c>
      <c r="D454" s="7" t="s">
        <v>1974</v>
      </c>
      <c r="E454" s="8">
        <v>31366</v>
      </c>
      <c r="F454" s="10" t="s">
        <v>2261</v>
      </c>
    </row>
    <row r="455" spans="1:6" ht="14.25" x14ac:dyDescent="0.45">
      <c r="A455" s="6" t="str">
        <f ca="1">IFERROR(__xludf.DUMMYFUNCTION("""COMPUTED_VALUE"""),"X2223")</f>
        <v>X2223</v>
      </c>
      <c r="B455" s="7" t="s">
        <v>1971</v>
      </c>
      <c r="C455" s="7" t="s">
        <v>1977</v>
      </c>
      <c r="D455" s="7" t="s">
        <v>1974</v>
      </c>
      <c r="E455" s="8">
        <v>31369</v>
      </c>
      <c r="F455" s="10" t="s">
        <v>2173</v>
      </c>
    </row>
    <row r="456" spans="1:6" ht="14.25" x14ac:dyDescent="0.45">
      <c r="A456" s="6" t="str">
        <f ca="1">IFERROR(__xludf.DUMMYFUNCTION("""COMPUTED_VALUE"""),"X2A5B")</f>
        <v>X2A5B</v>
      </c>
      <c r="B456" s="7" t="s">
        <v>1971</v>
      </c>
      <c r="C456" s="7" t="s">
        <v>1977</v>
      </c>
      <c r="D456" s="7" t="s">
        <v>1990</v>
      </c>
      <c r="E456" s="8">
        <v>31372</v>
      </c>
      <c r="F456" s="10" t="s">
        <v>2039</v>
      </c>
    </row>
    <row r="457" spans="1:6" ht="14.25" x14ac:dyDescent="0.45">
      <c r="A457" s="6" t="str">
        <f ca="1">IFERROR(__xludf.DUMMYFUNCTION("""COMPUTED_VALUE"""),"XHG413L")</f>
        <v>XHG413L</v>
      </c>
      <c r="B457" s="7" t="s">
        <v>1971</v>
      </c>
      <c r="C457" s="7" t="s">
        <v>1977</v>
      </c>
      <c r="D457" s="7" t="s">
        <v>1974</v>
      </c>
      <c r="E457" s="8">
        <v>31377</v>
      </c>
      <c r="F457" s="10" t="s">
        <v>2264</v>
      </c>
    </row>
    <row r="458" spans="1:6" ht="14.25" x14ac:dyDescent="0.45">
      <c r="A458" s="6" t="str">
        <f ca="1">IFERROR(__xludf.DUMMYFUNCTION("""COMPUTED_VALUE"""),"X1UDZ")</f>
        <v>X1UDZ</v>
      </c>
      <c r="B458" s="7" t="s">
        <v>1971</v>
      </c>
      <c r="C458" s="7" t="s">
        <v>1974</v>
      </c>
      <c r="D458" s="7" t="s">
        <v>1975</v>
      </c>
      <c r="E458" s="8">
        <v>31380</v>
      </c>
      <c r="F458" s="9">
        <v>43776</v>
      </c>
    </row>
    <row r="459" spans="1:6" ht="14.25" x14ac:dyDescent="0.45">
      <c r="A459" s="6" t="str">
        <f ca="1">IFERROR(__xludf.DUMMYFUNCTION("""COMPUTED_VALUE"""),"XEDP96N")</f>
        <v>XEDP96N</v>
      </c>
      <c r="B459" s="7" t="s">
        <v>1980</v>
      </c>
      <c r="C459" s="7" t="s">
        <v>1972</v>
      </c>
      <c r="D459" s="7" t="s">
        <v>2241</v>
      </c>
      <c r="E459" s="8">
        <v>31387</v>
      </c>
      <c r="F459" s="10" t="s">
        <v>2193</v>
      </c>
    </row>
    <row r="460" spans="1:6" ht="14.25" x14ac:dyDescent="0.45">
      <c r="A460" s="6" t="str">
        <f ca="1">IFERROR(__xludf.DUMMYFUNCTION("""COMPUTED_VALUE"""),"XVSI3PQ")</f>
        <v>XVSI3PQ</v>
      </c>
      <c r="B460" s="7" t="s">
        <v>1980</v>
      </c>
      <c r="C460" s="7" t="s">
        <v>1996</v>
      </c>
      <c r="D460" s="7" t="s">
        <v>2026</v>
      </c>
      <c r="E460" s="8">
        <v>31401</v>
      </c>
      <c r="F460" s="10" t="s">
        <v>2212</v>
      </c>
    </row>
    <row r="461" spans="1:6" ht="14.25" x14ac:dyDescent="0.45">
      <c r="A461" s="6" t="str">
        <f ca="1">IFERROR(__xludf.DUMMYFUNCTION("""COMPUTED_VALUE"""),"X2330")</f>
        <v>X2330</v>
      </c>
      <c r="B461" s="7" t="s">
        <v>1971</v>
      </c>
      <c r="C461" s="7" t="s">
        <v>1977</v>
      </c>
      <c r="D461" s="7" t="s">
        <v>1974</v>
      </c>
      <c r="E461" s="8">
        <v>31402</v>
      </c>
      <c r="F461" s="10" t="s">
        <v>2006</v>
      </c>
    </row>
    <row r="462" spans="1:6" ht="14.25" x14ac:dyDescent="0.45">
      <c r="A462" s="6" t="str">
        <f ca="1">IFERROR(__xludf.DUMMYFUNCTION("""COMPUTED_VALUE"""),"X3220")</f>
        <v>X3220</v>
      </c>
      <c r="B462" s="7" t="s">
        <v>1971</v>
      </c>
      <c r="C462" s="7" t="s">
        <v>1972</v>
      </c>
      <c r="D462" s="7" t="s">
        <v>1975</v>
      </c>
      <c r="E462" s="8">
        <v>31402</v>
      </c>
      <c r="F462" s="9">
        <v>43350</v>
      </c>
    </row>
    <row r="463" spans="1:6" ht="14.25" x14ac:dyDescent="0.45">
      <c r="A463" s="6" t="str">
        <f ca="1">IFERROR(__xludf.DUMMYFUNCTION("""COMPUTED_VALUE"""),"X27QG")</f>
        <v>X27QG</v>
      </c>
      <c r="B463" s="7" t="s">
        <v>1971</v>
      </c>
      <c r="C463" s="7" t="s">
        <v>1972</v>
      </c>
      <c r="D463" s="7" t="s">
        <v>1975</v>
      </c>
      <c r="E463" s="8">
        <v>31409</v>
      </c>
      <c r="F463" s="10" t="s">
        <v>2204</v>
      </c>
    </row>
    <row r="464" spans="1:6" ht="14.25" x14ac:dyDescent="0.45">
      <c r="A464" s="6" t="str">
        <f ca="1">IFERROR(__xludf.DUMMYFUNCTION("""COMPUTED_VALUE"""),"X39C2TE")</f>
        <v>X39C2TE</v>
      </c>
      <c r="B464" s="7" t="s">
        <v>1971</v>
      </c>
      <c r="C464" s="7" t="s">
        <v>1972</v>
      </c>
      <c r="D464" s="7" t="s">
        <v>1974</v>
      </c>
      <c r="E464" s="8">
        <v>31409</v>
      </c>
      <c r="F464" s="10" t="s">
        <v>2216</v>
      </c>
    </row>
    <row r="465" spans="1:6" ht="14.25" x14ac:dyDescent="0.45">
      <c r="A465" s="6" t="str">
        <f ca="1">IFERROR(__xludf.DUMMYFUNCTION("""COMPUTED_VALUE"""),"X29TF")</f>
        <v>X29TF</v>
      </c>
      <c r="B465" s="7" t="s">
        <v>1971</v>
      </c>
      <c r="C465" s="7" t="s">
        <v>1972</v>
      </c>
      <c r="D465" s="7" t="s">
        <v>1974</v>
      </c>
      <c r="E465" s="8">
        <v>31438</v>
      </c>
      <c r="F465" s="9">
        <v>44175</v>
      </c>
    </row>
    <row r="466" spans="1:6" ht="14.25" x14ac:dyDescent="0.45">
      <c r="A466" s="6" t="str">
        <f ca="1">IFERROR(__xludf.DUMMYFUNCTION("""COMPUTED_VALUE"""),"XRMX4TB")</f>
        <v>XRMX4TB</v>
      </c>
      <c r="B466" s="7" t="s">
        <v>1971</v>
      </c>
      <c r="C466" s="7" t="s">
        <v>1977</v>
      </c>
      <c r="D466" s="7" t="s">
        <v>1978</v>
      </c>
      <c r="E466" s="8">
        <v>31438</v>
      </c>
      <c r="F466" s="10" t="s">
        <v>2290</v>
      </c>
    </row>
    <row r="467" spans="1:6" ht="14.25" x14ac:dyDescent="0.45">
      <c r="A467" s="6" t="str">
        <f ca="1">IFERROR(__xludf.DUMMYFUNCTION("""COMPUTED_VALUE"""),"X1WND")</f>
        <v>X1WND</v>
      </c>
      <c r="B467" s="7" t="s">
        <v>1971</v>
      </c>
      <c r="C467" s="7" t="s">
        <v>1972</v>
      </c>
      <c r="D467" s="7" t="s">
        <v>1990</v>
      </c>
      <c r="E467" s="8">
        <v>31439</v>
      </c>
      <c r="F467" s="9">
        <v>43625</v>
      </c>
    </row>
    <row r="468" spans="1:6" ht="14.25" x14ac:dyDescent="0.45">
      <c r="A468" s="6" t="str">
        <f ca="1">IFERROR(__xludf.DUMMYFUNCTION("""COMPUTED_VALUE"""),"X1752")</f>
        <v>X1752</v>
      </c>
      <c r="B468" s="7" t="s">
        <v>1971</v>
      </c>
      <c r="C468" s="7" t="s">
        <v>1972</v>
      </c>
      <c r="D468" s="7" t="s">
        <v>1993</v>
      </c>
      <c r="E468" s="8">
        <v>31443</v>
      </c>
      <c r="F468" s="10" t="s">
        <v>2084</v>
      </c>
    </row>
    <row r="469" spans="1:6" ht="14.25" x14ac:dyDescent="0.45">
      <c r="A469" s="6" t="str">
        <f ca="1">IFERROR(__xludf.DUMMYFUNCTION("""COMPUTED_VALUE"""),"XIN3AWZ")</f>
        <v>XIN3AWZ</v>
      </c>
      <c r="B469" s="7" t="s">
        <v>1971</v>
      </c>
      <c r="C469" s="7" t="s">
        <v>1972</v>
      </c>
      <c r="D469" s="7" t="s">
        <v>1974</v>
      </c>
      <c r="E469" s="8">
        <v>31449</v>
      </c>
      <c r="F469" s="9">
        <v>44447</v>
      </c>
    </row>
    <row r="470" spans="1:6" ht="14.25" x14ac:dyDescent="0.45">
      <c r="A470" s="6" t="str">
        <f ca="1">IFERROR(__xludf.DUMMYFUNCTION("""COMPUTED_VALUE"""),"XBI9QVB")</f>
        <v>XBI9QVB</v>
      </c>
      <c r="B470" s="7" t="s">
        <v>1971</v>
      </c>
      <c r="C470" s="7" t="s">
        <v>1977</v>
      </c>
      <c r="D470" s="7" t="s">
        <v>1974</v>
      </c>
      <c r="E470" s="8">
        <v>31457</v>
      </c>
      <c r="F470" s="10" t="s">
        <v>2246</v>
      </c>
    </row>
    <row r="471" spans="1:6" ht="14.25" x14ac:dyDescent="0.45">
      <c r="A471" s="6" t="str">
        <f ca="1">IFERROR(__xludf.DUMMYFUNCTION("""COMPUTED_VALUE"""),"XF4OBDV")</f>
        <v>XF4OBDV</v>
      </c>
      <c r="B471" s="7" t="s">
        <v>1971</v>
      </c>
      <c r="C471" s="7" t="s">
        <v>1972</v>
      </c>
      <c r="D471" s="7" t="s">
        <v>1995</v>
      </c>
      <c r="E471" s="8">
        <v>31465</v>
      </c>
      <c r="F471" s="9">
        <v>44235</v>
      </c>
    </row>
    <row r="472" spans="1:6" ht="14.25" x14ac:dyDescent="0.45">
      <c r="A472" s="6" t="str">
        <f ca="1">IFERROR(__xludf.DUMMYFUNCTION("""COMPUTED_VALUE"""),"XDVLDHM")</f>
        <v>XDVLDHM</v>
      </c>
      <c r="B472" s="7" t="s">
        <v>1971</v>
      </c>
      <c r="C472" s="7" t="s">
        <v>1972</v>
      </c>
      <c r="D472" s="7" t="s">
        <v>1974</v>
      </c>
      <c r="E472" s="8">
        <v>31465</v>
      </c>
      <c r="F472" s="9">
        <v>44508</v>
      </c>
    </row>
    <row r="473" spans="1:6" ht="14.25" x14ac:dyDescent="0.45">
      <c r="A473" s="6" t="str">
        <f ca="1">IFERROR(__xludf.DUMMYFUNCTION("""COMPUTED_VALUE"""),"X2D3S")</f>
        <v>X2D3S</v>
      </c>
      <c r="B473" s="7" t="s">
        <v>1971</v>
      </c>
      <c r="C473" s="7" t="s">
        <v>1972</v>
      </c>
      <c r="D473" s="7" t="s">
        <v>1974</v>
      </c>
      <c r="E473" s="8">
        <v>31472</v>
      </c>
      <c r="F473" s="9">
        <v>44317</v>
      </c>
    </row>
    <row r="474" spans="1:6" ht="14.25" x14ac:dyDescent="0.45">
      <c r="A474" s="6" t="str">
        <f ca="1">IFERROR(__xludf.DUMMYFUNCTION("""COMPUTED_VALUE"""),"X3107")</f>
        <v>X3107</v>
      </c>
      <c r="B474" s="7" t="s">
        <v>1971</v>
      </c>
      <c r="C474" s="7" t="s">
        <v>1972</v>
      </c>
      <c r="D474" s="7" t="s">
        <v>1974</v>
      </c>
      <c r="E474" s="8">
        <v>31473</v>
      </c>
      <c r="F474" s="10" t="s">
        <v>2155</v>
      </c>
    </row>
    <row r="475" spans="1:6" ht="14.25" x14ac:dyDescent="0.45">
      <c r="A475" s="6" t="str">
        <f ca="1">IFERROR(__xludf.DUMMYFUNCTION("""COMPUTED_VALUE"""),"X1568")</f>
        <v>X1568</v>
      </c>
      <c r="B475" s="7" t="s">
        <v>1971</v>
      </c>
      <c r="C475" s="7" t="s">
        <v>1972</v>
      </c>
      <c r="D475" s="7" t="s">
        <v>1974</v>
      </c>
      <c r="E475" s="8">
        <v>31495</v>
      </c>
      <c r="F475" s="10" t="s">
        <v>2011</v>
      </c>
    </row>
    <row r="476" spans="1:6" ht="14.25" x14ac:dyDescent="0.45">
      <c r="A476" s="6" t="str">
        <f ca="1">IFERROR(__xludf.DUMMYFUNCTION("""COMPUTED_VALUE"""),"X24CG")</f>
        <v>X24CG</v>
      </c>
      <c r="B476" s="7" t="s">
        <v>2021</v>
      </c>
      <c r="C476" s="7" t="s">
        <v>1996</v>
      </c>
      <c r="D476" s="7" t="s">
        <v>1978</v>
      </c>
      <c r="E476" s="8">
        <v>31495</v>
      </c>
      <c r="F476" s="10" t="s">
        <v>2127</v>
      </c>
    </row>
    <row r="477" spans="1:6" ht="14.25" x14ac:dyDescent="0.45">
      <c r="A477" s="6" t="str">
        <f ca="1">IFERROR(__xludf.DUMMYFUNCTION("""COMPUTED_VALUE"""),"X2799")</f>
        <v>X2799</v>
      </c>
      <c r="B477" s="7" t="s">
        <v>1971</v>
      </c>
      <c r="C477" s="7" t="s">
        <v>1977</v>
      </c>
      <c r="D477" s="7" t="s">
        <v>1978</v>
      </c>
      <c r="E477" s="8">
        <v>31504</v>
      </c>
      <c r="F477" s="10" t="s">
        <v>2231</v>
      </c>
    </row>
    <row r="478" spans="1:6" ht="14.25" x14ac:dyDescent="0.45">
      <c r="A478" s="6" t="str">
        <f ca="1">IFERROR(__xludf.DUMMYFUNCTION("""COMPUTED_VALUE"""),"X7QBGOT")</f>
        <v>X7QBGOT</v>
      </c>
      <c r="B478" s="7" t="s">
        <v>1971</v>
      </c>
      <c r="C478" s="7" t="s">
        <v>1972</v>
      </c>
      <c r="D478" s="7" t="s">
        <v>1997</v>
      </c>
      <c r="E478" s="8">
        <v>31514</v>
      </c>
      <c r="F478" s="10" t="s">
        <v>2191</v>
      </c>
    </row>
    <row r="479" spans="1:6" ht="14.25" x14ac:dyDescent="0.45">
      <c r="A479" s="6" t="str">
        <f ca="1">IFERROR(__xludf.DUMMYFUNCTION("""COMPUTED_VALUE"""),"X2D5Q")</f>
        <v>X2D5Q</v>
      </c>
      <c r="B479" s="7" t="s">
        <v>1986</v>
      </c>
      <c r="C479" s="7" t="s">
        <v>1996</v>
      </c>
      <c r="D479" s="7" t="s">
        <v>1993</v>
      </c>
      <c r="E479" s="8">
        <v>31522</v>
      </c>
      <c r="F479" s="9">
        <v>44378</v>
      </c>
    </row>
    <row r="480" spans="1:6" ht="14.25" x14ac:dyDescent="0.45">
      <c r="A480" s="6" t="str">
        <f ca="1">IFERROR(__xludf.DUMMYFUNCTION("""COMPUTED_VALUE"""),"X2CE4")</f>
        <v>X2CE4</v>
      </c>
      <c r="B480" s="7" t="s">
        <v>1986</v>
      </c>
      <c r="C480" s="7" t="s">
        <v>1977</v>
      </c>
      <c r="D480" s="7" t="s">
        <v>1990</v>
      </c>
      <c r="E480" s="8">
        <v>31528</v>
      </c>
      <c r="F480" s="10" t="s">
        <v>2052</v>
      </c>
    </row>
    <row r="481" spans="1:6" ht="14.25" x14ac:dyDescent="0.45">
      <c r="A481" s="6" t="str">
        <f ca="1">IFERROR(__xludf.DUMMYFUNCTION("""COMPUTED_VALUE"""),"X2BSL")</f>
        <v>X2BSL</v>
      </c>
      <c r="B481" s="7" t="s">
        <v>1971</v>
      </c>
      <c r="C481" s="7" t="s">
        <v>1977</v>
      </c>
      <c r="D481" s="7" t="s">
        <v>1974</v>
      </c>
      <c r="E481" s="8">
        <v>31530</v>
      </c>
      <c r="F481" s="10" t="s">
        <v>2009</v>
      </c>
    </row>
    <row r="482" spans="1:6" ht="14.25" x14ac:dyDescent="0.45">
      <c r="A482" s="6" t="str">
        <f ca="1">IFERROR(__xludf.DUMMYFUNCTION("""COMPUTED_VALUE"""),"XM7PJYX")</f>
        <v>XM7PJYX</v>
      </c>
      <c r="B482" s="7" t="s">
        <v>1971</v>
      </c>
      <c r="C482" s="7" t="s">
        <v>1972</v>
      </c>
      <c r="D482" s="7" t="s">
        <v>1973</v>
      </c>
      <c r="E482" s="8">
        <v>31533</v>
      </c>
      <c r="F482" s="10" t="s">
        <v>2247</v>
      </c>
    </row>
    <row r="483" spans="1:6" ht="14.25" x14ac:dyDescent="0.45">
      <c r="A483" s="6" t="str">
        <f ca="1">IFERROR(__xludf.DUMMYFUNCTION("""COMPUTED_VALUE"""),"X1929")</f>
        <v>X1929</v>
      </c>
      <c r="B483" s="7" t="s">
        <v>1971</v>
      </c>
      <c r="C483" s="7" t="s">
        <v>1972</v>
      </c>
      <c r="D483" s="10">
        <v>0</v>
      </c>
      <c r="E483" s="8">
        <v>31538</v>
      </c>
      <c r="F483" s="10" t="s">
        <v>2081</v>
      </c>
    </row>
    <row r="484" spans="1:6" ht="14.25" x14ac:dyDescent="0.45">
      <c r="A484" s="6" t="str">
        <f ca="1">IFERROR(__xludf.DUMMYFUNCTION("""COMPUTED_VALUE"""),"X27G6")</f>
        <v>X27G6</v>
      </c>
      <c r="B484" s="7" t="s">
        <v>1971</v>
      </c>
      <c r="C484" s="7" t="s">
        <v>1972</v>
      </c>
      <c r="D484" s="7" t="s">
        <v>1987</v>
      </c>
      <c r="E484" s="8">
        <v>31541</v>
      </c>
      <c r="F484" s="10" t="s">
        <v>2017</v>
      </c>
    </row>
    <row r="485" spans="1:6" ht="14.25" x14ac:dyDescent="0.45">
      <c r="A485" s="6" t="str">
        <f ca="1">IFERROR(__xludf.DUMMYFUNCTION("""COMPUTED_VALUE"""),"X2B141")</f>
        <v>X2B141</v>
      </c>
      <c r="B485" s="7" t="s">
        <v>1971</v>
      </c>
      <c r="C485" s="7" t="s">
        <v>1977</v>
      </c>
      <c r="D485" s="7" t="s">
        <v>1973</v>
      </c>
      <c r="E485" s="8">
        <v>31541</v>
      </c>
      <c r="F485" s="10" t="s">
        <v>2024</v>
      </c>
    </row>
    <row r="486" spans="1:6" ht="14.25" x14ac:dyDescent="0.45">
      <c r="A486" s="6" t="str">
        <f ca="1">IFERROR(__xludf.DUMMYFUNCTION("""COMPUTED_VALUE"""),"XO84ZOA")</f>
        <v>XO84ZOA</v>
      </c>
      <c r="B486" s="7" t="s">
        <v>1971</v>
      </c>
      <c r="C486" s="7" t="s">
        <v>1972</v>
      </c>
      <c r="D486" s="7" t="s">
        <v>2020</v>
      </c>
      <c r="E486" s="8">
        <v>31542</v>
      </c>
      <c r="F486" s="10" t="s">
        <v>2192</v>
      </c>
    </row>
    <row r="487" spans="1:6" ht="14.25" x14ac:dyDescent="0.45">
      <c r="A487" s="6" t="str">
        <f ca="1">IFERROR(__xludf.DUMMYFUNCTION("""COMPUTED_VALUE"""),"XKIAPCR")</f>
        <v>XKIAPCR</v>
      </c>
      <c r="B487" s="7" t="s">
        <v>1971</v>
      </c>
      <c r="C487" s="7" t="s">
        <v>1977</v>
      </c>
      <c r="D487" s="7" t="s">
        <v>2012</v>
      </c>
      <c r="E487" s="8">
        <v>31542</v>
      </c>
      <c r="F487" s="10" t="s">
        <v>2258</v>
      </c>
    </row>
    <row r="488" spans="1:6" ht="14.25" x14ac:dyDescent="0.45">
      <c r="A488" s="6" t="str">
        <f ca="1">IFERROR(__xludf.DUMMYFUNCTION("""COMPUTED_VALUE"""),"X2AKY")</f>
        <v>X2AKY</v>
      </c>
      <c r="B488" s="7" t="s">
        <v>1971</v>
      </c>
      <c r="C488" s="7" t="s">
        <v>1974</v>
      </c>
      <c r="D488" s="7" t="s">
        <v>1978</v>
      </c>
      <c r="E488" s="8">
        <v>31545</v>
      </c>
      <c r="F488" s="10" t="s">
        <v>1979</v>
      </c>
    </row>
    <row r="489" spans="1:6" ht="14.25" x14ac:dyDescent="0.45">
      <c r="A489" s="6" t="str">
        <f ca="1">IFERROR(__xludf.DUMMYFUNCTION("""COMPUTED_VALUE"""),"XA2OBCT")</f>
        <v>XA2OBCT</v>
      </c>
      <c r="B489" s="7" t="s">
        <v>1971</v>
      </c>
      <c r="C489" s="7" t="s">
        <v>1972</v>
      </c>
      <c r="D489" s="7" t="s">
        <v>1974</v>
      </c>
      <c r="E489" s="8">
        <v>31548</v>
      </c>
      <c r="F489" s="10" t="s">
        <v>2258</v>
      </c>
    </row>
    <row r="490" spans="1:6" ht="14.25" x14ac:dyDescent="0.45">
      <c r="A490" s="6" t="str">
        <f ca="1">IFERROR(__xludf.DUMMYFUNCTION("""COMPUTED_VALUE"""),"XV8V72J")</f>
        <v>XV8V72J</v>
      </c>
      <c r="B490" s="7" t="s">
        <v>1971</v>
      </c>
      <c r="C490" s="7" t="s">
        <v>1972</v>
      </c>
      <c r="D490" s="7" t="s">
        <v>1974</v>
      </c>
      <c r="E490" s="8">
        <v>31551</v>
      </c>
      <c r="F490" s="9">
        <v>44442</v>
      </c>
    </row>
    <row r="491" spans="1:6" ht="14.25" x14ac:dyDescent="0.45">
      <c r="A491" s="6" t="str">
        <f ca="1">IFERROR(__xludf.DUMMYFUNCTION("""COMPUTED_VALUE"""),"X20NJ")</f>
        <v>X20NJ</v>
      </c>
      <c r="B491" s="7" t="s">
        <v>1971</v>
      </c>
      <c r="C491" s="7" t="s">
        <v>1972</v>
      </c>
      <c r="D491" s="7" t="s">
        <v>2020</v>
      </c>
      <c r="E491" s="8">
        <v>31553</v>
      </c>
      <c r="F491" s="10" t="s">
        <v>2343</v>
      </c>
    </row>
    <row r="492" spans="1:6" ht="14.25" x14ac:dyDescent="0.45">
      <c r="A492" s="6" t="str">
        <f ca="1">IFERROR(__xludf.DUMMYFUNCTION("""COMPUTED_VALUE"""),"X2BDH")</f>
        <v>X2BDH</v>
      </c>
      <c r="B492" s="7" t="s">
        <v>1971</v>
      </c>
      <c r="C492" s="7" t="s">
        <v>1972</v>
      </c>
      <c r="D492" s="7" t="s">
        <v>1974</v>
      </c>
      <c r="E492" s="8">
        <v>31561</v>
      </c>
      <c r="F492" s="10" t="s">
        <v>2029</v>
      </c>
    </row>
    <row r="493" spans="1:6" ht="14.25" x14ac:dyDescent="0.45">
      <c r="A493" s="6" t="str">
        <f ca="1">IFERROR(__xludf.DUMMYFUNCTION("""COMPUTED_VALUE"""),"X13FNEY")</f>
        <v>X13FNEY</v>
      </c>
      <c r="B493" s="7" t="s">
        <v>1971</v>
      </c>
      <c r="C493" s="7" t="s">
        <v>1972</v>
      </c>
      <c r="D493" s="7" t="s">
        <v>2007</v>
      </c>
      <c r="E493" s="8">
        <v>31565</v>
      </c>
      <c r="F493" s="9">
        <v>44320</v>
      </c>
    </row>
    <row r="494" spans="1:6" ht="14.25" x14ac:dyDescent="0.45">
      <c r="A494" s="6" t="str">
        <f ca="1">IFERROR(__xludf.DUMMYFUNCTION("""COMPUTED_VALUE"""),"X2826")</f>
        <v>X2826</v>
      </c>
      <c r="B494" s="7" t="s">
        <v>1971</v>
      </c>
      <c r="C494" s="7" t="s">
        <v>1972</v>
      </c>
      <c r="D494" s="7" t="s">
        <v>2020</v>
      </c>
      <c r="E494" s="8">
        <v>31566</v>
      </c>
      <c r="F494" s="10" t="s">
        <v>2028</v>
      </c>
    </row>
    <row r="495" spans="1:6" ht="14.25" x14ac:dyDescent="0.45">
      <c r="A495" s="6" t="str">
        <f ca="1">IFERROR(__xludf.DUMMYFUNCTION("""COMPUTED_VALUE"""),"X2161")</f>
        <v>X2161</v>
      </c>
      <c r="B495" s="7" t="s">
        <v>1971</v>
      </c>
      <c r="C495" s="7" t="s">
        <v>1972</v>
      </c>
      <c r="D495" s="7" t="s">
        <v>1990</v>
      </c>
      <c r="E495" s="8">
        <v>31570</v>
      </c>
      <c r="F495" s="10" t="s">
        <v>2033</v>
      </c>
    </row>
    <row r="496" spans="1:6" ht="14.25" x14ac:dyDescent="0.45">
      <c r="A496" s="6" t="str">
        <f ca="1">IFERROR(__xludf.DUMMYFUNCTION("""COMPUTED_VALUE"""),"X3474")</f>
        <v>X3474</v>
      </c>
      <c r="B496" s="7" t="s">
        <v>1971</v>
      </c>
      <c r="C496" s="7" t="s">
        <v>1993</v>
      </c>
      <c r="D496" s="7" t="s">
        <v>1993</v>
      </c>
      <c r="E496" s="8">
        <v>31580</v>
      </c>
      <c r="F496" s="9">
        <v>43259</v>
      </c>
    </row>
    <row r="497" spans="1:6" ht="14.25" x14ac:dyDescent="0.45">
      <c r="A497" s="6" t="str">
        <f ca="1">IFERROR(__xludf.DUMMYFUNCTION("""COMPUTED_VALUE"""),"X2823")</f>
        <v>X2823</v>
      </c>
      <c r="B497" s="7" t="s">
        <v>1971</v>
      </c>
      <c r="C497" s="7" t="s">
        <v>1972</v>
      </c>
      <c r="D497" s="7" t="s">
        <v>2020</v>
      </c>
      <c r="E497" s="8">
        <v>31583</v>
      </c>
      <c r="F497" s="10" t="s">
        <v>2028</v>
      </c>
    </row>
    <row r="498" spans="1:6" ht="14.25" x14ac:dyDescent="0.45">
      <c r="A498" s="6" t="str">
        <f ca="1">IFERROR(__xludf.DUMMYFUNCTION("""COMPUTED_VALUE"""),"X1STC")</f>
        <v>X1STC</v>
      </c>
      <c r="B498" s="7" t="s">
        <v>1971</v>
      </c>
      <c r="C498" s="7" t="s">
        <v>1972</v>
      </c>
      <c r="D498" s="7" t="s">
        <v>2072</v>
      </c>
      <c r="E498" s="8">
        <v>31592</v>
      </c>
      <c r="F498" s="10" t="s">
        <v>2065</v>
      </c>
    </row>
    <row r="499" spans="1:6" ht="14.25" x14ac:dyDescent="0.45">
      <c r="A499" s="6" t="str">
        <f ca="1">IFERROR(__xludf.DUMMYFUNCTION("""COMPUTED_VALUE"""),"X1XMZ")</f>
        <v>X1XMZ</v>
      </c>
      <c r="B499" s="7" t="s">
        <v>1980</v>
      </c>
      <c r="C499" s="7" t="s">
        <v>1977</v>
      </c>
      <c r="D499" s="7" t="s">
        <v>1974</v>
      </c>
      <c r="E499" s="8">
        <v>31601</v>
      </c>
      <c r="F499" s="10" t="s">
        <v>2080</v>
      </c>
    </row>
    <row r="500" spans="1:6" ht="14.25" x14ac:dyDescent="0.45">
      <c r="A500" s="6" t="str">
        <f ca="1">IFERROR(__xludf.DUMMYFUNCTION("""COMPUTED_VALUE"""),"XHU8AOR")</f>
        <v>XHU8AOR</v>
      </c>
      <c r="B500" s="7" t="s">
        <v>1971</v>
      </c>
      <c r="C500" s="7" t="s">
        <v>1972</v>
      </c>
      <c r="D500" s="7" t="s">
        <v>1975</v>
      </c>
      <c r="E500" s="8">
        <v>31604</v>
      </c>
      <c r="F500" s="10" t="s">
        <v>2257</v>
      </c>
    </row>
    <row r="501" spans="1:6" ht="14.25" x14ac:dyDescent="0.45">
      <c r="A501" s="6" t="str">
        <f ca="1">IFERROR(__xludf.DUMMYFUNCTION("""COMPUTED_VALUE"""),"X27I5")</f>
        <v>X27I5</v>
      </c>
      <c r="B501" s="7" t="s">
        <v>1971</v>
      </c>
      <c r="C501" s="7" t="s">
        <v>1972</v>
      </c>
      <c r="D501" s="7" t="s">
        <v>1978</v>
      </c>
      <c r="E501" s="8">
        <v>31611</v>
      </c>
      <c r="F501" s="10" t="s">
        <v>2148</v>
      </c>
    </row>
    <row r="502" spans="1:6" ht="14.25" x14ac:dyDescent="0.45">
      <c r="A502" s="6" t="str">
        <f ca="1">IFERROR(__xludf.DUMMYFUNCTION("""COMPUTED_VALUE"""),"X1VP4")</f>
        <v>X1VP4</v>
      </c>
      <c r="B502" s="7" t="s">
        <v>1971</v>
      </c>
      <c r="C502" s="7" t="s">
        <v>1972</v>
      </c>
      <c r="D502" s="7" t="s">
        <v>1974</v>
      </c>
      <c r="E502" s="8">
        <v>31621</v>
      </c>
      <c r="F502" s="10" t="s">
        <v>2120</v>
      </c>
    </row>
    <row r="503" spans="1:6" ht="14.25" x14ac:dyDescent="0.45">
      <c r="A503" s="6" t="str">
        <f ca="1">IFERROR(__xludf.DUMMYFUNCTION("""COMPUTED_VALUE"""),"X1LDS")</f>
        <v>X1LDS</v>
      </c>
      <c r="B503" s="7" t="s">
        <v>1971</v>
      </c>
      <c r="C503" s="7" t="s">
        <v>1993</v>
      </c>
      <c r="D503" s="7" t="s">
        <v>1974</v>
      </c>
      <c r="E503" s="8">
        <v>31629</v>
      </c>
      <c r="F503" s="9">
        <v>43383</v>
      </c>
    </row>
    <row r="504" spans="1:6" ht="14.25" x14ac:dyDescent="0.45">
      <c r="A504" s="6" t="str">
        <f ca="1">IFERROR(__xludf.DUMMYFUNCTION("""COMPUTED_VALUE"""),"XUZGOJU")</f>
        <v>XUZGOJU</v>
      </c>
      <c r="B504" s="7" t="s">
        <v>1971</v>
      </c>
      <c r="C504" s="7" t="s">
        <v>1972</v>
      </c>
      <c r="D504" s="7" t="s">
        <v>1975</v>
      </c>
      <c r="E504" s="8">
        <v>31635</v>
      </c>
      <c r="F504" s="9">
        <v>44356</v>
      </c>
    </row>
    <row r="505" spans="1:6" ht="14.25" x14ac:dyDescent="0.45">
      <c r="A505" s="6" t="str">
        <f ca="1">IFERROR(__xludf.DUMMYFUNCTION("""COMPUTED_VALUE"""),"XMJN793")</f>
        <v>XMJN793</v>
      </c>
      <c r="B505" s="7" t="s">
        <v>1971</v>
      </c>
      <c r="C505" s="7" t="s">
        <v>1972</v>
      </c>
      <c r="D505" s="7" t="s">
        <v>1990</v>
      </c>
      <c r="E505" s="8">
        <v>31642</v>
      </c>
      <c r="F505" s="10" t="s">
        <v>2247</v>
      </c>
    </row>
    <row r="506" spans="1:6" ht="14.25" x14ac:dyDescent="0.45">
      <c r="A506" s="6" t="str">
        <f ca="1">IFERROR(__xludf.DUMMYFUNCTION("""COMPUTED_VALUE"""),"X2AJK")</f>
        <v>X2AJK</v>
      </c>
      <c r="B506" s="7" t="s">
        <v>1971</v>
      </c>
      <c r="C506" s="7" t="s">
        <v>1972</v>
      </c>
      <c r="D506" s="7" t="s">
        <v>1993</v>
      </c>
      <c r="E506" s="8">
        <v>31644</v>
      </c>
      <c r="F506" s="10" t="s">
        <v>2040</v>
      </c>
    </row>
    <row r="507" spans="1:6" ht="14.25" x14ac:dyDescent="0.45">
      <c r="A507" s="6" t="str">
        <f ca="1">IFERROR(__xludf.DUMMYFUNCTION("""COMPUTED_VALUE"""),"X2B113")</f>
        <v>X2B113</v>
      </c>
      <c r="B507" s="7" t="s">
        <v>1971</v>
      </c>
      <c r="C507" s="7" t="s">
        <v>1972</v>
      </c>
      <c r="D507" s="7" t="s">
        <v>1975</v>
      </c>
      <c r="E507" s="8">
        <v>31648</v>
      </c>
      <c r="F507" s="9">
        <v>44116</v>
      </c>
    </row>
    <row r="508" spans="1:6" ht="14.25" x14ac:dyDescent="0.45">
      <c r="A508" s="6" t="str">
        <f ca="1">IFERROR(__xludf.DUMMYFUNCTION("""COMPUTED_VALUE"""),"X2CM5")</f>
        <v>X2CM5</v>
      </c>
      <c r="B508" s="7" t="s">
        <v>1971</v>
      </c>
      <c r="C508" s="7" t="s">
        <v>1977</v>
      </c>
      <c r="D508" s="7" t="s">
        <v>1974</v>
      </c>
      <c r="E508" s="8">
        <v>31678</v>
      </c>
      <c r="F508" s="10" t="s">
        <v>2030</v>
      </c>
    </row>
    <row r="509" spans="1:6" ht="14.25" x14ac:dyDescent="0.45">
      <c r="A509" s="6" t="str">
        <f ca="1">IFERROR(__xludf.DUMMYFUNCTION("""COMPUTED_VALUE"""),"X2C9O")</f>
        <v>X2C9O</v>
      </c>
      <c r="B509" s="7" t="s">
        <v>1986</v>
      </c>
      <c r="C509" s="7" t="s">
        <v>1977</v>
      </c>
      <c r="D509" s="7" t="s">
        <v>1974</v>
      </c>
      <c r="E509" s="8">
        <v>31679</v>
      </c>
      <c r="F509" s="9">
        <v>44024</v>
      </c>
    </row>
    <row r="510" spans="1:6" ht="14.25" x14ac:dyDescent="0.45">
      <c r="A510" s="6" t="str">
        <f ca="1">IFERROR(__xludf.DUMMYFUNCTION("""COMPUTED_VALUE"""),"X1RAL")</f>
        <v>X1RAL</v>
      </c>
      <c r="B510" s="7" t="s">
        <v>1986</v>
      </c>
      <c r="C510" s="7" t="s">
        <v>1996</v>
      </c>
      <c r="D510" s="7" t="s">
        <v>1975</v>
      </c>
      <c r="E510" s="8">
        <v>31685</v>
      </c>
      <c r="F510" s="10" t="s">
        <v>2100</v>
      </c>
    </row>
    <row r="511" spans="1:6" ht="14.25" x14ac:dyDescent="0.45">
      <c r="A511" s="6" t="str">
        <f ca="1">IFERROR(__xludf.DUMMYFUNCTION("""COMPUTED_VALUE"""),"X2916I")</f>
        <v>X2916I</v>
      </c>
      <c r="B511" s="7" t="s">
        <v>1971</v>
      </c>
      <c r="C511" s="7" t="s">
        <v>1977</v>
      </c>
      <c r="D511" s="7" t="s">
        <v>1978</v>
      </c>
      <c r="E511" s="8">
        <v>31687</v>
      </c>
      <c r="F511" s="10" t="s">
        <v>1979</v>
      </c>
    </row>
    <row r="512" spans="1:6" ht="14.25" x14ac:dyDescent="0.45">
      <c r="A512" s="6" t="str">
        <f ca="1">IFERROR(__xludf.DUMMYFUNCTION("""COMPUTED_VALUE"""),"XF7XKVO")</f>
        <v>XF7XKVO</v>
      </c>
      <c r="B512" s="7" t="s">
        <v>1971</v>
      </c>
      <c r="C512" s="7" t="s">
        <v>1972</v>
      </c>
      <c r="D512" s="7" t="s">
        <v>1974</v>
      </c>
      <c r="E512" s="8">
        <v>31687</v>
      </c>
      <c r="F512" s="10" t="s">
        <v>2217</v>
      </c>
    </row>
    <row r="513" spans="1:6" ht="14.25" x14ac:dyDescent="0.45">
      <c r="A513" s="6" t="str">
        <f ca="1">IFERROR(__xludf.DUMMYFUNCTION("""COMPUTED_VALUE"""),"XTIKNOI")</f>
        <v>XTIKNOI</v>
      </c>
      <c r="B513" s="7" t="s">
        <v>1971</v>
      </c>
      <c r="C513" s="7" t="s">
        <v>1977</v>
      </c>
      <c r="D513" s="7" t="s">
        <v>1973</v>
      </c>
      <c r="E513" s="8">
        <v>31687</v>
      </c>
      <c r="F513" s="10" t="s">
        <v>2287</v>
      </c>
    </row>
    <row r="514" spans="1:6" ht="14.25" x14ac:dyDescent="0.45">
      <c r="A514" s="6" t="str">
        <f ca="1">IFERROR(__xludf.DUMMYFUNCTION("""COMPUTED_VALUE"""),"X3830")</f>
        <v>X3830</v>
      </c>
      <c r="B514" s="7" t="s">
        <v>1980</v>
      </c>
      <c r="C514" s="7" t="s">
        <v>1977</v>
      </c>
      <c r="D514" s="7" t="s">
        <v>1978</v>
      </c>
      <c r="E514" s="8">
        <v>31688</v>
      </c>
      <c r="F514" s="10" t="s">
        <v>2189</v>
      </c>
    </row>
    <row r="515" spans="1:6" ht="14.25" x14ac:dyDescent="0.45">
      <c r="A515" s="6" t="str">
        <f ca="1">IFERROR(__xludf.DUMMYFUNCTION("""COMPUTED_VALUE"""),"XJPS9B4")</f>
        <v>XJPS9B4</v>
      </c>
      <c r="B515" s="7" t="s">
        <v>1971</v>
      </c>
      <c r="C515" s="7" t="s">
        <v>1977</v>
      </c>
      <c r="D515" s="7" t="s">
        <v>2014</v>
      </c>
      <c r="E515" s="8">
        <v>31691</v>
      </c>
      <c r="F515" s="10" t="s">
        <v>2242</v>
      </c>
    </row>
    <row r="516" spans="1:6" ht="14.25" x14ac:dyDescent="0.45">
      <c r="A516" s="6" t="str">
        <f ca="1">IFERROR(__xludf.DUMMYFUNCTION("""COMPUTED_VALUE"""),"X24BL")</f>
        <v>X24BL</v>
      </c>
      <c r="B516" s="7" t="s">
        <v>1971</v>
      </c>
      <c r="C516" s="7" t="s">
        <v>1972</v>
      </c>
      <c r="D516" s="7" t="s">
        <v>1978</v>
      </c>
      <c r="E516" s="8">
        <v>31692</v>
      </c>
      <c r="F516" s="9">
        <v>44170</v>
      </c>
    </row>
    <row r="517" spans="1:6" ht="14.25" x14ac:dyDescent="0.45">
      <c r="A517" s="6" t="str">
        <f ca="1">IFERROR(__xludf.DUMMYFUNCTION("""COMPUTED_VALUE"""),"X3786")</f>
        <v>X3786</v>
      </c>
      <c r="B517" s="7" t="s">
        <v>1980</v>
      </c>
      <c r="C517" s="7" t="s">
        <v>1972</v>
      </c>
      <c r="D517" s="7" t="s">
        <v>1975</v>
      </c>
      <c r="E517" s="8">
        <v>31697</v>
      </c>
      <c r="F517" s="10" t="s">
        <v>2189</v>
      </c>
    </row>
    <row r="518" spans="1:6" ht="14.25" x14ac:dyDescent="0.45">
      <c r="A518" s="6" t="str">
        <f ca="1">IFERROR(__xludf.DUMMYFUNCTION("""COMPUTED_VALUE"""),"X3649")</f>
        <v>X3649</v>
      </c>
      <c r="B518" s="7" t="s">
        <v>1980</v>
      </c>
      <c r="C518" s="7" t="s">
        <v>1972</v>
      </c>
      <c r="D518" s="7" t="s">
        <v>2007</v>
      </c>
      <c r="E518" s="8">
        <v>31702</v>
      </c>
      <c r="F518" s="10" t="s">
        <v>2198</v>
      </c>
    </row>
    <row r="519" spans="1:6" ht="14.25" x14ac:dyDescent="0.45">
      <c r="A519" s="6" t="str">
        <f ca="1">IFERROR(__xludf.DUMMYFUNCTION("""COMPUTED_VALUE"""),"XPPKCJP")</f>
        <v>XPPKCJP</v>
      </c>
      <c r="B519" s="7" t="s">
        <v>1971</v>
      </c>
      <c r="C519" s="7" t="s">
        <v>1972</v>
      </c>
      <c r="D519" s="7" t="s">
        <v>2072</v>
      </c>
      <c r="E519" s="8">
        <v>31704</v>
      </c>
      <c r="F519" s="9">
        <v>44474</v>
      </c>
    </row>
    <row r="520" spans="1:6" ht="14.25" x14ac:dyDescent="0.45">
      <c r="A520" s="6" t="str">
        <f ca="1">IFERROR(__xludf.DUMMYFUNCTION("""COMPUTED_VALUE"""),"X2DXJ")</f>
        <v>X2DXJ</v>
      </c>
      <c r="B520" s="7" t="s">
        <v>1980</v>
      </c>
      <c r="C520" s="7" t="s">
        <v>1972</v>
      </c>
      <c r="D520" s="7" t="s">
        <v>1993</v>
      </c>
      <c r="E520" s="8">
        <v>31711</v>
      </c>
      <c r="F520" s="10" t="s">
        <v>2152</v>
      </c>
    </row>
    <row r="521" spans="1:6" ht="14.25" x14ac:dyDescent="0.45">
      <c r="A521" s="6" t="str">
        <f ca="1">IFERROR(__xludf.DUMMYFUNCTION("""COMPUTED_VALUE"""),"X3742")</f>
        <v>X3742</v>
      </c>
      <c r="B521" s="7" t="s">
        <v>1980</v>
      </c>
      <c r="C521" s="7" t="s">
        <v>1972</v>
      </c>
      <c r="D521" s="7" t="s">
        <v>1993</v>
      </c>
      <c r="E521" s="8">
        <v>31714</v>
      </c>
      <c r="F521" s="10" t="s">
        <v>2185</v>
      </c>
    </row>
    <row r="522" spans="1:6" ht="14.25" x14ac:dyDescent="0.45">
      <c r="A522" s="6" t="str">
        <f ca="1">IFERROR(__xludf.DUMMYFUNCTION("""COMPUTED_VALUE"""),"XDRE7RS")</f>
        <v>XDRE7RS</v>
      </c>
      <c r="B522" s="7" t="s">
        <v>1971</v>
      </c>
      <c r="C522" s="7" t="s">
        <v>1981</v>
      </c>
      <c r="D522" s="7" t="s">
        <v>1975</v>
      </c>
      <c r="E522" s="8">
        <v>31715</v>
      </c>
      <c r="F522" s="10" t="s">
        <v>2314</v>
      </c>
    </row>
    <row r="523" spans="1:6" ht="14.25" x14ac:dyDescent="0.45">
      <c r="A523" s="6" t="str">
        <f ca="1">IFERROR(__xludf.DUMMYFUNCTION("""COMPUTED_VALUE"""),"X1JQ0")</f>
        <v>X1JQ0</v>
      </c>
      <c r="B523" s="7" t="s">
        <v>1971</v>
      </c>
      <c r="C523" s="7" t="s">
        <v>1972</v>
      </c>
      <c r="D523" s="7" t="s">
        <v>1974</v>
      </c>
      <c r="E523" s="8">
        <v>31717</v>
      </c>
      <c r="F523" s="10" t="s">
        <v>2037</v>
      </c>
    </row>
    <row r="524" spans="1:6" ht="14.25" x14ac:dyDescent="0.45">
      <c r="A524" s="6" t="str">
        <f ca="1">IFERROR(__xludf.DUMMYFUNCTION("""COMPUTED_VALUE"""),"X2CP8")</f>
        <v>X2CP8</v>
      </c>
      <c r="B524" s="7" t="s">
        <v>1971</v>
      </c>
      <c r="C524" s="7" t="s">
        <v>1972</v>
      </c>
      <c r="D524" s="7" t="s">
        <v>1975</v>
      </c>
      <c r="E524" s="8">
        <v>31717</v>
      </c>
      <c r="F524" s="10" t="s">
        <v>2001</v>
      </c>
    </row>
    <row r="525" spans="1:6" ht="14.25" x14ac:dyDescent="0.45">
      <c r="A525" s="6" t="str">
        <f ca="1">IFERROR(__xludf.DUMMYFUNCTION("""COMPUTED_VALUE"""),"X1807")</f>
        <v>X1807</v>
      </c>
      <c r="B525" s="7" t="s">
        <v>1971</v>
      </c>
      <c r="C525" s="7" t="s">
        <v>1972</v>
      </c>
      <c r="D525" s="7" t="s">
        <v>2012</v>
      </c>
      <c r="E525" s="8">
        <v>31720</v>
      </c>
      <c r="F525" s="9">
        <v>42890</v>
      </c>
    </row>
    <row r="526" spans="1:6" ht="14.25" x14ac:dyDescent="0.45">
      <c r="A526" s="6" t="str">
        <f ca="1">IFERROR(__xludf.DUMMYFUNCTION("""COMPUTED_VALUE"""),"XWISDEK")</f>
        <v>XWISDEK</v>
      </c>
      <c r="B526" s="7" t="s">
        <v>1971</v>
      </c>
      <c r="C526" s="7" t="s">
        <v>1974</v>
      </c>
      <c r="D526" s="7" t="s">
        <v>1974</v>
      </c>
      <c r="E526" s="8">
        <v>31720</v>
      </c>
      <c r="F526" s="10" t="s">
        <v>2246</v>
      </c>
    </row>
    <row r="527" spans="1:6" ht="14.25" x14ac:dyDescent="0.45">
      <c r="A527" s="6" t="str">
        <f ca="1">IFERROR(__xludf.DUMMYFUNCTION("""COMPUTED_VALUE"""),"X28CG")</f>
        <v>X28CG</v>
      </c>
      <c r="B527" s="7" t="s">
        <v>1971</v>
      </c>
      <c r="C527" s="7" t="s">
        <v>1972</v>
      </c>
      <c r="D527" s="7" t="s">
        <v>2091</v>
      </c>
      <c r="E527" s="8">
        <v>31746</v>
      </c>
      <c r="F527" s="10" t="s">
        <v>2125</v>
      </c>
    </row>
    <row r="528" spans="1:6" ht="14.25" x14ac:dyDescent="0.45">
      <c r="A528" s="6" t="str">
        <f ca="1">IFERROR(__xludf.DUMMYFUNCTION("""COMPUTED_VALUE"""),"X3190")</f>
        <v>X3190</v>
      </c>
      <c r="B528" s="7" t="s">
        <v>1971</v>
      </c>
      <c r="C528" s="7" t="s">
        <v>1977</v>
      </c>
      <c r="D528" s="7" t="s">
        <v>1974</v>
      </c>
      <c r="E528" s="8">
        <v>31751</v>
      </c>
      <c r="F528" s="9">
        <v>43166</v>
      </c>
    </row>
    <row r="529" spans="1:6" ht="14.25" x14ac:dyDescent="0.45">
      <c r="A529" s="6" t="str">
        <f ca="1">IFERROR(__xludf.DUMMYFUNCTION("""COMPUTED_VALUE"""),"X22RN")</f>
        <v>X22RN</v>
      </c>
      <c r="B529" s="7" t="s">
        <v>1986</v>
      </c>
      <c r="C529" s="7" t="s">
        <v>1972</v>
      </c>
      <c r="D529" s="7" t="s">
        <v>1974</v>
      </c>
      <c r="E529" s="8">
        <v>31771</v>
      </c>
      <c r="F529" s="10" t="s">
        <v>2142</v>
      </c>
    </row>
    <row r="530" spans="1:6" ht="14.25" x14ac:dyDescent="0.45">
      <c r="A530" s="6" t="str">
        <f ca="1">IFERROR(__xludf.DUMMYFUNCTION("""COMPUTED_VALUE"""),"X1673")</f>
        <v>X1673</v>
      </c>
      <c r="B530" s="7" t="s">
        <v>1971</v>
      </c>
      <c r="C530" s="7" t="s">
        <v>1972</v>
      </c>
      <c r="D530" s="7" t="s">
        <v>1990</v>
      </c>
      <c r="E530" s="8">
        <v>31772</v>
      </c>
      <c r="F530" s="10" t="s">
        <v>2000</v>
      </c>
    </row>
    <row r="531" spans="1:6" ht="14.25" x14ac:dyDescent="0.45">
      <c r="A531" s="6" t="str">
        <f ca="1">IFERROR(__xludf.DUMMYFUNCTION("""COMPUTED_VALUE"""),"X1XG2")</f>
        <v>X1XG2</v>
      </c>
      <c r="B531" s="7" t="s">
        <v>1971</v>
      </c>
      <c r="C531" s="7" t="s">
        <v>1972</v>
      </c>
      <c r="D531" s="7" t="s">
        <v>1975</v>
      </c>
      <c r="E531" s="8">
        <v>31782</v>
      </c>
      <c r="F531" s="9">
        <v>43809</v>
      </c>
    </row>
    <row r="532" spans="1:6" ht="14.25" x14ac:dyDescent="0.45">
      <c r="A532" s="6" t="str">
        <f ca="1">IFERROR(__xludf.DUMMYFUNCTION("""COMPUTED_VALUE"""),"X1697")</f>
        <v>X1697</v>
      </c>
      <c r="B532" s="7" t="s">
        <v>1971</v>
      </c>
      <c r="C532" s="7" t="s">
        <v>1972</v>
      </c>
      <c r="D532" s="7" t="s">
        <v>1997</v>
      </c>
      <c r="E532" s="8">
        <v>31783</v>
      </c>
      <c r="F532" s="10" t="s">
        <v>2000</v>
      </c>
    </row>
    <row r="533" spans="1:6" ht="14.25" x14ac:dyDescent="0.45">
      <c r="A533" s="6" t="str">
        <f ca="1">IFERROR(__xludf.DUMMYFUNCTION("""COMPUTED_VALUE"""),"XBCERGD")</f>
        <v>XBCERGD</v>
      </c>
      <c r="B533" s="7" t="s">
        <v>1971</v>
      </c>
      <c r="C533" s="7" t="s">
        <v>1972</v>
      </c>
      <c r="D533" s="7" t="s">
        <v>1974</v>
      </c>
      <c r="E533" s="8">
        <v>31809</v>
      </c>
      <c r="F533" s="10" t="s">
        <v>2261</v>
      </c>
    </row>
    <row r="534" spans="1:6" ht="14.25" x14ac:dyDescent="0.45">
      <c r="A534" s="6" t="str">
        <f ca="1">IFERROR(__xludf.DUMMYFUNCTION("""COMPUTED_VALUE"""),"X1787Q6")</f>
        <v>X1787Q6</v>
      </c>
      <c r="B534" s="7" t="s">
        <v>1971</v>
      </c>
      <c r="C534" s="7" t="s">
        <v>1972</v>
      </c>
      <c r="D534" s="7" t="s">
        <v>1995</v>
      </c>
      <c r="E534" s="8">
        <v>31811</v>
      </c>
      <c r="F534" s="10" t="s">
        <v>2200</v>
      </c>
    </row>
    <row r="535" spans="1:6" ht="14.25" x14ac:dyDescent="0.45">
      <c r="A535" s="6" t="str">
        <f ca="1">IFERROR(__xludf.DUMMYFUNCTION("""COMPUTED_VALUE"""),"X2DH3")</f>
        <v>X2DH3</v>
      </c>
      <c r="B535" s="7" t="s">
        <v>1971</v>
      </c>
      <c r="C535" s="7" t="s">
        <v>1974</v>
      </c>
      <c r="D535" s="7" t="s">
        <v>1990</v>
      </c>
      <c r="E535" s="8">
        <v>31817</v>
      </c>
      <c r="F535" s="10" t="s">
        <v>2061</v>
      </c>
    </row>
    <row r="536" spans="1:6" ht="14.25" x14ac:dyDescent="0.45">
      <c r="A536" s="6" t="str">
        <f ca="1">IFERROR(__xludf.DUMMYFUNCTION("""COMPUTED_VALUE"""),"X2DQB")</f>
        <v>X2DQB</v>
      </c>
      <c r="B536" s="7" t="s">
        <v>1986</v>
      </c>
      <c r="C536" s="7" t="s">
        <v>1977</v>
      </c>
      <c r="D536" s="7" t="s">
        <v>1975</v>
      </c>
      <c r="E536" s="8">
        <v>31818</v>
      </c>
      <c r="F536" s="10" t="s">
        <v>2042</v>
      </c>
    </row>
    <row r="537" spans="1:6" ht="14.25" x14ac:dyDescent="0.45">
      <c r="A537" s="6" t="str">
        <f ca="1">IFERROR(__xludf.DUMMYFUNCTION("""COMPUTED_VALUE"""),"XD5EQ4T")</f>
        <v>XD5EQ4T</v>
      </c>
      <c r="B537" s="7" t="s">
        <v>1971</v>
      </c>
      <c r="C537" s="7" t="s">
        <v>1972</v>
      </c>
      <c r="D537" s="7" t="s">
        <v>1978</v>
      </c>
      <c r="E537" s="8">
        <v>31819</v>
      </c>
      <c r="F537" s="10" t="s">
        <v>2193</v>
      </c>
    </row>
    <row r="538" spans="1:6" ht="14.25" x14ac:dyDescent="0.45">
      <c r="A538" s="6" t="str">
        <f ca="1">IFERROR(__xludf.DUMMYFUNCTION("""COMPUTED_VALUE"""),"X1TL0")</f>
        <v>X1TL0</v>
      </c>
      <c r="B538" s="7" t="s">
        <v>1980</v>
      </c>
      <c r="C538" s="7" t="s">
        <v>1977</v>
      </c>
      <c r="D538" s="7" t="s">
        <v>1995</v>
      </c>
      <c r="E538" s="8">
        <v>31836</v>
      </c>
      <c r="F538" s="9">
        <v>43775</v>
      </c>
    </row>
    <row r="539" spans="1:6" ht="14.25" x14ac:dyDescent="0.45">
      <c r="A539" s="6" t="str">
        <f ca="1">IFERROR(__xludf.DUMMYFUNCTION("""COMPUTED_VALUE"""),"X2DOY")</f>
        <v>X2DOY</v>
      </c>
      <c r="B539" s="7" t="s">
        <v>1971</v>
      </c>
      <c r="C539" s="7" t="s">
        <v>1972</v>
      </c>
      <c r="D539" s="7" t="s">
        <v>2026</v>
      </c>
      <c r="E539" s="8">
        <v>31843</v>
      </c>
      <c r="F539" s="10" t="s">
        <v>2042</v>
      </c>
    </row>
    <row r="540" spans="1:6" ht="14.25" x14ac:dyDescent="0.45">
      <c r="A540" s="6" t="str">
        <f ca="1">IFERROR(__xludf.DUMMYFUNCTION("""COMPUTED_VALUE"""),"X2AGN")</f>
        <v>X2AGN</v>
      </c>
      <c r="B540" s="7" t="s">
        <v>1971</v>
      </c>
      <c r="C540" s="7" t="s">
        <v>1972</v>
      </c>
      <c r="D540" s="7" t="s">
        <v>1990</v>
      </c>
      <c r="E540" s="8">
        <v>31846</v>
      </c>
      <c r="F540" s="10" t="s">
        <v>2050</v>
      </c>
    </row>
    <row r="541" spans="1:6" ht="14.25" x14ac:dyDescent="0.45">
      <c r="A541" s="6" t="str">
        <f ca="1">IFERROR(__xludf.DUMMYFUNCTION("""COMPUTED_VALUE"""),"X29W8")</f>
        <v>X29W8</v>
      </c>
      <c r="B541" s="7" t="s">
        <v>1971</v>
      </c>
      <c r="C541" s="7" t="s">
        <v>1981</v>
      </c>
      <c r="D541" s="7" t="s">
        <v>1975</v>
      </c>
      <c r="E541" s="8">
        <v>31850</v>
      </c>
      <c r="F541" s="9">
        <v>44175</v>
      </c>
    </row>
    <row r="542" spans="1:6" ht="14.25" x14ac:dyDescent="0.45">
      <c r="A542" s="6" t="str">
        <f ca="1">IFERROR(__xludf.DUMMYFUNCTION("""COMPUTED_VALUE"""),"X2ACY")</f>
        <v>X2ACY</v>
      </c>
      <c r="B542" s="7" t="s">
        <v>1971</v>
      </c>
      <c r="C542" s="7" t="s">
        <v>1972</v>
      </c>
      <c r="D542" s="7" t="s">
        <v>1974</v>
      </c>
      <c r="E542" s="8">
        <v>31864</v>
      </c>
      <c r="F542" s="10" t="s">
        <v>2049</v>
      </c>
    </row>
    <row r="543" spans="1:6" ht="14.25" x14ac:dyDescent="0.45">
      <c r="A543" s="6" t="str">
        <f ca="1">IFERROR(__xludf.DUMMYFUNCTION("""COMPUTED_VALUE"""),"X2299")</f>
        <v>X2299</v>
      </c>
      <c r="B543" s="7" t="s">
        <v>1971</v>
      </c>
      <c r="C543" s="7" t="s">
        <v>1977</v>
      </c>
      <c r="D543" s="7" t="s">
        <v>1990</v>
      </c>
      <c r="E543" s="8">
        <v>31876</v>
      </c>
      <c r="F543" s="10" t="s">
        <v>2059</v>
      </c>
    </row>
    <row r="544" spans="1:6" ht="14.25" x14ac:dyDescent="0.45">
      <c r="A544" s="6" t="str">
        <f ca="1">IFERROR(__xludf.DUMMYFUNCTION("""COMPUTED_VALUE"""),"X2BCF")</f>
        <v>X2BCF</v>
      </c>
      <c r="B544" s="7" t="s">
        <v>1971</v>
      </c>
      <c r="C544" s="7" t="s">
        <v>1993</v>
      </c>
      <c r="D544" s="7" t="s">
        <v>1982</v>
      </c>
      <c r="E544" s="8">
        <v>31890</v>
      </c>
      <c r="F544" s="10" t="s">
        <v>2029</v>
      </c>
    </row>
    <row r="545" spans="1:6" ht="14.25" x14ac:dyDescent="0.45">
      <c r="A545" s="6" t="str">
        <f ca="1">IFERROR(__xludf.DUMMYFUNCTION("""COMPUTED_VALUE"""),"XEA8FJW")</f>
        <v>XEA8FJW</v>
      </c>
      <c r="B545" s="7" t="s">
        <v>1971</v>
      </c>
      <c r="C545" s="7" t="s">
        <v>1972</v>
      </c>
      <c r="D545" s="7" t="s">
        <v>1990</v>
      </c>
      <c r="E545" s="8">
        <v>31899</v>
      </c>
      <c r="F545" s="10" t="s">
        <v>2212</v>
      </c>
    </row>
    <row r="546" spans="1:6" ht="14.25" x14ac:dyDescent="0.45">
      <c r="A546" s="6" t="str">
        <f ca="1">IFERROR(__xludf.DUMMYFUNCTION("""COMPUTED_VALUE"""),"XIF1XVY")</f>
        <v>XIF1XVY</v>
      </c>
      <c r="B546" s="7" t="s">
        <v>1971</v>
      </c>
      <c r="C546" s="7" t="s">
        <v>1972</v>
      </c>
      <c r="D546" s="7" t="s">
        <v>1990</v>
      </c>
      <c r="E546" s="8">
        <v>31904</v>
      </c>
      <c r="F546" s="10" t="s">
        <v>2192</v>
      </c>
    </row>
    <row r="547" spans="1:6" ht="14.25" x14ac:dyDescent="0.45">
      <c r="A547" s="6" t="str">
        <f ca="1">IFERROR(__xludf.DUMMYFUNCTION("""COMPUTED_VALUE"""),"XNJFTEK")</f>
        <v>XNJFTEK</v>
      </c>
      <c r="B547" s="7" t="s">
        <v>1971</v>
      </c>
      <c r="C547" s="7" t="s">
        <v>1981</v>
      </c>
      <c r="D547" s="7" t="s">
        <v>1974</v>
      </c>
      <c r="E547" s="8">
        <v>31917</v>
      </c>
      <c r="F547" s="9">
        <v>44290</v>
      </c>
    </row>
    <row r="548" spans="1:6" ht="14.25" x14ac:dyDescent="0.45">
      <c r="A548" s="6" t="str">
        <f ca="1">IFERROR(__xludf.DUMMYFUNCTION("""COMPUTED_VALUE"""),"XJUWX9D")</f>
        <v>XJUWX9D</v>
      </c>
      <c r="B548" s="7" t="s">
        <v>1971</v>
      </c>
      <c r="C548" s="7" t="s">
        <v>1981</v>
      </c>
      <c r="D548" s="7" t="s">
        <v>2020</v>
      </c>
      <c r="E548" s="8">
        <v>31936</v>
      </c>
      <c r="F548" s="10" t="s">
        <v>2261</v>
      </c>
    </row>
    <row r="549" spans="1:6" ht="14.25" x14ac:dyDescent="0.45">
      <c r="A549" s="6" t="str">
        <f ca="1">IFERROR(__xludf.DUMMYFUNCTION("""COMPUTED_VALUE"""),"X7G482Y")</f>
        <v>X7G482Y</v>
      </c>
      <c r="B549" s="7" t="s">
        <v>1971</v>
      </c>
      <c r="C549" s="7" t="s">
        <v>1974</v>
      </c>
      <c r="D549" s="7" t="s">
        <v>1974</v>
      </c>
      <c r="E549" s="8">
        <v>31971</v>
      </c>
      <c r="F549" s="10" t="s">
        <v>2246</v>
      </c>
    </row>
    <row r="550" spans="1:6" ht="14.25" x14ac:dyDescent="0.45">
      <c r="A550" s="6" t="str">
        <f ca="1">IFERROR(__xludf.DUMMYFUNCTION("""COMPUTED_VALUE"""),"X1LJN")</f>
        <v>X1LJN</v>
      </c>
      <c r="B550" s="7" t="s">
        <v>1971</v>
      </c>
      <c r="C550" s="7" t="s">
        <v>1977</v>
      </c>
      <c r="D550" s="7" t="s">
        <v>1978</v>
      </c>
      <c r="E550" s="8">
        <v>31976</v>
      </c>
      <c r="F550" s="9">
        <v>43414</v>
      </c>
    </row>
    <row r="551" spans="1:6" ht="14.25" x14ac:dyDescent="0.45">
      <c r="A551" s="6" t="str">
        <f ca="1">IFERROR(__xludf.DUMMYFUNCTION("""COMPUTED_VALUE"""),"X24CH")</f>
        <v>X24CH</v>
      </c>
      <c r="B551" s="7" t="s">
        <v>1971</v>
      </c>
      <c r="C551" s="7" t="s">
        <v>1972</v>
      </c>
      <c r="D551" s="7" t="s">
        <v>2020</v>
      </c>
      <c r="E551" s="8">
        <v>31981</v>
      </c>
      <c r="F551" s="10" t="s">
        <v>2127</v>
      </c>
    </row>
    <row r="552" spans="1:6" ht="14.25" x14ac:dyDescent="0.45">
      <c r="A552" s="6" t="str">
        <f ca="1">IFERROR(__xludf.DUMMYFUNCTION("""COMPUTED_VALUE"""),"X2A5A")</f>
        <v>X2A5A</v>
      </c>
      <c r="B552" s="7" t="s">
        <v>1971</v>
      </c>
      <c r="C552" s="7" t="s">
        <v>1977</v>
      </c>
      <c r="D552" s="7" t="s">
        <v>1974</v>
      </c>
      <c r="E552" s="8">
        <v>31989</v>
      </c>
      <c r="F552" s="10" t="s">
        <v>2039</v>
      </c>
    </row>
    <row r="553" spans="1:6" ht="14.25" x14ac:dyDescent="0.45">
      <c r="A553" s="6" t="str">
        <f ca="1">IFERROR(__xludf.DUMMYFUNCTION("""COMPUTED_VALUE"""),"XN9TTY2")</f>
        <v>XN9TTY2</v>
      </c>
      <c r="B553" s="7" t="s">
        <v>1971</v>
      </c>
      <c r="C553" s="7" t="s">
        <v>1972</v>
      </c>
      <c r="D553" s="7" t="s">
        <v>1997</v>
      </c>
      <c r="E553" s="8">
        <v>31991</v>
      </c>
      <c r="F553" s="9">
        <v>44324</v>
      </c>
    </row>
    <row r="554" spans="1:6" ht="14.25" x14ac:dyDescent="0.45">
      <c r="A554" s="6" t="str">
        <f ca="1">IFERROR(__xludf.DUMMYFUNCTION("""COMPUTED_VALUE"""),"X7IWECZ")</f>
        <v>X7IWECZ</v>
      </c>
      <c r="B554" s="7" t="s">
        <v>1971</v>
      </c>
      <c r="C554" s="7" t="s">
        <v>1974</v>
      </c>
      <c r="D554" s="7" t="s">
        <v>1974</v>
      </c>
      <c r="E554" s="8">
        <v>31993</v>
      </c>
      <c r="F554" s="9">
        <v>44320</v>
      </c>
    </row>
    <row r="555" spans="1:6" ht="14.25" x14ac:dyDescent="0.45">
      <c r="A555" s="6" t="str">
        <f ca="1">IFERROR(__xludf.DUMMYFUNCTION("""COMPUTED_VALUE"""),"X2638")</f>
        <v>X2638</v>
      </c>
      <c r="B555" s="7" t="s">
        <v>1971</v>
      </c>
      <c r="C555" s="7" t="s">
        <v>1977</v>
      </c>
      <c r="D555" s="7" t="s">
        <v>1975</v>
      </c>
      <c r="E555" s="8">
        <v>31995</v>
      </c>
      <c r="F555" s="9">
        <v>43018</v>
      </c>
    </row>
    <row r="556" spans="1:6" ht="14.25" x14ac:dyDescent="0.45">
      <c r="A556" s="6" t="str">
        <f ca="1">IFERROR(__xludf.DUMMYFUNCTION("""COMPUTED_VALUE"""),"X1Y72")</f>
        <v>X1Y72</v>
      </c>
      <c r="B556" s="7" t="s">
        <v>1971</v>
      </c>
      <c r="C556" s="7" t="s">
        <v>1972</v>
      </c>
      <c r="D556" s="7" t="s">
        <v>2020</v>
      </c>
      <c r="E556" s="8">
        <v>32015</v>
      </c>
      <c r="F556" s="10" t="s">
        <v>2078</v>
      </c>
    </row>
    <row r="557" spans="1:6" ht="14.25" x14ac:dyDescent="0.45">
      <c r="A557" s="6" t="str">
        <f ca="1">IFERROR(__xludf.DUMMYFUNCTION("""COMPUTED_VALUE"""),"X34KW8W")</f>
        <v>X34KW8W</v>
      </c>
      <c r="B557" s="7" t="s">
        <v>1971</v>
      </c>
      <c r="C557" s="7" t="s">
        <v>1972</v>
      </c>
      <c r="D557" s="7" t="s">
        <v>2072</v>
      </c>
      <c r="E557" s="8">
        <v>32032</v>
      </c>
      <c r="F557" s="10" t="s">
        <v>2261</v>
      </c>
    </row>
    <row r="558" spans="1:6" ht="14.25" x14ac:dyDescent="0.45">
      <c r="A558" s="6" t="str">
        <f ca="1">IFERROR(__xludf.DUMMYFUNCTION("""COMPUTED_VALUE"""),"XCYBWNH")</f>
        <v>XCYBWNH</v>
      </c>
      <c r="B558" s="7" t="s">
        <v>1971</v>
      </c>
      <c r="C558" s="7" t="s">
        <v>1972</v>
      </c>
      <c r="D558" s="7" t="s">
        <v>1978</v>
      </c>
      <c r="E558" s="8">
        <v>32035</v>
      </c>
      <c r="F558" s="10" t="s">
        <v>2262</v>
      </c>
    </row>
    <row r="559" spans="1:6" ht="14.25" x14ac:dyDescent="0.45">
      <c r="A559" s="6" t="str">
        <f ca="1">IFERROR(__xludf.DUMMYFUNCTION("""COMPUTED_VALUE"""),"XA65ZRB")</f>
        <v>XA65ZRB</v>
      </c>
      <c r="B559" s="7" t="s">
        <v>1971</v>
      </c>
      <c r="C559" s="7" t="s">
        <v>1972</v>
      </c>
      <c r="D559" s="7" t="s">
        <v>1974</v>
      </c>
      <c r="E559" s="8">
        <v>32035</v>
      </c>
      <c r="F559" s="10" t="s">
        <v>2286</v>
      </c>
    </row>
    <row r="560" spans="1:6" ht="14.25" x14ac:dyDescent="0.45">
      <c r="A560" s="6" t="str">
        <f ca="1">IFERROR(__xludf.DUMMYFUNCTION("""COMPUTED_VALUE"""),"X3460")</f>
        <v>X3460</v>
      </c>
      <c r="B560" s="7" t="s">
        <v>1971</v>
      </c>
      <c r="C560" s="7" t="s">
        <v>1972</v>
      </c>
      <c r="D560" s="7" t="s">
        <v>1978</v>
      </c>
      <c r="E560" s="8">
        <v>32051</v>
      </c>
      <c r="F560" s="9">
        <v>43167</v>
      </c>
    </row>
    <row r="561" spans="1:6" ht="14.25" x14ac:dyDescent="0.45">
      <c r="A561" s="6" t="str">
        <f ca="1">IFERROR(__xludf.DUMMYFUNCTION("""COMPUTED_VALUE"""),"X2C10L")</f>
        <v>X2C10L</v>
      </c>
      <c r="B561" s="7" t="s">
        <v>1971</v>
      </c>
      <c r="C561" s="7" t="s">
        <v>1977</v>
      </c>
      <c r="D561" s="7" t="s">
        <v>1975</v>
      </c>
      <c r="E561" s="8">
        <v>32058</v>
      </c>
      <c r="F561" s="9">
        <v>44287</v>
      </c>
    </row>
    <row r="562" spans="1:6" ht="14.25" x14ac:dyDescent="0.45">
      <c r="A562" s="6" t="str">
        <f ca="1">IFERROR(__xludf.DUMMYFUNCTION("""COMPUTED_VALUE"""),"XW9WWWC")</f>
        <v>XW9WWWC</v>
      </c>
      <c r="B562" s="7" t="s">
        <v>1971</v>
      </c>
      <c r="C562" s="7" t="s">
        <v>1972</v>
      </c>
      <c r="D562" s="7" t="s">
        <v>1993</v>
      </c>
      <c r="E562" s="8">
        <v>32059</v>
      </c>
      <c r="F562" s="10" t="s">
        <v>2245</v>
      </c>
    </row>
    <row r="563" spans="1:6" ht="14.25" x14ac:dyDescent="0.45">
      <c r="A563" s="6" t="str">
        <f ca="1">IFERROR(__xludf.DUMMYFUNCTION("""COMPUTED_VALUE"""),"X2CLM")</f>
        <v>X2CLM</v>
      </c>
      <c r="B563" s="7" t="s">
        <v>1971</v>
      </c>
      <c r="C563" s="7" t="s">
        <v>1981</v>
      </c>
      <c r="D563" s="7" t="s">
        <v>1974</v>
      </c>
      <c r="E563" s="8">
        <v>32065</v>
      </c>
      <c r="F563" s="10" t="s">
        <v>2030</v>
      </c>
    </row>
    <row r="564" spans="1:6" ht="14.25" x14ac:dyDescent="0.45">
      <c r="A564" s="6" t="str">
        <f ca="1">IFERROR(__xludf.DUMMYFUNCTION("""COMPUTED_VALUE"""),"XOY5DY1")</f>
        <v>XOY5DY1</v>
      </c>
      <c r="B564" s="7" t="s">
        <v>1971</v>
      </c>
      <c r="C564" s="7" t="s">
        <v>1974</v>
      </c>
      <c r="D564" s="7" t="s">
        <v>1975</v>
      </c>
      <c r="E564" s="8">
        <v>32066</v>
      </c>
      <c r="F564" s="10" t="s">
        <v>2217</v>
      </c>
    </row>
    <row r="565" spans="1:6" ht="14.25" x14ac:dyDescent="0.45">
      <c r="A565" s="6" t="str">
        <f ca="1">IFERROR(__xludf.DUMMYFUNCTION("""COMPUTED_VALUE"""),"XJ98GJ8")</f>
        <v>XJ98GJ8</v>
      </c>
      <c r="B565" s="7" t="s">
        <v>1971</v>
      </c>
      <c r="C565" s="7" t="s">
        <v>1972</v>
      </c>
      <c r="D565" s="7" t="s">
        <v>1974</v>
      </c>
      <c r="E565" s="8">
        <v>32067</v>
      </c>
      <c r="F565" s="9">
        <v>44508</v>
      </c>
    </row>
    <row r="566" spans="1:6" ht="14.25" x14ac:dyDescent="0.45">
      <c r="A566" s="6" t="str">
        <f ca="1">IFERROR(__xludf.DUMMYFUNCTION("""COMPUTED_VALUE"""),"X2BO3")</f>
        <v>X2BO3</v>
      </c>
      <c r="B566" s="7" t="s">
        <v>1971</v>
      </c>
      <c r="C566" s="7" t="s">
        <v>1981</v>
      </c>
      <c r="D566" s="7" t="s">
        <v>1990</v>
      </c>
      <c r="E566" s="8">
        <v>32069</v>
      </c>
      <c r="F566" s="10" t="s">
        <v>2005</v>
      </c>
    </row>
    <row r="567" spans="1:6" ht="14.25" x14ac:dyDescent="0.45">
      <c r="A567" s="6" t="str">
        <f ca="1">IFERROR(__xludf.DUMMYFUNCTION("""COMPUTED_VALUE"""),"X64EAAL")</f>
        <v>X64EAAL</v>
      </c>
      <c r="B567" s="7" t="s">
        <v>1971</v>
      </c>
      <c r="C567" s="7" t="s">
        <v>1972</v>
      </c>
      <c r="D567" s="7" t="s">
        <v>1974</v>
      </c>
      <c r="E567" s="8">
        <v>32070</v>
      </c>
      <c r="F567" s="10" t="s">
        <v>2261</v>
      </c>
    </row>
    <row r="568" spans="1:6" ht="14.25" x14ac:dyDescent="0.45">
      <c r="A568" s="6" t="str">
        <f ca="1">IFERROR(__xludf.DUMMYFUNCTION("""COMPUTED_VALUE"""),"XO3HRKM")</f>
        <v>XO3HRKM</v>
      </c>
      <c r="B568" s="7" t="s">
        <v>1971</v>
      </c>
      <c r="C568" s="7" t="s">
        <v>1972</v>
      </c>
      <c r="D568" s="7" t="s">
        <v>1974</v>
      </c>
      <c r="E568" s="8">
        <v>32072</v>
      </c>
      <c r="F568" s="9">
        <v>44200</v>
      </c>
    </row>
    <row r="569" spans="1:6" ht="14.25" x14ac:dyDescent="0.45">
      <c r="A569" s="6" t="str">
        <f ca="1">IFERROR(__xludf.DUMMYFUNCTION("""COMPUTED_VALUE"""),"X1VS6")</f>
        <v>X1VS6</v>
      </c>
      <c r="B569" s="7" t="s">
        <v>1971</v>
      </c>
      <c r="C569" s="7" t="s">
        <v>1972</v>
      </c>
      <c r="D569" s="7" t="s">
        <v>1974</v>
      </c>
      <c r="E569" s="8">
        <v>32080</v>
      </c>
      <c r="F569" s="10" t="s">
        <v>2058</v>
      </c>
    </row>
    <row r="570" spans="1:6" ht="14.25" x14ac:dyDescent="0.45">
      <c r="A570" s="6" t="str">
        <f ca="1">IFERROR(__xludf.DUMMYFUNCTION("""COMPUTED_VALUE"""),"X1JPO")</f>
        <v>X1JPO</v>
      </c>
      <c r="B570" s="7" t="s">
        <v>1971</v>
      </c>
      <c r="C570" s="7" t="s">
        <v>1972</v>
      </c>
      <c r="D570" s="7" t="s">
        <v>1978</v>
      </c>
      <c r="E570" s="8">
        <v>32087</v>
      </c>
      <c r="F570" s="10" t="s">
        <v>2037</v>
      </c>
    </row>
    <row r="571" spans="1:6" ht="14.25" x14ac:dyDescent="0.45">
      <c r="A571" s="6" t="str">
        <f ca="1">IFERROR(__xludf.DUMMYFUNCTION("""COMPUTED_VALUE"""),"X2C12Z")</f>
        <v>X2C12Z</v>
      </c>
      <c r="B571" s="7" t="s">
        <v>1971</v>
      </c>
      <c r="C571" s="7" t="s">
        <v>1974</v>
      </c>
      <c r="D571" s="7" t="s">
        <v>1974</v>
      </c>
      <c r="E571" s="8">
        <v>32096</v>
      </c>
      <c r="F571" s="10" t="s">
        <v>2019</v>
      </c>
    </row>
    <row r="572" spans="1:6" ht="14.25" x14ac:dyDescent="0.45">
      <c r="A572" s="6" t="str">
        <f ca="1">IFERROR(__xludf.DUMMYFUNCTION("""COMPUTED_VALUE"""),"X27XV")</f>
        <v>X27XV</v>
      </c>
      <c r="B572" s="7" t="s">
        <v>1971</v>
      </c>
      <c r="C572" s="7" t="s">
        <v>1977</v>
      </c>
      <c r="D572" s="7" t="s">
        <v>1974</v>
      </c>
      <c r="E572" s="8">
        <v>32097</v>
      </c>
      <c r="F572" s="10" t="s">
        <v>2017</v>
      </c>
    </row>
    <row r="573" spans="1:6" ht="14.25" x14ac:dyDescent="0.45">
      <c r="A573" s="6" t="str">
        <f ca="1">IFERROR(__xludf.DUMMYFUNCTION("""COMPUTED_VALUE"""),"XTC5ROT")</f>
        <v>XTC5ROT</v>
      </c>
      <c r="B573" s="7" t="s">
        <v>1971</v>
      </c>
      <c r="C573" s="7" t="s">
        <v>1972</v>
      </c>
      <c r="D573" s="7" t="s">
        <v>2020</v>
      </c>
      <c r="E573" s="8">
        <v>32098</v>
      </c>
      <c r="F573" s="9">
        <v>44474</v>
      </c>
    </row>
    <row r="574" spans="1:6" ht="14.25" x14ac:dyDescent="0.45">
      <c r="A574" s="6" t="str">
        <f ca="1">IFERROR(__xludf.DUMMYFUNCTION("""COMPUTED_VALUE"""),"X2D1T")</f>
        <v>X2D1T</v>
      </c>
      <c r="B574" s="7" t="s">
        <v>1971</v>
      </c>
      <c r="C574" s="7" t="s">
        <v>1972</v>
      </c>
      <c r="D574" s="7" t="s">
        <v>1995</v>
      </c>
      <c r="E574" s="8">
        <v>32099</v>
      </c>
      <c r="F574" s="9">
        <v>44378</v>
      </c>
    </row>
    <row r="575" spans="1:6" ht="14.25" x14ac:dyDescent="0.45">
      <c r="A575" s="6" t="str">
        <f ca="1">IFERROR(__xludf.DUMMYFUNCTION("""COMPUTED_VALUE"""),"XZCLQJR")</f>
        <v>XZCLQJR</v>
      </c>
      <c r="B575" s="7" t="s">
        <v>1971</v>
      </c>
      <c r="C575" s="7" t="s">
        <v>1981</v>
      </c>
      <c r="D575" s="7" t="s">
        <v>1974</v>
      </c>
      <c r="E575" s="8">
        <v>32100</v>
      </c>
      <c r="F575" s="9">
        <v>44503</v>
      </c>
    </row>
    <row r="576" spans="1:6" ht="14.25" x14ac:dyDescent="0.45">
      <c r="A576" s="6" t="str">
        <f ca="1">IFERROR(__xludf.DUMMYFUNCTION("""COMPUTED_VALUE"""),"X29CH")</f>
        <v>X29CH</v>
      </c>
      <c r="B576" s="7" t="s">
        <v>1971</v>
      </c>
      <c r="C576" s="7" t="s">
        <v>1972</v>
      </c>
      <c r="D576" s="7" t="s">
        <v>1997</v>
      </c>
      <c r="E576" s="8">
        <v>32104</v>
      </c>
      <c r="F576" s="9">
        <v>44053</v>
      </c>
    </row>
    <row r="577" spans="1:6" ht="14.25" x14ac:dyDescent="0.45">
      <c r="A577" s="6" t="str">
        <f ca="1">IFERROR(__xludf.DUMMYFUNCTION("""COMPUTED_VALUE"""),"X2187")</f>
        <v>X2187</v>
      </c>
      <c r="B577" s="7" t="s">
        <v>1971</v>
      </c>
      <c r="C577" s="7" t="s">
        <v>1977</v>
      </c>
      <c r="D577" s="7" t="s">
        <v>1990</v>
      </c>
      <c r="E577" s="8">
        <v>32105</v>
      </c>
      <c r="F577" s="10" t="s">
        <v>2076</v>
      </c>
    </row>
    <row r="578" spans="1:6" ht="14.25" x14ac:dyDescent="0.45">
      <c r="A578" s="6" t="str">
        <f ca="1">IFERROR(__xludf.DUMMYFUNCTION("""COMPUTED_VALUE"""),"X1KR9")</f>
        <v>X1KR9</v>
      </c>
      <c r="B578" s="7" t="s">
        <v>1971</v>
      </c>
      <c r="C578" s="7" t="s">
        <v>1972</v>
      </c>
      <c r="D578" s="7" t="s">
        <v>2026</v>
      </c>
      <c r="E578" s="8">
        <v>32107</v>
      </c>
      <c r="F578" s="10" t="s">
        <v>2267</v>
      </c>
    </row>
    <row r="579" spans="1:6" ht="14.25" x14ac:dyDescent="0.45">
      <c r="A579" s="6" t="str">
        <f ca="1">IFERROR(__xludf.DUMMYFUNCTION("""COMPUTED_VALUE"""),"X297P")</f>
        <v>X297P</v>
      </c>
      <c r="B579" s="7" t="s">
        <v>1971</v>
      </c>
      <c r="C579" s="7" t="s">
        <v>1972</v>
      </c>
      <c r="D579" s="7" t="s">
        <v>1995</v>
      </c>
      <c r="E579" s="8">
        <v>32110</v>
      </c>
      <c r="F579" s="9">
        <v>43961</v>
      </c>
    </row>
    <row r="580" spans="1:6" ht="14.25" x14ac:dyDescent="0.45">
      <c r="A580" s="6" t="str">
        <f ca="1">IFERROR(__xludf.DUMMYFUNCTION("""COMPUTED_VALUE"""),"XJG7KSL")</f>
        <v>XJG7KSL</v>
      </c>
      <c r="B580" s="7" t="s">
        <v>1971</v>
      </c>
      <c r="C580" s="7" t="s">
        <v>1972</v>
      </c>
      <c r="D580" s="7" t="s">
        <v>1974</v>
      </c>
      <c r="E580" s="8">
        <v>32111</v>
      </c>
      <c r="F580" s="10" t="s">
        <v>2193</v>
      </c>
    </row>
    <row r="581" spans="1:6" ht="14.25" x14ac:dyDescent="0.45">
      <c r="A581" s="6" t="str">
        <f ca="1">IFERROR(__xludf.DUMMYFUNCTION("""COMPUTED_VALUE"""),"XUBGCHZ")</f>
        <v>XUBGCHZ</v>
      </c>
      <c r="B581" s="7" t="s">
        <v>1971</v>
      </c>
      <c r="C581" s="7" t="s">
        <v>1972</v>
      </c>
      <c r="D581" s="7" t="s">
        <v>1974</v>
      </c>
      <c r="E581" s="8">
        <v>32115</v>
      </c>
      <c r="F581" s="10" t="s">
        <v>2218</v>
      </c>
    </row>
    <row r="582" spans="1:6" ht="14.25" x14ac:dyDescent="0.45">
      <c r="A582" s="6" t="str">
        <f ca="1">IFERROR(__xludf.DUMMYFUNCTION("""COMPUTED_VALUE"""),"X2745")</f>
        <v>X2745</v>
      </c>
      <c r="B582" s="7" t="s">
        <v>1971</v>
      </c>
      <c r="C582" s="7" t="s">
        <v>1977</v>
      </c>
      <c r="D582" s="7" t="s">
        <v>2020</v>
      </c>
      <c r="E582" s="8">
        <v>32119</v>
      </c>
      <c r="F582" s="9">
        <v>43222</v>
      </c>
    </row>
    <row r="583" spans="1:6" ht="14.25" x14ac:dyDescent="0.45">
      <c r="A583" s="6" t="str">
        <f ca="1">IFERROR(__xludf.DUMMYFUNCTION("""COMPUTED_VALUE"""),"X2E7U")</f>
        <v>X2E7U</v>
      </c>
      <c r="B583" s="7" t="s">
        <v>1971</v>
      </c>
      <c r="C583" s="7" t="s">
        <v>1996</v>
      </c>
      <c r="D583" s="7" t="s">
        <v>2026</v>
      </c>
      <c r="E583" s="8">
        <v>32119</v>
      </c>
      <c r="F583" s="10" t="s">
        <v>2196</v>
      </c>
    </row>
    <row r="584" spans="1:6" ht="14.25" x14ac:dyDescent="0.45">
      <c r="A584" s="6" t="str">
        <f ca="1">IFERROR(__xludf.DUMMYFUNCTION("""COMPUTED_VALUE"""),"XWEVYOM")</f>
        <v>XWEVYOM</v>
      </c>
      <c r="B584" s="7" t="s">
        <v>1971</v>
      </c>
      <c r="C584" s="7" t="s">
        <v>1972</v>
      </c>
      <c r="D584" s="7" t="s">
        <v>1975</v>
      </c>
      <c r="E584" s="8">
        <v>32120</v>
      </c>
      <c r="F584" s="10" t="s">
        <v>2217</v>
      </c>
    </row>
    <row r="585" spans="1:6" ht="14.25" x14ac:dyDescent="0.45">
      <c r="A585" s="6" t="str">
        <f ca="1">IFERROR(__xludf.DUMMYFUNCTION("""COMPUTED_VALUE"""),"XN44VY7")</f>
        <v>XN44VY7</v>
      </c>
      <c r="B585" s="7" t="s">
        <v>1971</v>
      </c>
      <c r="C585" s="7" t="s">
        <v>1972</v>
      </c>
      <c r="D585" s="7" t="s">
        <v>1973</v>
      </c>
      <c r="E585" s="8">
        <v>32124</v>
      </c>
      <c r="F585" s="10" t="s">
        <v>2261</v>
      </c>
    </row>
    <row r="586" spans="1:6" ht="14.25" x14ac:dyDescent="0.45">
      <c r="A586" s="6" t="str">
        <f ca="1">IFERROR(__xludf.DUMMYFUNCTION("""COMPUTED_VALUE"""),"X20IE")</f>
        <v>X20IE</v>
      </c>
      <c r="B586" s="7" t="s">
        <v>1971</v>
      </c>
      <c r="C586" s="7" t="s">
        <v>1972</v>
      </c>
      <c r="D586" s="7" t="s">
        <v>1993</v>
      </c>
      <c r="E586" s="8">
        <v>32129</v>
      </c>
      <c r="F586" s="10" t="s">
        <v>2154</v>
      </c>
    </row>
    <row r="587" spans="1:6" ht="14.25" x14ac:dyDescent="0.45">
      <c r="A587" s="6" t="str">
        <f ca="1">IFERROR(__xludf.DUMMYFUNCTION("""COMPUTED_VALUE"""),"X1VW1")</f>
        <v>X1VW1</v>
      </c>
      <c r="B587" s="7" t="s">
        <v>1971</v>
      </c>
      <c r="C587" s="7" t="s">
        <v>1972</v>
      </c>
      <c r="D587" s="7" t="s">
        <v>1975</v>
      </c>
      <c r="E587" s="8">
        <v>32129</v>
      </c>
      <c r="F587" s="10" t="s">
        <v>2058</v>
      </c>
    </row>
    <row r="588" spans="1:6" ht="14.25" x14ac:dyDescent="0.45">
      <c r="A588" s="6" t="str">
        <f ca="1">IFERROR(__xludf.DUMMYFUNCTION("""COMPUTED_VALUE"""),"X2MVL68")</f>
        <v>X2MVL68</v>
      </c>
      <c r="B588" s="7" t="s">
        <v>1971</v>
      </c>
      <c r="C588" s="7" t="s">
        <v>1972</v>
      </c>
      <c r="D588" s="7" t="s">
        <v>1975</v>
      </c>
      <c r="E588" s="8">
        <v>32129</v>
      </c>
      <c r="F588" s="10" t="s">
        <v>2242</v>
      </c>
    </row>
    <row r="589" spans="1:6" ht="14.25" x14ac:dyDescent="0.45">
      <c r="A589" s="6" t="str">
        <f ca="1">IFERROR(__xludf.DUMMYFUNCTION("""COMPUTED_VALUE"""),"X28A8")</f>
        <v>X28A8</v>
      </c>
      <c r="B589" s="7" t="s">
        <v>1971</v>
      </c>
      <c r="C589" s="7" t="s">
        <v>1977</v>
      </c>
      <c r="D589" s="7" t="s">
        <v>1974</v>
      </c>
      <c r="E589" s="8">
        <v>32133</v>
      </c>
      <c r="F589" s="9">
        <v>44144</v>
      </c>
    </row>
    <row r="590" spans="1:6" ht="14.25" x14ac:dyDescent="0.45">
      <c r="A590" s="6" t="str">
        <f ca="1">IFERROR(__xludf.DUMMYFUNCTION("""COMPUTED_VALUE"""),"X3640")</f>
        <v>X3640</v>
      </c>
      <c r="B590" s="7" t="s">
        <v>1971</v>
      </c>
      <c r="C590" s="7" t="s">
        <v>1972</v>
      </c>
      <c r="D590" s="7" t="s">
        <v>1993</v>
      </c>
      <c r="E590" s="8">
        <v>32135</v>
      </c>
      <c r="F590" s="10" t="s">
        <v>2001</v>
      </c>
    </row>
    <row r="591" spans="1:6" ht="14.25" x14ac:dyDescent="0.45">
      <c r="A591" s="6" t="str">
        <f ca="1">IFERROR(__xludf.DUMMYFUNCTION("""COMPUTED_VALUE"""),"X2287")</f>
        <v>X2287</v>
      </c>
      <c r="B591" s="7" t="s">
        <v>1971</v>
      </c>
      <c r="C591" s="7" t="s">
        <v>1993</v>
      </c>
      <c r="D591" s="7" t="s">
        <v>1993</v>
      </c>
      <c r="E591" s="8">
        <v>32142</v>
      </c>
      <c r="F591" s="10" t="s">
        <v>2252</v>
      </c>
    </row>
    <row r="592" spans="1:6" ht="14.25" x14ac:dyDescent="0.45">
      <c r="A592" s="6" t="str">
        <f ca="1">IFERROR(__xludf.DUMMYFUNCTION("""COMPUTED_VALUE"""),"X1YW0")</f>
        <v>X1YW0</v>
      </c>
      <c r="B592" s="7" t="s">
        <v>2344</v>
      </c>
      <c r="C592" s="7" t="s">
        <v>1972</v>
      </c>
      <c r="D592" s="7" t="s">
        <v>1974</v>
      </c>
      <c r="E592" s="8">
        <v>32147</v>
      </c>
      <c r="F592" s="10" t="s">
        <v>2345</v>
      </c>
    </row>
    <row r="593" spans="1:6" ht="14.25" x14ac:dyDescent="0.45">
      <c r="A593" s="6" t="str">
        <f ca="1">IFERROR(__xludf.DUMMYFUNCTION("""COMPUTED_VALUE"""),"X1KOC")</f>
        <v>X1KOC</v>
      </c>
      <c r="B593" s="7" t="s">
        <v>1971</v>
      </c>
      <c r="C593" s="7" t="s">
        <v>1972</v>
      </c>
      <c r="D593" s="7" t="s">
        <v>1974</v>
      </c>
      <c r="E593" s="8">
        <v>32156</v>
      </c>
      <c r="F593" s="9">
        <v>43199</v>
      </c>
    </row>
    <row r="594" spans="1:6" ht="14.25" x14ac:dyDescent="0.45">
      <c r="A594" s="6" t="str">
        <f ca="1">IFERROR(__xludf.DUMMYFUNCTION("""COMPUTED_VALUE"""),"X3491")</f>
        <v>X3491</v>
      </c>
      <c r="B594" s="7" t="s">
        <v>1971</v>
      </c>
      <c r="C594" s="7" t="s">
        <v>1972</v>
      </c>
      <c r="D594" s="7" t="s">
        <v>1974</v>
      </c>
      <c r="E594" s="8">
        <v>32159</v>
      </c>
      <c r="F594" s="9">
        <v>43259</v>
      </c>
    </row>
    <row r="595" spans="1:6" ht="14.25" x14ac:dyDescent="0.45">
      <c r="A595" s="6" t="str">
        <f ca="1">IFERROR(__xludf.DUMMYFUNCTION("""COMPUTED_VALUE"""),"X29XX")</f>
        <v>X29XX</v>
      </c>
      <c r="B595" s="7" t="s">
        <v>1971</v>
      </c>
      <c r="C595" s="7" t="s">
        <v>1972</v>
      </c>
      <c r="D595" s="7" t="s">
        <v>1975</v>
      </c>
      <c r="E595" s="8">
        <v>32161</v>
      </c>
      <c r="F595" s="10" t="s">
        <v>2008</v>
      </c>
    </row>
    <row r="596" spans="1:6" ht="14.25" x14ac:dyDescent="0.45">
      <c r="A596" s="6" t="str">
        <f ca="1">IFERROR(__xludf.DUMMYFUNCTION("""COMPUTED_VALUE"""),"X22JU")</f>
        <v>X22JU</v>
      </c>
      <c r="B596" s="7" t="s">
        <v>1971</v>
      </c>
      <c r="C596" s="7" t="s">
        <v>1977</v>
      </c>
      <c r="D596" s="7" t="s">
        <v>1974</v>
      </c>
      <c r="E596" s="8">
        <v>32167</v>
      </c>
      <c r="F596" s="9">
        <v>44107</v>
      </c>
    </row>
    <row r="597" spans="1:6" ht="14.25" x14ac:dyDescent="0.45">
      <c r="A597" s="6" t="str">
        <f ca="1">IFERROR(__xludf.DUMMYFUNCTION("""COMPUTED_VALUE"""),"X2C4Q")</f>
        <v>X2C4Q</v>
      </c>
      <c r="B597" s="7" t="s">
        <v>2016</v>
      </c>
      <c r="C597" s="7" t="s">
        <v>1996</v>
      </c>
      <c r="D597" s="7" t="s">
        <v>1987</v>
      </c>
      <c r="E597" s="8">
        <v>32175</v>
      </c>
      <c r="F597" s="9">
        <v>44086</v>
      </c>
    </row>
    <row r="598" spans="1:6" ht="14.25" x14ac:dyDescent="0.45">
      <c r="A598" s="6" t="str">
        <f ca="1">IFERROR(__xludf.DUMMYFUNCTION("""COMPUTED_VALUE"""),"X1X99")</f>
        <v>X1X99</v>
      </c>
      <c r="B598" s="7" t="s">
        <v>2092</v>
      </c>
      <c r="C598" s="7" t="s">
        <v>1972</v>
      </c>
      <c r="D598" s="7" t="s">
        <v>1973</v>
      </c>
      <c r="E598" s="8">
        <v>32175</v>
      </c>
      <c r="F598" s="9">
        <v>43687</v>
      </c>
    </row>
    <row r="599" spans="1:6" ht="14.25" x14ac:dyDescent="0.45">
      <c r="A599" s="6" t="str">
        <f ca="1">IFERROR(__xludf.DUMMYFUNCTION("""COMPUTED_VALUE"""),"X1JMI")</f>
        <v>X1JMI</v>
      </c>
      <c r="B599" s="7" t="s">
        <v>1971</v>
      </c>
      <c r="C599" s="7" t="s">
        <v>1977</v>
      </c>
      <c r="D599" s="7" t="s">
        <v>1974</v>
      </c>
      <c r="E599" s="8">
        <v>32178</v>
      </c>
      <c r="F599" s="9">
        <v>43381</v>
      </c>
    </row>
    <row r="600" spans="1:6" ht="14.25" x14ac:dyDescent="0.45">
      <c r="A600" s="6" t="str">
        <f ca="1">IFERROR(__xludf.DUMMYFUNCTION("""COMPUTED_VALUE"""),"X2325")</f>
        <v>X2325</v>
      </c>
      <c r="B600" s="7" t="s">
        <v>1971</v>
      </c>
      <c r="C600" s="7" t="s">
        <v>1972</v>
      </c>
      <c r="D600" s="10">
        <v>0</v>
      </c>
      <c r="E600" s="8">
        <v>32197</v>
      </c>
      <c r="F600" s="10" t="s">
        <v>2006</v>
      </c>
    </row>
    <row r="601" spans="1:6" ht="14.25" x14ac:dyDescent="0.45">
      <c r="A601" s="6" t="str">
        <f ca="1">IFERROR(__xludf.DUMMYFUNCTION("""COMPUTED_VALUE"""),"XTSM182")</f>
        <v>XTSM182</v>
      </c>
      <c r="B601" s="7" t="s">
        <v>1980</v>
      </c>
      <c r="C601" s="7" t="s">
        <v>1972</v>
      </c>
      <c r="D601" s="7" t="s">
        <v>1978</v>
      </c>
      <c r="E601" s="8">
        <v>32197</v>
      </c>
      <c r="F601" s="9">
        <v>44442</v>
      </c>
    </row>
    <row r="602" spans="1:6" ht="14.25" x14ac:dyDescent="0.45">
      <c r="A602" s="6" t="str">
        <f ca="1">IFERROR(__xludf.DUMMYFUNCTION("""COMPUTED_VALUE"""),"XMCIX52")</f>
        <v>XMCIX52</v>
      </c>
      <c r="B602" s="7" t="s">
        <v>1971</v>
      </c>
      <c r="C602" s="7" t="s">
        <v>1972</v>
      </c>
      <c r="D602" s="7" t="s">
        <v>1990</v>
      </c>
      <c r="E602" s="8">
        <v>32200</v>
      </c>
      <c r="F602" s="9">
        <v>44451</v>
      </c>
    </row>
    <row r="603" spans="1:6" ht="14.25" x14ac:dyDescent="0.45">
      <c r="A603" s="6" t="str">
        <f ca="1">IFERROR(__xludf.DUMMYFUNCTION("""COMPUTED_VALUE"""),"X22IQ")</f>
        <v>X22IQ</v>
      </c>
      <c r="B603" s="7" t="s">
        <v>1971</v>
      </c>
      <c r="C603" s="7" t="s">
        <v>1972</v>
      </c>
      <c r="D603" s="7" t="s">
        <v>1993</v>
      </c>
      <c r="E603" s="8">
        <v>32203</v>
      </c>
      <c r="F603" s="9">
        <v>43985</v>
      </c>
    </row>
    <row r="604" spans="1:6" ht="14.25" x14ac:dyDescent="0.45">
      <c r="A604" s="6" t="str">
        <f ca="1">IFERROR(__xludf.DUMMYFUNCTION("""COMPUTED_VALUE"""),"X2DHH")</f>
        <v>X2DHH</v>
      </c>
      <c r="B604" s="7" t="s">
        <v>1971</v>
      </c>
      <c r="C604" s="7" t="s">
        <v>1972</v>
      </c>
      <c r="D604" s="7" t="s">
        <v>1974</v>
      </c>
      <c r="E604" s="8">
        <v>32204</v>
      </c>
      <c r="F604" s="10" t="s">
        <v>2061</v>
      </c>
    </row>
    <row r="605" spans="1:6" ht="14.25" x14ac:dyDescent="0.45">
      <c r="A605" s="6" t="str">
        <f ca="1">IFERROR(__xludf.DUMMYFUNCTION("""COMPUTED_VALUE"""),"XV48F87")</f>
        <v>XV48F87</v>
      </c>
      <c r="B605" s="7" t="s">
        <v>1971</v>
      </c>
      <c r="C605" s="7" t="s">
        <v>1974</v>
      </c>
      <c r="D605" s="7" t="s">
        <v>1978</v>
      </c>
      <c r="E605" s="8">
        <v>32205</v>
      </c>
      <c r="F605" s="10" t="s">
        <v>2193</v>
      </c>
    </row>
    <row r="606" spans="1:6" ht="14.25" x14ac:dyDescent="0.45">
      <c r="A606" s="6" t="str">
        <f ca="1">IFERROR(__xludf.DUMMYFUNCTION("""COMPUTED_VALUE"""),"X5KGED7")</f>
        <v>X5KGED7</v>
      </c>
      <c r="B606" s="7" t="s">
        <v>1971</v>
      </c>
      <c r="C606" s="7" t="s">
        <v>1972</v>
      </c>
      <c r="D606" s="7" t="s">
        <v>2167</v>
      </c>
      <c r="E606" s="8">
        <v>32212</v>
      </c>
      <c r="F606" s="10" t="s">
        <v>2258</v>
      </c>
    </row>
    <row r="607" spans="1:6" ht="14.25" x14ac:dyDescent="0.45">
      <c r="A607" s="6" t="str">
        <f ca="1">IFERROR(__xludf.DUMMYFUNCTION("""COMPUTED_VALUE"""),"X2973")</f>
        <v>X2973</v>
      </c>
      <c r="B607" s="7" t="s">
        <v>1971</v>
      </c>
      <c r="C607" s="7" t="s">
        <v>1972</v>
      </c>
      <c r="D607" s="7" t="s">
        <v>1974</v>
      </c>
      <c r="E607" s="8">
        <v>32225</v>
      </c>
      <c r="F607" s="9">
        <v>43194</v>
      </c>
    </row>
    <row r="608" spans="1:6" ht="14.25" x14ac:dyDescent="0.45">
      <c r="A608" s="6" t="str">
        <f ca="1">IFERROR(__xludf.DUMMYFUNCTION("""COMPUTED_VALUE"""),"X27SUMY")</f>
        <v>X27SUMY</v>
      </c>
      <c r="B608" s="7" t="s">
        <v>1971</v>
      </c>
      <c r="C608" s="7" t="s">
        <v>1972</v>
      </c>
      <c r="D608" s="7" t="s">
        <v>1975</v>
      </c>
      <c r="E608" s="8">
        <v>32225</v>
      </c>
      <c r="F608" s="10" t="s">
        <v>2257</v>
      </c>
    </row>
    <row r="609" spans="1:6" ht="14.25" x14ac:dyDescent="0.45">
      <c r="A609" s="6" t="str">
        <f ca="1">IFERROR(__xludf.DUMMYFUNCTION("""COMPUTED_VALUE"""),"X2255")</f>
        <v>X2255</v>
      </c>
      <c r="B609" s="7" t="s">
        <v>1980</v>
      </c>
      <c r="C609" s="7" t="s">
        <v>1972</v>
      </c>
      <c r="D609" s="7" t="s">
        <v>2020</v>
      </c>
      <c r="E609" s="8">
        <v>32228</v>
      </c>
      <c r="F609" s="9">
        <v>42893</v>
      </c>
    </row>
    <row r="610" spans="1:6" ht="14.25" x14ac:dyDescent="0.45">
      <c r="A610" s="6" t="str">
        <f ca="1">IFERROR(__xludf.DUMMYFUNCTION("""COMPUTED_VALUE"""),"XE3RCPW")</f>
        <v>XE3RCPW</v>
      </c>
      <c r="B610" s="7" t="s">
        <v>1971</v>
      </c>
      <c r="C610" s="7" t="s">
        <v>1981</v>
      </c>
      <c r="D610" s="7" t="s">
        <v>1975</v>
      </c>
      <c r="E610" s="8">
        <v>32228</v>
      </c>
      <c r="F610" s="10" t="s">
        <v>2242</v>
      </c>
    </row>
    <row r="611" spans="1:6" ht="14.25" x14ac:dyDescent="0.45">
      <c r="A611" s="6" t="str">
        <f ca="1">IFERROR(__xludf.DUMMYFUNCTION("""COMPUTED_VALUE"""),"X1MNS")</f>
        <v>X1MNS</v>
      </c>
      <c r="B611" s="7" t="s">
        <v>1980</v>
      </c>
      <c r="C611" s="7" t="s">
        <v>1972</v>
      </c>
      <c r="D611" s="7" t="s">
        <v>1993</v>
      </c>
      <c r="E611" s="8">
        <v>32230</v>
      </c>
      <c r="F611" s="10" t="s">
        <v>2197</v>
      </c>
    </row>
    <row r="612" spans="1:6" ht="14.25" x14ac:dyDescent="0.45">
      <c r="A612" s="6" t="str">
        <f ca="1">IFERROR(__xludf.DUMMYFUNCTION("""COMPUTED_VALUE"""),"X27TL")</f>
        <v>X27TL</v>
      </c>
      <c r="B612" s="7" t="s">
        <v>1971</v>
      </c>
      <c r="C612" s="7" t="s">
        <v>1981</v>
      </c>
      <c r="D612" s="7" t="s">
        <v>1974</v>
      </c>
      <c r="E612" s="8">
        <v>32234</v>
      </c>
      <c r="F612" s="10" t="s">
        <v>2067</v>
      </c>
    </row>
    <row r="613" spans="1:6" ht="14.25" x14ac:dyDescent="0.45">
      <c r="A613" s="6" t="str">
        <f ca="1">IFERROR(__xludf.DUMMYFUNCTION("""COMPUTED_VALUE"""),"X2935")</f>
        <v>X2935</v>
      </c>
      <c r="B613" s="7" t="s">
        <v>1971</v>
      </c>
      <c r="C613" s="7" t="s">
        <v>1981</v>
      </c>
      <c r="D613" s="7" t="s">
        <v>1990</v>
      </c>
      <c r="E613" s="8">
        <v>32234</v>
      </c>
      <c r="F613" s="10" t="s">
        <v>2018</v>
      </c>
    </row>
    <row r="614" spans="1:6" ht="14.25" x14ac:dyDescent="0.45">
      <c r="A614" s="6" t="str">
        <f ca="1">IFERROR(__xludf.DUMMYFUNCTION("""COMPUTED_VALUE"""),"X2CNQ")</f>
        <v>X2CNQ</v>
      </c>
      <c r="B614" s="7" t="s">
        <v>1986</v>
      </c>
      <c r="C614" s="7" t="s">
        <v>1972</v>
      </c>
      <c r="D614" s="7" t="s">
        <v>1974</v>
      </c>
      <c r="E614" s="8">
        <v>32234</v>
      </c>
      <c r="F614" s="10" t="s">
        <v>2001</v>
      </c>
    </row>
    <row r="615" spans="1:6" ht="14.25" x14ac:dyDescent="0.45">
      <c r="A615" s="6" t="str">
        <f ca="1">IFERROR(__xludf.DUMMYFUNCTION("""COMPUTED_VALUE"""),"XXCU8GG")</f>
        <v>XXCU8GG</v>
      </c>
      <c r="B615" s="7" t="s">
        <v>1971</v>
      </c>
      <c r="C615" s="7" t="s">
        <v>1996</v>
      </c>
      <c r="D615" s="7" t="s">
        <v>1997</v>
      </c>
      <c r="E615" s="8">
        <v>32243</v>
      </c>
      <c r="F615" s="9">
        <v>44447</v>
      </c>
    </row>
    <row r="616" spans="1:6" ht="14.25" x14ac:dyDescent="0.45">
      <c r="A616" s="6" t="str">
        <f ca="1">IFERROR(__xludf.DUMMYFUNCTION("""COMPUTED_VALUE"""),"X235I")</f>
        <v>X235I</v>
      </c>
      <c r="B616" s="7" t="s">
        <v>2021</v>
      </c>
      <c r="C616" s="7" t="s">
        <v>1972</v>
      </c>
      <c r="D616" s="7" t="s">
        <v>1974</v>
      </c>
      <c r="E616" s="8">
        <v>32244</v>
      </c>
      <c r="F616" s="10" t="s">
        <v>2045</v>
      </c>
    </row>
    <row r="617" spans="1:6" ht="14.25" x14ac:dyDescent="0.45">
      <c r="A617" s="6" t="str">
        <f ca="1">IFERROR(__xludf.DUMMYFUNCTION("""COMPUTED_VALUE"""),"X1X12N")</f>
        <v>X1X12N</v>
      </c>
      <c r="B617" s="7" t="s">
        <v>1980</v>
      </c>
      <c r="C617" s="7" t="s">
        <v>1972</v>
      </c>
      <c r="D617" s="7" t="s">
        <v>1993</v>
      </c>
      <c r="E617" s="8">
        <v>32245</v>
      </c>
      <c r="F617" s="10" t="s">
        <v>2043</v>
      </c>
    </row>
    <row r="618" spans="1:6" ht="14.25" x14ac:dyDescent="0.45">
      <c r="A618" s="6" t="str">
        <f ca="1">IFERROR(__xludf.DUMMYFUNCTION("""COMPUTED_VALUE"""),"X1TOX")</f>
        <v>X1TOX</v>
      </c>
      <c r="B618" s="7" t="s">
        <v>1980</v>
      </c>
      <c r="C618" s="7" t="s">
        <v>1972</v>
      </c>
      <c r="D618" s="7" t="s">
        <v>1974</v>
      </c>
      <c r="E618" s="8">
        <v>32251</v>
      </c>
      <c r="F618" s="10" t="s">
        <v>2263</v>
      </c>
    </row>
    <row r="619" spans="1:6" ht="14.25" x14ac:dyDescent="0.45">
      <c r="A619" s="6" t="str">
        <f ca="1">IFERROR(__xludf.DUMMYFUNCTION("""COMPUTED_VALUE"""),"X155VLO")</f>
        <v>X155VLO</v>
      </c>
      <c r="B619" s="7" t="s">
        <v>1971</v>
      </c>
      <c r="C619" s="7" t="s">
        <v>1972</v>
      </c>
      <c r="D619" s="7" t="s">
        <v>1974</v>
      </c>
      <c r="E619" s="8">
        <v>32256</v>
      </c>
      <c r="F619" s="10" t="s">
        <v>2193</v>
      </c>
    </row>
    <row r="620" spans="1:6" ht="14.25" x14ac:dyDescent="0.45">
      <c r="A620" s="6" t="str">
        <f ca="1">IFERROR(__xludf.DUMMYFUNCTION("""COMPUTED_VALUE"""),"XUF9X6U")</f>
        <v>XUF9X6U</v>
      </c>
      <c r="B620" s="7" t="s">
        <v>1971</v>
      </c>
      <c r="C620" s="7" t="s">
        <v>1972</v>
      </c>
      <c r="D620" s="7" t="s">
        <v>1997</v>
      </c>
      <c r="E620" s="8">
        <v>32257</v>
      </c>
      <c r="F620" s="10" t="s">
        <v>2242</v>
      </c>
    </row>
    <row r="621" spans="1:6" ht="14.25" x14ac:dyDescent="0.45">
      <c r="A621" s="6" t="str">
        <f ca="1">IFERROR(__xludf.DUMMYFUNCTION("""COMPUTED_VALUE"""),"XS6BANK")</f>
        <v>XS6BANK</v>
      </c>
      <c r="B621" s="7" t="s">
        <v>1971</v>
      </c>
      <c r="C621" s="7" t="s">
        <v>1974</v>
      </c>
      <c r="D621" s="7" t="s">
        <v>2012</v>
      </c>
      <c r="E621" s="8">
        <v>32271</v>
      </c>
      <c r="F621" s="10" t="s">
        <v>2323</v>
      </c>
    </row>
    <row r="622" spans="1:6" ht="14.25" x14ac:dyDescent="0.45">
      <c r="A622" s="6" t="str">
        <f ca="1">IFERROR(__xludf.DUMMYFUNCTION("""COMPUTED_VALUE"""),"X3369")</f>
        <v>X3369</v>
      </c>
      <c r="B622" s="7" t="s">
        <v>1971</v>
      </c>
      <c r="C622" s="7" t="s">
        <v>1972</v>
      </c>
      <c r="D622" s="7" t="s">
        <v>2026</v>
      </c>
      <c r="E622" s="8">
        <v>32272</v>
      </c>
      <c r="F622" s="10" t="s">
        <v>2069</v>
      </c>
    </row>
    <row r="623" spans="1:6" ht="14.25" x14ac:dyDescent="0.45">
      <c r="A623" s="6" t="str">
        <f ca="1">IFERROR(__xludf.DUMMYFUNCTION("""COMPUTED_VALUE"""),"X8WL94P")</f>
        <v>X8WL94P</v>
      </c>
      <c r="B623" s="7" t="s">
        <v>1971</v>
      </c>
      <c r="C623" s="7" t="s">
        <v>1972</v>
      </c>
      <c r="D623" s="7" t="s">
        <v>1974</v>
      </c>
      <c r="E623" s="8">
        <v>32281</v>
      </c>
      <c r="F623" s="9">
        <v>44447</v>
      </c>
    </row>
    <row r="624" spans="1:6" ht="14.25" x14ac:dyDescent="0.45">
      <c r="A624" s="6" t="str">
        <f ca="1">IFERROR(__xludf.DUMMYFUNCTION("""COMPUTED_VALUE"""),"X2885")</f>
        <v>X2885</v>
      </c>
      <c r="B624" s="7" t="s">
        <v>1980</v>
      </c>
      <c r="C624" s="7" t="s">
        <v>1972</v>
      </c>
      <c r="D624" s="7" t="s">
        <v>1993</v>
      </c>
      <c r="E624" s="8">
        <v>32284</v>
      </c>
      <c r="F624" s="9">
        <v>43223</v>
      </c>
    </row>
    <row r="625" spans="1:6" ht="14.25" x14ac:dyDescent="0.45">
      <c r="A625" s="6" t="str">
        <f ca="1">IFERROR(__xludf.DUMMYFUNCTION("""COMPUTED_VALUE"""),"X1JNX")</f>
        <v>X1JNX</v>
      </c>
      <c r="B625" s="7" t="s">
        <v>1971</v>
      </c>
      <c r="C625" s="7" t="s">
        <v>1972</v>
      </c>
      <c r="D625" s="7" t="s">
        <v>1987</v>
      </c>
      <c r="E625" s="8">
        <v>32288</v>
      </c>
      <c r="F625" s="10" t="s">
        <v>1989</v>
      </c>
    </row>
    <row r="626" spans="1:6" ht="14.25" x14ac:dyDescent="0.45">
      <c r="A626" s="6" t="str">
        <f ca="1">IFERROR(__xludf.DUMMYFUNCTION("""COMPUTED_VALUE"""),"X2DYE")</f>
        <v>X2DYE</v>
      </c>
      <c r="B626" s="7" t="s">
        <v>1980</v>
      </c>
      <c r="C626" s="7" t="s">
        <v>1972</v>
      </c>
      <c r="D626" s="7" t="s">
        <v>1993</v>
      </c>
      <c r="E626" s="8">
        <v>32296</v>
      </c>
      <c r="F626" s="10" t="s">
        <v>2152</v>
      </c>
    </row>
    <row r="627" spans="1:6" ht="14.25" x14ac:dyDescent="0.45">
      <c r="A627" s="6" t="str">
        <f ca="1">IFERROR(__xludf.DUMMYFUNCTION("""COMPUTED_VALUE"""),"X1AJ7RQ")</f>
        <v>X1AJ7RQ</v>
      </c>
      <c r="B627" s="7" t="s">
        <v>1971</v>
      </c>
      <c r="C627" s="7" t="s">
        <v>1981</v>
      </c>
      <c r="D627" s="7" t="s">
        <v>1974</v>
      </c>
      <c r="E627" s="8">
        <v>32299</v>
      </c>
      <c r="F627" s="10" t="s">
        <v>2219</v>
      </c>
    </row>
    <row r="628" spans="1:6" ht="14.25" x14ac:dyDescent="0.45">
      <c r="A628" s="6" t="str">
        <f ca="1">IFERROR(__xludf.DUMMYFUNCTION("""COMPUTED_VALUE"""),"X29FN")</f>
        <v>X29FN</v>
      </c>
      <c r="B628" s="7" t="s">
        <v>1971</v>
      </c>
      <c r="C628" s="7" t="s">
        <v>1996</v>
      </c>
      <c r="D628" s="7" t="s">
        <v>2070</v>
      </c>
      <c r="E628" s="8">
        <v>32307</v>
      </c>
      <c r="F628" s="9">
        <v>44084</v>
      </c>
    </row>
    <row r="629" spans="1:6" ht="14.25" x14ac:dyDescent="0.45">
      <c r="A629" s="6" t="str">
        <f ca="1">IFERROR(__xludf.DUMMYFUNCTION("""COMPUTED_VALUE"""),"XWH3HL8")</f>
        <v>XWH3HL8</v>
      </c>
      <c r="B629" s="7" t="s">
        <v>1980</v>
      </c>
      <c r="C629" s="7" t="s">
        <v>1972</v>
      </c>
      <c r="D629" s="7" t="s">
        <v>2007</v>
      </c>
      <c r="E629" s="8">
        <v>32312</v>
      </c>
      <c r="F629" s="10" t="s">
        <v>2200</v>
      </c>
    </row>
    <row r="630" spans="1:6" ht="14.25" x14ac:dyDescent="0.45">
      <c r="A630" s="6" t="str">
        <f ca="1">IFERROR(__xludf.DUMMYFUNCTION("""COMPUTED_VALUE"""),"X2C11B")</f>
        <v>X2C11B</v>
      </c>
      <c r="B630" s="7" t="s">
        <v>1971</v>
      </c>
      <c r="C630" s="7" t="s">
        <v>1972</v>
      </c>
      <c r="D630" s="7" t="s">
        <v>1974</v>
      </c>
      <c r="E630" s="8">
        <v>32316</v>
      </c>
      <c r="F630" s="10" t="s">
        <v>2019</v>
      </c>
    </row>
    <row r="631" spans="1:6" ht="14.25" x14ac:dyDescent="0.45">
      <c r="A631" s="6" t="str">
        <f ca="1">IFERROR(__xludf.DUMMYFUNCTION("""COMPUTED_VALUE"""),"XFAOJVF")</f>
        <v>XFAOJVF</v>
      </c>
      <c r="B631" s="7" t="s">
        <v>1971</v>
      </c>
      <c r="C631" s="7" t="s">
        <v>1974</v>
      </c>
      <c r="D631" s="7" t="s">
        <v>1974</v>
      </c>
      <c r="E631" s="8">
        <v>32320</v>
      </c>
      <c r="F631" s="10" t="s">
        <v>2287</v>
      </c>
    </row>
    <row r="632" spans="1:6" ht="14.25" x14ac:dyDescent="0.45">
      <c r="A632" s="6" t="str">
        <f ca="1">IFERROR(__xludf.DUMMYFUNCTION("""COMPUTED_VALUE"""),"X24BK")</f>
        <v>X24BK</v>
      </c>
      <c r="B632" s="7" t="s">
        <v>1971</v>
      </c>
      <c r="C632" s="7" t="s">
        <v>1977</v>
      </c>
      <c r="D632" s="7" t="s">
        <v>1975</v>
      </c>
      <c r="E632" s="8">
        <v>32321</v>
      </c>
      <c r="F632" s="9">
        <v>44170</v>
      </c>
    </row>
    <row r="633" spans="1:6" ht="14.25" x14ac:dyDescent="0.45">
      <c r="A633" s="6" t="str">
        <f ca="1">IFERROR(__xludf.DUMMYFUNCTION("""COMPUTED_VALUE"""),"X1XB3")</f>
        <v>X1XB3</v>
      </c>
      <c r="B633" s="7" t="s">
        <v>1980</v>
      </c>
      <c r="C633" s="7" t="s">
        <v>1972</v>
      </c>
      <c r="D633" s="7" t="s">
        <v>1982</v>
      </c>
      <c r="E633" s="8">
        <v>32322</v>
      </c>
      <c r="F633" s="9">
        <v>43656</v>
      </c>
    </row>
    <row r="634" spans="1:6" ht="14.25" x14ac:dyDescent="0.45">
      <c r="A634" s="6" t="str">
        <f ca="1">IFERROR(__xludf.DUMMYFUNCTION("""COMPUTED_VALUE"""),"X1WMD")</f>
        <v>X1WMD</v>
      </c>
      <c r="B634" s="7" t="s">
        <v>1971</v>
      </c>
      <c r="C634" s="7" t="s">
        <v>1972</v>
      </c>
      <c r="D634" s="7" t="s">
        <v>2007</v>
      </c>
      <c r="E634" s="8">
        <v>32335</v>
      </c>
      <c r="F634" s="9">
        <v>43625</v>
      </c>
    </row>
    <row r="635" spans="1:6" ht="14.25" x14ac:dyDescent="0.45">
      <c r="A635" s="6" t="str">
        <f ca="1">IFERROR(__xludf.DUMMYFUNCTION("""COMPUTED_VALUE"""),"X2822")</f>
        <v>X2822</v>
      </c>
      <c r="B635" s="7" t="s">
        <v>1971</v>
      </c>
      <c r="C635" s="7" t="s">
        <v>1977</v>
      </c>
      <c r="D635" s="7" t="s">
        <v>1974</v>
      </c>
      <c r="E635" s="8">
        <v>32339</v>
      </c>
      <c r="F635" s="10" t="s">
        <v>2028</v>
      </c>
    </row>
    <row r="636" spans="1:6" ht="14.25" x14ac:dyDescent="0.45">
      <c r="A636" s="6" t="str">
        <f ca="1">IFERROR(__xludf.DUMMYFUNCTION("""COMPUTED_VALUE"""),"X1EV1ME")</f>
        <v>X1EV1ME</v>
      </c>
      <c r="B636" s="7" t="s">
        <v>1971</v>
      </c>
      <c r="C636" s="7" t="s">
        <v>1972</v>
      </c>
      <c r="D636" s="7" t="s">
        <v>2026</v>
      </c>
      <c r="E636" s="8">
        <v>32344</v>
      </c>
      <c r="F636" s="9">
        <v>44450</v>
      </c>
    </row>
    <row r="637" spans="1:6" ht="14.25" x14ac:dyDescent="0.45">
      <c r="A637" s="6" t="str">
        <f ca="1">IFERROR(__xludf.DUMMYFUNCTION("""COMPUTED_VALUE"""),"X1KFO")</f>
        <v>X1KFO</v>
      </c>
      <c r="B637" s="7" t="s">
        <v>1971</v>
      </c>
      <c r="C637" s="7" t="s">
        <v>1972</v>
      </c>
      <c r="D637" s="7" t="s">
        <v>2070</v>
      </c>
      <c r="E637" s="8">
        <v>32347</v>
      </c>
      <c r="F637" s="9">
        <v>43168</v>
      </c>
    </row>
    <row r="638" spans="1:6" ht="14.25" x14ac:dyDescent="0.45">
      <c r="A638" s="6" t="str">
        <f ca="1">IFERROR(__xludf.DUMMYFUNCTION("""COMPUTED_VALUE"""),"X6ULYOG")</f>
        <v>X6ULYOG</v>
      </c>
      <c r="B638" s="7" t="s">
        <v>1971</v>
      </c>
      <c r="C638" s="7" t="s">
        <v>1972</v>
      </c>
      <c r="D638" s="7" t="s">
        <v>1993</v>
      </c>
      <c r="E638" s="8">
        <v>32350</v>
      </c>
      <c r="F638" s="9">
        <v>44294</v>
      </c>
    </row>
    <row r="639" spans="1:6" ht="14.25" x14ac:dyDescent="0.45">
      <c r="A639" s="6" t="str">
        <f ca="1">IFERROR(__xludf.DUMMYFUNCTION("""COMPUTED_VALUE"""),"XID2UAA")</f>
        <v>XID2UAA</v>
      </c>
      <c r="B639" s="7" t="s">
        <v>1971</v>
      </c>
      <c r="C639" s="7" t="s">
        <v>1972</v>
      </c>
      <c r="D639" s="7" t="s">
        <v>1993</v>
      </c>
      <c r="E639" s="8">
        <v>32350</v>
      </c>
      <c r="F639" s="10" t="s">
        <v>2339</v>
      </c>
    </row>
    <row r="640" spans="1:6" ht="14.25" x14ac:dyDescent="0.45">
      <c r="A640" s="6" t="str">
        <f ca="1">IFERROR(__xludf.DUMMYFUNCTION("""COMPUTED_VALUE"""),"X1Q4J")</f>
        <v>X1Q4J</v>
      </c>
      <c r="B640" s="7" t="s">
        <v>1980</v>
      </c>
      <c r="C640" s="7" t="s">
        <v>1996</v>
      </c>
      <c r="D640" s="7" t="s">
        <v>1975</v>
      </c>
      <c r="E640" s="8">
        <v>32377</v>
      </c>
      <c r="F640" s="9">
        <v>43558</v>
      </c>
    </row>
    <row r="641" spans="1:6" ht="14.25" x14ac:dyDescent="0.45">
      <c r="A641" s="6" t="str">
        <f ca="1">IFERROR(__xludf.DUMMYFUNCTION("""COMPUTED_VALUE"""),"X23H2")</f>
        <v>X23H2</v>
      </c>
      <c r="B641" s="7" t="s">
        <v>1971</v>
      </c>
      <c r="C641" s="7" t="s">
        <v>1972</v>
      </c>
      <c r="D641" s="7" t="s">
        <v>1974</v>
      </c>
      <c r="E641" s="8">
        <v>32378</v>
      </c>
      <c r="F641" s="10" t="s">
        <v>2162</v>
      </c>
    </row>
    <row r="642" spans="1:6" ht="14.25" x14ac:dyDescent="0.45">
      <c r="A642" s="6" t="str">
        <f ca="1">IFERROR(__xludf.DUMMYFUNCTION("""COMPUTED_VALUE"""),"XQ4619Q")</f>
        <v>XQ4619Q</v>
      </c>
      <c r="B642" s="7" t="s">
        <v>1971</v>
      </c>
      <c r="C642" s="7" t="s">
        <v>1972</v>
      </c>
      <c r="D642" s="7" t="s">
        <v>1997</v>
      </c>
      <c r="E642" s="8">
        <v>32384</v>
      </c>
      <c r="F642" s="10" t="s">
        <v>2261</v>
      </c>
    </row>
    <row r="643" spans="1:6" ht="14.25" x14ac:dyDescent="0.45">
      <c r="A643" s="6" t="str">
        <f ca="1">IFERROR(__xludf.DUMMYFUNCTION("""COMPUTED_VALUE"""),"X2BL4ZT")</f>
        <v>X2BL4ZT</v>
      </c>
      <c r="B643" s="7" t="s">
        <v>1971</v>
      </c>
      <c r="C643" s="7" t="s">
        <v>1974</v>
      </c>
      <c r="D643" s="7" t="s">
        <v>1973</v>
      </c>
      <c r="E643" s="8">
        <v>32390</v>
      </c>
      <c r="F643" s="9">
        <v>44508</v>
      </c>
    </row>
    <row r="644" spans="1:6" ht="14.25" x14ac:dyDescent="0.45">
      <c r="A644" s="6" t="str">
        <f ca="1">IFERROR(__xludf.DUMMYFUNCTION("""COMPUTED_VALUE"""),"X2032")</f>
        <v>X2032</v>
      </c>
      <c r="B644" s="7" t="s">
        <v>1971</v>
      </c>
      <c r="C644" s="7" t="s">
        <v>1996</v>
      </c>
      <c r="D644" s="7" t="s">
        <v>1995</v>
      </c>
      <c r="E644" s="8">
        <v>32396</v>
      </c>
      <c r="F644" s="9">
        <v>43044</v>
      </c>
    </row>
    <row r="645" spans="1:6" ht="14.25" x14ac:dyDescent="0.45">
      <c r="A645" s="6" t="str">
        <f ca="1">IFERROR(__xludf.DUMMYFUNCTION("""COMPUTED_VALUE"""),"X2CE0")</f>
        <v>X2CE0</v>
      </c>
      <c r="B645" s="7" t="s">
        <v>1971</v>
      </c>
      <c r="C645" s="7" t="s">
        <v>1972</v>
      </c>
      <c r="D645" s="7" t="s">
        <v>1973</v>
      </c>
      <c r="E645" s="8">
        <v>32399</v>
      </c>
      <c r="F645" s="10" t="s">
        <v>2052</v>
      </c>
    </row>
    <row r="646" spans="1:6" ht="14.25" x14ac:dyDescent="0.45">
      <c r="A646" s="6" t="str">
        <f ca="1">IFERROR(__xludf.DUMMYFUNCTION("""COMPUTED_VALUE"""),"X2DLJ")</f>
        <v>X2DLJ</v>
      </c>
      <c r="B646" s="7" t="s">
        <v>1971</v>
      </c>
      <c r="C646" s="7" t="s">
        <v>1972</v>
      </c>
      <c r="D646" s="7" t="s">
        <v>1993</v>
      </c>
      <c r="E646" s="8">
        <v>32400</v>
      </c>
      <c r="F646" s="10" t="s">
        <v>2051</v>
      </c>
    </row>
    <row r="647" spans="1:6" ht="14.25" x14ac:dyDescent="0.45">
      <c r="A647" s="6" t="str">
        <f ca="1">IFERROR(__xludf.DUMMYFUNCTION("""COMPUTED_VALUE"""),"X1J191")</f>
        <v>X1J191</v>
      </c>
      <c r="B647" s="7" t="s">
        <v>1971</v>
      </c>
      <c r="C647" s="7" t="s">
        <v>1972</v>
      </c>
      <c r="D647" s="7" t="s">
        <v>1997</v>
      </c>
      <c r="E647" s="8">
        <v>32402</v>
      </c>
      <c r="F647" s="10" t="s">
        <v>2139</v>
      </c>
    </row>
    <row r="648" spans="1:6" ht="14.25" x14ac:dyDescent="0.45">
      <c r="A648" s="6" t="str">
        <f ca="1">IFERROR(__xludf.DUMMYFUNCTION("""COMPUTED_VALUE"""),"X3AGVKW")</f>
        <v>X3AGVKW</v>
      </c>
      <c r="B648" s="7" t="s">
        <v>1971</v>
      </c>
      <c r="C648" s="7" t="s">
        <v>1972</v>
      </c>
      <c r="D648" s="7" t="s">
        <v>1973</v>
      </c>
      <c r="E648" s="8">
        <v>32403</v>
      </c>
      <c r="F648" s="10" t="s">
        <v>2246</v>
      </c>
    </row>
    <row r="649" spans="1:6" ht="14.25" x14ac:dyDescent="0.45">
      <c r="A649" s="6" t="str">
        <f ca="1">IFERROR(__xludf.DUMMYFUNCTION("""COMPUTED_VALUE"""),"XSG2Y7R")</f>
        <v>XSG2Y7R</v>
      </c>
      <c r="B649" s="7" t="s">
        <v>1980</v>
      </c>
      <c r="C649" s="7" t="s">
        <v>1972</v>
      </c>
      <c r="D649" s="7" t="s">
        <v>1978</v>
      </c>
      <c r="E649" s="8">
        <v>32406</v>
      </c>
      <c r="F649" s="9">
        <v>44533</v>
      </c>
    </row>
    <row r="650" spans="1:6" ht="14.25" x14ac:dyDescent="0.45">
      <c r="A650" s="6" t="str">
        <f ca="1">IFERROR(__xludf.DUMMYFUNCTION("""COMPUTED_VALUE"""),"X2656")</f>
        <v>X2656</v>
      </c>
      <c r="B650" s="7" t="s">
        <v>1971</v>
      </c>
      <c r="C650" s="7" t="s">
        <v>1977</v>
      </c>
      <c r="D650" s="7" t="s">
        <v>1975</v>
      </c>
      <c r="E650" s="8">
        <v>32412</v>
      </c>
      <c r="F650" s="10" t="s">
        <v>2060</v>
      </c>
    </row>
    <row r="651" spans="1:6" ht="14.25" x14ac:dyDescent="0.45">
      <c r="A651" s="6" t="str">
        <f ca="1">IFERROR(__xludf.DUMMYFUNCTION("""COMPUTED_VALUE"""),"XSL9SWS")</f>
        <v>XSL9SWS</v>
      </c>
      <c r="B651" s="7" t="s">
        <v>1971</v>
      </c>
      <c r="C651" s="7" t="s">
        <v>1977</v>
      </c>
      <c r="D651" s="7" t="s">
        <v>1974</v>
      </c>
      <c r="E651" s="8">
        <v>32413</v>
      </c>
      <c r="F651" s="10" t="s">
        <v>2243</v>
      </c>
    </row>
    <row r="652" spans="1:6" ht="14.25" x14ac:dyDescent="0.45">
      <c r="A652" s="6" t="str">
        <f ca="1">IFERROR(__xludf.DUMMYFUNCTION("""COMPUTED_VALUE"""),"X3384")</f>
        <v>X3384</v>
      </c>
      <c r="B652" s="7" t="s">
        <v>1971</v>
      </c>
      <c r="C652" s="7" t="s">
        <v>1977</v>
      </c>
      <c r="D652" s="7" t="s">
        <v>1974</v>
      </c>
      <c r="E652" s="8">
        <v>32424</v>
      </c>
      <c r="F652" s="10" t="s">
        <v>2069</v>
      </c>
    </row>
    <row r="653" spans="1:6" ht="14.25" x14ac:dyDescent="0.45">
      <c r="A653" s="6" t="str">
        <f ca="1">IFERROR(__xludf.DUMMYFUNCTION("""COMPUTED_VALUE"""),"X2DN9")</f>
        <v>X2DN9</v>
      </c>
      <c r="B653" s="7" t="s">
        <v>1971</v>
      </c>
      <c r="C653" s="7" t="s">
        <v>1972</v>
      </c>
      <c r="D653" s="7" t="s">
        <v>1993</v>
      </c>
      <c r="E653" s="8">
        <v>32427</v>
      </c>
      <c r="F653" s="10" t="s">
        <v>2042</v>
      </c>
    </row>
    <row r="654" spans="1:6" ht="14.25" x14ac:dyDescent="0.45">
      <c r="A654" s="6" t="str">
        <f ca="1">IFERROR(__xludf.DUMMYFUNCTION("""COMPUTED_VALUE"""),"X1XI3")</f>
        <v>X1XI3</v>
      </c>
      <c r="B654" s="7" t="s">
        <v>1980</v>
      </c>
      <c r="C654" s="7" t="s">
        <v>1974</v>
      </c>
      <c r="D654" s="7" t="s">
        <v>1987</v>
      </c>
      <c r="E654" s="8">
        <v>32437</v>
      </c>
      <c r="F654" s="10" t="s">
        <v>2080</v>
      </c>
    </row>
    <row r="655" spans="1:6" ht="14.25" x14ac:dyDescent="0.45">
      <c r="A655" s="6" t="str">
        <f ca="1">IFERROR(__xludf.DUMMYFUNCTION("""COMPUTED_VALUE"""),"X2DXC")</f>
        <v>X2DXC</v>
      </c>
      <c r="B655" s="7" t="s">
        <v>1980</v>
      </c>
      <c r="C655" s="7" t="s">
        <v>1972</v>
      </c>
      <c r="D655" s="7" t="s">
        <v>1974</v>
      </c>
      <c r="E655" s="8">
        <v>32446</v>
      </c>
      <c r="F655" s="10" t="s">
        <v>2152</v>
      </c>
    </row>
    <row r="656" spans="1:6" ht="14.25" x14ac:dyDescent="0.45">
      <c r="A656" s="6" t="str">
        <f ca="1">IFERROR(__xludf.DUMMYFUNCTION("""COMPUTED_VALUE"""),"X1JVC")</f>
        <v>X1JVC</v>
      </c>
      <c r="B656" s="7" t="s">
        <v>1971</v>
      </c>
      <c r="C656" s="7" t="s">
        <v>1977</v>
      </c>
      <c r="D656" s="7" t="s">
        <v>1974</v>
      </c>
      <c r="E656" s="8">
        <v>32449</v>
      </c>
      <c r="F656" s="10" t="s">
        <v>2108</v>
      </c>
    </row>
    <row r="657" spans="1:6" ht="14.25" x14ac:dyDescent="0.45">
      <c r="A657" s="6" t="str">
        <f ca="1">IFERROR(__xludf.DUMMYFUNCTION("""COMPUTED_VALUE"""),"XBQ5AWW")</f>
        <v>XBQ5AWW</v>
      </c>
      <c r="B657" s="7" t="s">
        <v>1971</v>
      </c>
      <c r="C657" s="7" t="s">
        <v>1972</v>
      </c>
      <c r="D657" s="7" t="s">
        <v>1993</v>
      </c>
      <c r="E657" s="8">
        <v>32451</v>
      </c>
      <c r="F657" s="10" t="s">
        <v>2308</v>
      </c>
    </row>
    <row r="658" spans="1:6" ht="14.25" x14ac:dyDescent="0.45">
      <c r="A658" s="6" t="str">
        <f ca="1">IFERROR(__xludf.DUMMYFUNCTION("""COMPUTED_VALUE"""),"XB9ZVXJ")</f>
        <v>XB9ZVXJ</v>
      </c>
      <c r="B658" s="7" t="s">
        <v>1971</v>
      </c>
      <c r="C658" s="7" t="s">
        <v>1977</v>
      </c>
      <c r="D658" s="7" t="s">
        <v>1974</v>
      </c>
      <c r="E658" s="8">
        <v>32452</v>
      </c>
      <c r="F658" s="10" t="s">
        <v>2242</v>
      </c>
    </row>
    <row r="659" spans="1:6" ht="14.25" x14ac:dyDescent="0.45">
      <c r="A659" s="6" t="str">
        <f ca="1">IFERROR(__xludf.DUMMYFUNCTION("""COMPUTED_VALUE"""),"X3779")</f>
        <v>X3779</v>
      </c>
      <c r="B659" s="7" t="s">
        <v>1980</v>
      </c>
      <c r="C659" s="7" t="s">
        <v>1972</v>
      </c>
      <c r="D659" s="7" t="s">
        <v>1978</v>
      </c>
      <c r="E659" s="8">
        <v>32453</v>
      </c>
      <c r="F659" s="10" t="s">
        <v>2152</v>
      </c>
    </row>
    <row r="660" spans="1:6" ht="14.25" x14ac:dyDescent="0.45">
      <c r="A660" s="6" t="str">
        <f ca="1">IFERROR(__xludf.DUMMYFUNCTION("""COMPUTED_VALUE"""),"X1401")</f>
        <v>X1401</v>
      </c>
      <c r="B660" s="7" t="s">
        <v>1971</v>
      </c>
      <c r="C660" s="7" t="s">
        <v>1972</v>
      </c>
      <c r="D660" s="7" t="s">
        <v>1990</v>
      </c>
      <c r="E660" s="8">
        <v>32457</v>
      </c>
      <c r="F660" s="10" t="s">
        <v>2203</v>
      </c>
    </row>
    <row r="661" spans="1:6" ht="14.25" x14ac:dyDescent="0.45">
      <c r="A661" s="6" t="str">
        <f ca="1">IFERROR(__xludf.DUMMYFUNCTION("""COMPUTED_VALUE"""),"X2DAL")</f>
        <v>X2DAL</v>
      </c>
      <c r="B661" s="7" t="s">
        <v>1971</v>
      </c>
      <c r="C661" s="7" t="s">
        <v>1981</v>
      </c>
      <c r="D661" s="7" t="s">
        <v>1990</v>
      </c>
      <c r="E661" s="8">
        <v>32459</v>
      </c>
      <c r="F661" s="9">
        <v>44378</v>
      </c>
    </row>
    <row r="662" spans="1:6" ht="14.25" x14ac:dyDescent="0.45">
      <c r="A662" s="6" t="str">
        <f ca="1">IFERROR(__xludf.DUMMYFUNCTION("""COMPUTED_VALUE"""),"X2DTW")</f>
        <v>X2DTW</v>
      </c>
      <c r="B662" s="7" t="s">
        <v>1971</v>
      </c>
      <c r="C662" s="7" t="s">
        <v>1972</v>
      </c>
      <c r="D662" s="7" t="s">
        <v>1974</v>
      </c>
      <c r="E662" s="8">
        <v>32470</v>
      </c>
      <c r="F662" s="10" t="s">
        <v>2114</v>
      </c>
    </row>
    <row r="663" spans="1:6" ht="14.25" x14ac:dyDescent="0.45">
      <c r="A663" s="6" t="str">
        <f ca="1">IFERROR(__xludf.DUMMYFUNCTION("""COMPUTED_VALUE"""),"XK223DN")</f>
        <v>XK223DN</v>
      </c>
      <c r="B663" s="7" t="s">
        <v>1971</v>
      </c>
      <c r="C663" s="7" t="s">
        <v>1977</v>
      </c>
      <c r="D663" s="7" t="s">
        <v>1993</v>
      </c>
      <c r="E663" s="8">
        <v>32473</v>
      </c>
      <c r="F663" s="10" t="s">
        <v>2261</v>
      </c>
    </row>
    <row r="664" spans="1:6" ht="14.25" x14ac:dyDescent="0.45">
      <c r="A664" s="6" t="str">
        <f ca="1">IFERROR(__xludf.DUMMYFUNCTION("""COMPUTED_VALUE"""),"X1QDE")</f>
        <v>X1QDE</v>
      </c>
      <c r="B664" s="7" t="s">
        <v>1986</v>
      </c>
      <c r="C664" s="7" t="s">
        <v>1972</v>
      </c>
      <c r="D664" s="7" t="s">
        <v>2072</v>
      </c>
      <c r="E664" s="8">
        <v>32475</v>
      </c>
      <c r="F664" s="10" t="s">
        <v>2073</v>
      </c>
    </row>
    <row r="665" spans="1:6" ht="14.25" x14ac:dyDescent="0.45">
      <c r="A665" s="6" t="str">
        <f ca="1">IFERROR(__xludf.DUMMYFUNCTION("""COMPUTED_VALUE"""),"XMBAUDX")</f>
        <v>XMBAUDX</v>
      </c>
      <c r="B665" s="7" t="s">
        <v>1986</v>
      </c>
      <c r="C665" s="7" t="s">
        <v>1972</v>
      </c>
      <c r="D665" s="7" t="s">
        <v>2026</v>
      </c>
      <c r="E665" s="8">
        <v>32480</v>
      </c>
      <c r="F665" s="9">
        <v>44419</v>
      </c>
    </row>
    <row r="666" spans="1:6" ht="14.25" x14ac:dyDescent="0.45">
      <c r="A666" s="6" t="str">
        <f ca="1">IFERROR(__xludf.DUMMYFUNCTION("UNIQUE('Projects &amp; Payouts by Agent'!B2:B5051)"),"X3465")</f>
        <v>X3465</v>
      </c>
      <c r="B666" s="7" t="s">
        <v>1971</v>
      </c>
      <c r="C666" s="7" t="s">
        <v>1972</v>
      </c>
      <c r="D666" s="7" t="s">
        <v>1973</v>
      </c>
      <c r="E666" s="8">
        <v>32483</v>
      </c>
      <c r="F666" s="9">
        <v>43259</v>
      </c>
    </row>
    <row r="667" spans="1:6" ht="14.25" x14ac:dyDescent="0.45">
      <c r="A667" s="6" t="str">
        <f ca="1">IFERROR(__xludf.DUMMYFUNCTION("""COMPUTED_VALUE"""),"X2BIE")</f>
        <v>X2BIE</v>
      </c>
      <c r="B667" s="7" t="s">
        <v>1971</v>
      </c>
      <c r="C667" s="7" t="s">
        <v>1972</v>
      </c>
      <c r="D667" s="7" t="s">
        <v>2012</v>
      </c>
      <c r="E667" s="8">
        <v>32484</v>
      </c>
      <c r="F667" s="10" t="s">
        <v>2013</v>
      </c>
    </row>
    <row r="668" spans="1:6" ht="14.25" x14ac:dyDescent="0.45">
      <c r="A668" s="6" t="str">
        <f ca="1">IFERROR(__xludf.DUMMYFUNCTION("""COMPUTED_VALUE"""),"XJJHW5V")</f>
        <v>XJJHW5V</v>
      </c>
      <c r="B668" s="7" t="s">
        <v>2234</v>
      </c>
      <c r="C668" s="7" t="s">
        <v>1996</v>
      </c>
      <c r="D668" s="7" t="s">
        <v>1997</v>
      </c>
      <c r="E668" s="8">
        <v>32490</v>
      </c>
      <c r="F668" s="10" t="s">
        <v>2218</v>
      </c>
    </row>
    <row r="669" spans="1:6" ht="14.25" x14ac:dyDescent="0.45">
      <c r="A669" s="6" t="str">
        <f ca="1">IFERROR(__xludf.DUMMYFUNCTION("""COMPUTED_VALUE"""),"X2431")</f>
        <v>X2431</v>
      </c>
      <c r="B669" s="7" t="s">
        <v>1971</v>
      </c>
      <c r="C669" s="7" t="s">
        <v>1977</v>
      </c>
      <c r="D669" s="7" t="s">
        <v>1975</v>
      </c>
      <c r="E669" s="8">
        <v>32493</v>
      </c>
      <c r="F669" s="10" t="s">
        <v>2160</v>
      </c>
    </row>
    <row r="670" spans="1:6" ht="14.25" x14ac:dyDescent="0.45">
      <c r="A670" s="6" t="str">
        <f ca="1">IFERROR(__xludf.DUMMYFUNCTION("""COMPUTED_VALUE"""),"X3309")</f>
        <v>X3309</v>
      </c>
      <c r="B670" s="7" t="s">
        <v>1971</v>
      </c>
      <c r="C670" s="7" t="s">
        <v>1977</v>
      </c>
      <c r="D670" s="7" t="s">
        <v>1974</v>
      </c>
      <c r="E670" s="8">
        <v>32495</v>
      </c>
      <c r="F670" s="10" t="s">
        <v>2117</v>
      </c>
    </row>
    <row r="671" spans="1:6" ht="14.25" x14ac:dyDescent="0.45">
      <c r="A671" s="6" t="str">
        <f ca="1">IFERROR(__xludf.DUMMYFUNCTION("""COMPUTED_VALUE"""),"X2BMJ")</f>
        <v>X2BMJ</v>
      </c>
      <c r="B671" s="7" t="s">
        <v>1971</v>
      </c>
      <c r="C671" s="7" t="s">
        <v>1972</v>
      </c>
      <c r="D671" s="7" t="s">
        <v>1997</v>
      </c>
      <c r="E671" s="8">
        <v>32503</v>
      </c>
      <c r="F671" s="10" t="s">
        <v>2005</v>
      </c>
    </row>
    <row r="672" spans="1:6" ht="14.25" x14ac:dyDescent="0.45">
      <c r="A672" s="6" t="str">
        <f ca="1">IFERROR(__xludf.DUMMYFUNCTION("""COMPUTED_VALUE"""),"X5D3KUP")</f>
        <v>X5D3KUP</v>
      </c>
      <c r="B672" s="7" t="s">
        <v>1971</v>
      </c>
      <c r="C672" s="7" t="s">
        <v>1972</v>
      </c>
      <c r="D672" s="7" t="s">
        <v>1974</v>
      </c>
      <c r="E672" s="8">
        <v>32506</v>
      </c>
      <c r="F672" s="10" t="s">
        <v>2191</v>
      </c>
    </row>
    <row r="673" spans="1:6" ht="14.25" x14ac:dyDescent="0.45">
      <c r="A673" s="6" t="str">
        <f ca="1">IFERROR(__xludf.DUMMYFUNCTION("""COMPUTED_VALUE"""),"X2BK4OK")</f>
        <v>X2BK4OK</v>
      </c>
      <c r="B673" s="7" t="s">
        <v>1971</v>
      </c>
      <c r="C673" s="7" t="s">
        <v>1972</v>
      </c>
      <c r="D673" s="7" t="s">
        <v>1974</v>
      </c>
      <c r="E673" s="8">
        <v>32507</v>
      </c>
      <c r="F673" s="10" t="s">
        <v>2285</v>
      </c>
    </row>
    <row r="674" spans="1:6" ht="14.25" x14ac:dyDescent="0.45">
      <c r="A674" s="6" t="str">
        <f ca="1">IFERROR(__xludf.DUMMYFUNCTION("""COMPUTED_VALUE"""),"X1XF0")</f>
        <v>X1XF0</v>
      </c>
      <c r="B674" s="7" t="s">
        <v>1971</v>
      </c>
      <c r="C674" s="7" t="s">
        <v>1972</v>
      </c>
      <c r="D674" s="7" t="s">
        <v>1993</v>
      </c>
      <c r="E674" s="8">
        <v>32510</v>
      </c>
      <c r="F674" s="9">
        <v>43779</v>
      </c>
    </row>
    <row r="675" spans="1:6" ht="14.25" x14ac:dyDescent="0.45">
      <c r="A675" s="6" t="str">
        <f ca="1">IFERROR(__xludf.DUMMYFUNCTION("""COMPUTED_VALUE"""),"X29EL")</f>
        <v>X29EL</v>
      </c>
      <c r="B675" s="7" t="s">
        <v>1971</v>
      </c>
      <c r="C675" s="7" t="s">
        <v>1972</v>
      </c>
      <c r="D675" s="7" t="s">
        <v>1983</v>
      </c>
      <c r="E675" s="8">
        <v>32514</v>
      </c>
      <c r="F675" s="9">
        <v>44084</v>
      </c>
    </row>
    <row r="676" spans="1:6" ht="14.25" x14ac:dyDescent="0.45">
      <c r="A676" s="6" t="str">
        <f ca="1">IFERROR(__xludf.DUMMYFUNCTION("""COMPUTED_VALUE"""),"X2DZC")</f>
        <v>X2DZC</v>
      </c>
      <c r="B676" s="7" t="s">
        <v>1980</v>
      </c>
      <c r="C676" s="7" t="s">
        <v>1972</v>
      </c>
      <c r="D676" s="7" t="s">
        <v>1974</v>
      </c>
      <c r="E676" s="8">
        <v>32516</v>
      </c>
      <c r="F676" s="10" t="s">
        <v>2152</v>
      </c>
    </row>
    <row r="677" spans="1:6" ht="14.25" x14ac:dyDescent="0.45">
      <c r="A677" s="6" t="str">
        <f ca="1">IFERROR(__xludf.DUMMYFUNCTION("""COMPUTED_VALUE"""),"X1WZT")</f>
        <v>X1WZT</v>
      </c>
      <c r="B677" s="7" t="s">
        <v>1971</v>
      </c>
      <c r="C677" s="7" t="s">
        <v>1972</v>
      </c>
      <c r="D677" s="7" t="s">
        <v>2072</v>
      </c>
      <c r="E677" s="8">
        <v>32520</v>
      </c>
      <c r="F677" s="10" t="s">
        <v>2089</v>
      </c>
    </row>
    <row r="678" spans="1:6" ht="14.25" x14ac:dyDescent="0.45">
      <c r="A678" s="6" t="str">
        <f ca="1">IFERROR(__xludf.DUMMYFUNCTION("""COMPUTED_VALUE"""),"X2CSE")</f>
        <v>X2CSE</v>
      </c>
      <c r="B678" s="7" t="s">
        <v>1971</v>
      </c>
      <c r="C678" s="7" t="s">
        <v>1972</v>
      </c>
      <c r="D678" s="7" t="s">
        <v>1974</v>
      </c>
      <c r="E678" s="8">
        <v>32522</v>
      </c>
      <c r="F678" s="10" t="s">
        <v>2096</v>
      </c>
    </row>
    <row r="679" spans="1:6" ht="14.25" x14ac:dyDescent="0.45">
      <c r="A679" s="6" t="str">
        <f ca="1">IFERROR(__xludf.DUMMYFUNCTION("""COMPUTED_VALUE"""),"XF3W1JC")</f>
        <v>XF3W1JC</v>
      </c>
      <c r="B679" s="7" t="s">
        <v>1971</v>
      </c>
      <c r="C679" s="7" t="s">
        <v>1977</v>
      </c>
      <c r="D679" s="7" t="s">
        <v>2020</v>
      </c>
      <c r="E679" s="8">
        <v>32523</v>
      </c>
      <c r="F679" s="10" t="s">
        <v>2242</v>
      </c>
    </row>
    <row r="680" spans="1:6" ht="14.25" x14ac:dyDescent="0.45">
      <c r="A680" s="6" t="str">
        <f ca="1">IFERROR(__xludf.DUMMYFUNCTION("""COMPUTED_VALUE"""),"X1YBL")</f>
        <v>X1YBL</v>
      </c>
      <c r="B680" s="7" t="s">
        <v>2025</v>
      </c>
      <c r="C680" s="7" t="s">
        <v>1972</v>
      </c>
      <c r="D680" s="7" t="s">
        <v>1997</v>
      </c>
      <c r="E680" s="8">
        <v>32527</v>
      </c>
      <c r="F680" s="9">
        <v>43476</v>
      </c>
    </row>
    <row r="681" spans="1:6" ht="14.25" x14ac:dyDescent="0.45">
      <c r="A681" s="6" t="str">
        <f ca="1">IFERROR(__xludf.DUMMYFUNCTION("""COMPUTED_VALUE"""),"XR2VQZM")</f>
        <v>XR2VQZM</v>
      </c>
      <c r="B681" s="7" t="s">
        <v>1971</v>
      </c>
      <c r="C681" s="7" t="s">
        <v>1974</v>
      </c>
      <c r="D681" s="7" t="s">
        <v>1974</v>
      </c>
      <c r="E681" s="8">
        <v>32527</v>
      </c>
      <c r="F681" s="9">
        <v>44533</v>
      </c>
    </row>
    <row r="682" spans="1:6" ht="14.25" x14ac:dyDescent="0.45">
      <c r="A682" s="6" t="str">
        <f ca="1">IFERROR(__xludf.DUMMYFUNCTION("""COMPUTED_VALUE"""),"XRG8AYH")</f>
        <v>XRG8AYH</v>
      </c>
      <c r="B682" s="7" t="s">
        <v>1971</v>
      </c>
      <c r="C682" s="7" t="s">
        <v>1972</v>
      </c>
      <c r="D682" s="7" t="s">
        <v>1978</v>
      </c>
      <c r="E682" s="8">
        <v>32528</v>
      </c>
      <c r="F682" s="9">
        <v>44474</v>
      </c>
    </row>
    <row r="683" spans="1:6" ht="14.25" x14ac:dyDescent="0.45">
      <c r="A683" s="6" t="str">
        <f ca="1">IFERROR(__xludf.DUMMYFUNCTION("""COMPUTED_VALUE"""),"X2DOQ")</f>
        <v>X2DOQ</v>
      </c>
      <c r="B683" s="7" t="s">
        <v>1971</v>
      </c>
      <c r="C683" s="7" t="s">
        <v>1977</v>
      </c>
      <c r="D683" s="7" t="s">
        <v>1973</v>
      </c>
      <c r="E683" s="8">
        <v>32534</v>
      </c>
      <c r="F683" s="10" t="s">
        <v>2042</v>
      </c>
    </row>
    <row r="684" spans="1:6" ht="14.25" x14ac:dyDescent="0.45">
      <c r="A684" s="6" t="str">
        <f ca="1">IFERROR(__xludf.DUMMYFUNCTION("""COMPUTED_VALUE"""),"X3QC2BU")</f>
        <v>X3QC2BU</v>
      </c>
      <c r="B684" s="7" t="s">
        <v>1971</v>
      </c>
      <c r="C684" s="7" t="s">
        <v>1972</v>
      </c>
      <c r="D684" s="7" t="s">
        <v>1974</v>
      </c>
      <c r="E684" s="8">
        <v>32535</v>
      </c>
      <c r="F684" s="10" t="s">
        <v>2247</v>
      </c>
    </row>
    <row r="685" spans="1:6" ht="14.25" x14ac:dyDescent="0.45">
      <c r="A685" s="6" t="str">
        <f ca="1">IFERROR(__xludf.DUMMYFUNCTION("""COMPUTED_VALUE"""),"X1ON7")</f>
        <v>X1ON7</v>
      </c>
      <c r="B685" s="7" t="s">
        <v>1980</v>
      </c>
      <c r="C685" s="7" t="s">
        <v>1972</v>
      </c>
      <c r="D685" s="7" t="s">
        <v>1975</v>
      </c>
      <c r="E685" s="8">
        <v>32536</v>
      </c>
      <c r="F685" s="10" t="s">
        <v>2085</v>
      </c>
    </row>
    <row r="686" spans="1:6" ht="14.25" x14ac:dyDescent="0.45">
      <c r="A686" s="6" t="str">
        <f ca="1">IFERROR(__xludf.DUMMYFUNCTION("""COMPUTED_VALUE"""),"XG2JJMD")</f>
        <v>XG2JJMD</v>
      </c>
      <c r="B686" s="7" t="s">
        <v>1971</v>
      </c>
      <c r="C686" s="7" t="s">
        <v>1977</v>
      </c>
      <c r="D686" s="7" t="s">
        <v>1978</v>
      </c>
      <c r="E686" s="8">
        <v>32536</v>
      </c>
      <c r="F686" s="10" t="s">
        <v>2219</v>
      </c>
    </row>
    <row r="687" spans="1:6" ht="14.25" x14ac:dyDescent="0.45">
      <c r="A687" s="6" t="str">
        <f ca="1">IFERROR(__xludf.DUMMYFUNCTION("""COMPUTED_VALUE"""),"XDSC7LA")</f>
        <v>XDSC7LA</v>
      </c>
      <c r="B687" s="7" t="s">
        <v>1971</v>
      </c>
      <c r="C687" s="7" t="s">
        <v>1972</v>
      </c>
      <c r="D687" s="7" t="s">
        <v>1974</v>
      </c>
      <c r="E687" s="8">
        <v>32538</v>
      </c>
      <c r="F687" s="9">
        <v>44503</v>
      </c>
    </row>
    <row r="688" spans="1:6" ht="14.25" x14ac:dyDescent="0.45">
      <c r="A688" s="6" t="str">
        <f ca="1">IFERROR(__xludf.DUMMYFUNCTION("""COMPUTED_VALUE"""),"X2A171")</f>
        <v>X2A171</v>
      </c>
      <c r="B688" s="7" t="s">
        <v>1986</v>
      </c>
      <c r="C688" s="7" t="s">
        <v>1977</v>
      </c>
      <c r="D688" s="7" t="s">
        <v>1974</v>
      </c>
      <c r="E688" s="8">
        <v>32540</v>
      </c>
      <c r="F688" s="10" t="s">
        <v>2071</v>
      </c>
    </row>
    <row r="689" spans="1:6" ht="14.25" x14ac:dyDescent="0.45">
      <c r="A689" s="6" t="str">
        <f ca="1">IFERROR(__xludf.DUMMYFUNCTION("""COMPUTED_VALUE"""),"X1Z7V")</f>
        <v>X1Z7V</v>
      </c>
      <c r="B689" s="7" t="s">
        <v>1986</v>
      </c>
      <c r="C689" s="7" t="s">
        <v>1972</v>
      </c>
      <c r="D689" s="7" t="s">
        <v>1997</v>
      </c>
      <c r="E689" s="8">
        <v>32543</v>
      </c>
      <c r="F689" s="10" t="s">
        <v>2107</v>
      </c>
    </row>
    <row r="690" spans="1:6" ht="14.25" x14ac:dyDescent="0.45">
      <c r="A690" s="6" t="str">
        <f ca="1">IFERROR(__xludf.DUMMYFUNCTION("""COMPUTED_VALUE"""),"XVQ8L41")</f>
        <v>XVQ8L41</v>
      </c>
      <c r="B690" s="7" t="s">
        <v>1971</v>
      </c>
      <c r="C690" s="7" t="s">
        <v>1977</v>
      </c>
      <c r="D690" s="7" t="s">
        <v>1974</v>
      </c>
      <c r="E690" s="8">
        <v>32544</v>
      </c>
      <c r="F690" s="10" t="s">
        <v>2193</v>
      </c>
    </row>
    <row r="691" spans="1:6" ht="14.25" x14ac:dyDescent="0.45">
      <c r="A691" s="6" t="str">
        <f ca="1">IFERROR(__xludf.DUMMYFUNCTION("""COMPUTED_VALUE"""),"XJ2IXRV")</f>
        <v>XJ2IXRV</v>
      </c>
      <c r="B691" s="7" t="s">
        <v>1971</v>
      </c>
      <c r="C691" s="7" t="s">
        <v>1977</v>
      </c>
      <c r="D691" s="7" t="s">
        <v>1974</v>
      </c>
      <c r="E691" s="8">
        <v>32549</v>
      </c>
      <c r="F691" s="9">
        <v>44474</v>
      </c>
    </row>
    <row r="692" spans="1:6" ht="14.25" x14ac:dyDescent="0.45">
      <c r="A692" s="6" t="str">
        <f ca="1">IFERROR(__xludf.DUMMYFUNCTION("""COMPUTED_VALUE"""),"X3013")</f>
        <v>X3013</v>
      </c>
      <c r="B692" s="7" t="s">
        <v>1971</v>
      </c>
      <c r="C692" s="7" t="s">
        <v>1972</v>
      </c>
      <c r="D692" s="7" t="s">
        <v>1974</v>
      </c>
      <c r="E692" s="8">
        <v>32550</v>
      </c>
      <c r="F692" s="10" t="s">
        <v>2133</v>
      </c>
    </row>
    <row r="693" spans="1:6" ht="14.25" x14ac:dyDescent="0.45">
      <c r="A693" s="6" t="str">
        <f ca="1">IFERROR(__xludf.DUMMYFUNCTION("""COMPUTED_VALUE"""),"X22UO")</f>
        <v>X22UO</v>
      </c>
      <c r="B693" s="7" t="s">
        <v>1971</v>
      </c>
      <c r="C693" s="7" t="s">
        <v>1981</v>
      </c>
      <c r="D693" s="7" t="s">
        <v>1974</v>
      </c>
      <c r="E693" s="8">
        <v>32555</v>
      </c>
      <c r="F693" s="10" t="s">
        <v>2145</v>
      </c>
    </row>
    <row r="694" spans="1:6" ht="14.25" x14ac:dyDescent="0.45">
      <c r="A694" s="6" t="str">
        <f ca="1">IFERROR(__xludf.DUMMYFUNCTION("""COMPUTED_VALUE"""),"X8TK8ZV")</f>
        <v>X8TK8ZV</v>
      </c>
      <c r="B694" s="7" t="s">
        <v>1971</v>
      </c>
      <c r="C694" s="7" t="s">
        <v>1977</v>
      </c>
      <c r="D694" s="7" t="s">
        <v>2072</v>
      </c>
      <c r="E694" s="8">
        <v>32563</v>
      </c>
      <c r="F694" s="10" t="s">
        <v>2219</v>
      </c>
    </row>
    <row r="695" spans="1:6" ht="14.25" x14ac:dyDescent="0.45">
      <c r="A695" s="6" t="str">
        <f ca="1">IFERROR(__xludf.DUMMYFUNCTION("""COMPUTED_VALUE"""),"XHFQ681")</f>
        <v>XHFQ681</v>
      </c>
      <c r="B695" s="7" t="s">
        <v>1971</v>
      </c>
      <c r="C695" s="7" t="s">
        <v>1977</v>
      </c>
      <c r="D695" s="7" t="s">
        <v>1987</v>
      </c>
      <c r="E695" s="8">
        <v>32568</v>
      </c>
      <c r="F695" s="10" t="s">
        <v>2268</v>
      </c>
    </row>
    <row r="696" spans="1:6" ht="14.25" x14ac:dyDescent="0.45">
      <c r="A696" s="6" t="str">
        <f ca="1">IFERROR(__xludf.DUMMYFUNCTION("""COMPUTED_VALUE"""),"X1RCF")</f>
        <v>X1RCF</v>
      </c>
      <c r="B696" s="7" t="s">
        <v>1971</v>
      </c>
      <c r="C696" s="7" t="s">
        <v>1981</v>
      </c>
      <c r="D696" s="7" t="s">
        <v>1993</v>
      </c>
      <c r="E696" s="8">
        <v>32573</v>
      </c>
      <c r="F696" s="10" t="s">
        <v>2250</v>
      </c>
    </row>
    <row r="697" spans="1:6" ht="14.25" x14ac:dyDescent="0.45">
      <c r="A697" s="6" t="str">
        <f ca="1">IFERROR(__xludf.DUMMYFUNCTION("""COMPUTED_VALUE"""),"XSR935N")</f>
        <v>XSR935N</v>
      </c>
      <c r="B697" s="7" t="s">
        <v>1971</v>
      </c>
      <c r="C697" s="7" t="s">
        <v>1972</v>
      </c>
      <c r="D697" s="7" t="s">
        <v>2026</v>
      </c>
      <c r="E697" s="8">
        <v>32574</v>
      </c>
      <c r="F697" s="10" t="s">
        <v>2242</v>
      </c>
    </row>
    <row r="698" spans="1:6" ht="14.25" x14ac:dyDescent="0.45">
      <c r="A698" s="6" t="str">
        <f ca="1">IFERROR(__xludf.DUMMYFUNCTION("""COMPUTED_VALUE"""),"XPC3QNG")</f>
        <v>XPC3QNG</v>
      </c>
      <c r="B698" s="7" t="s">
        <v>1986</v>
      </c>
      <c r="C698" s="7" t="s">
        <v>1972</v>
      </c>
      <c r="D698" s="7" t="s">
        <v>1975</v>
      </c>
      <c r="E698" s="8">
        <v>32585</v>
      </c>
      <c r="F698" s="10" t="s">
        <v>2200</v>
      </c>
    </row>
    <row r="699" spans="1:6" ht="14.25" x14ac:dyDescent="0.45">
      <c r="A699" s="6" t="str">
        <f ca="1">IFERROR(__xludf.DUMMYFUNCTION("""COMPUTED_VALUE"""),"X1MM4")</f>
        <v>X1MM4</v>
      </c>
      <c r="B699" s="7" t="s">
        <v>1986</v>
      </c>
      <c r="C699" s="7" t="s">
        <v>1981</v>
      </c>
      <c r="D699" s="7" t="s">
        <v>1983</v>
      </c>
      <c r="E699" s="8">
        <v>32586</v>
      </c>
      <c r="F699" s="10" t="s">
        <v>2119</v>
      </c>
    </row>
    <row r="700" spans="1:6" ht="14.25" x14ac:dyDescent="0.45">
      <c r="A700" s="6" t="str">
        <f ca="1">IFERROR(__xludf.DUMMYFUNCTION("""COMPUTED_VALUE"""),"X7TAJWP")</f>
        <v>X7TAJWP</v>
      </c>
      <c r="B700" s="7" t="s">
        <v>1971</v>
      </c>
      <c r="C700" s="7" t="s">
        <v>1972</v>
      </c>
      <c r="D700" s="7" t="s">
        <v>2070</v>
      </c>
      <c r="E700" s="8">
        <v>32589</v>
      </c>
      <c r="F700" s="10" t="s">
        <v>2261</v>
      </c>
    </row>
    <row r="701" spans="1:6" ht="14.25" x14ac:dyDescent="0.45">
      <c r="A701" s="6" t="str">
        <f ca="1">IFERROR(__xludf.DUMMYFUNCTION("""COMPUTED_VALUE"""),"X5XYM2P")</f>
        <v>X5XYM2P</v>
      </c>
      <c r="B701" s="7" t="s">
        <v>1971</v>
      </c>
      <c r="C701" s="7" t="s">
        <v>1972</v>
      </c>
      <c r="D701" s="7" t="s">
        <v>2026</v>
      </c>
      <c r="E701" s="8">
        <v>32590</v>
      </c>
      <c r="F701" s="10" t="s">
        <v>2261</v>
      </c>
    </row>
    <row r="702" spans="1:6" ht="14.25" x14ac:dyDescent="0.45">
      <c r="A702" s="6" t="str">
        <f ca="1">IFERROR(__xludf.DUMMYFUNCTION("""COMPUTED_VALUE"""),"X1SEQ")</f>
        <v>X1SEQ</v>
      </c>
      <c r="B702" s="7" t="s">
        <v>1971</v>
      </c>
      <c r="C702" s="7" t="s">
        <v>1972</v>
      </c>
      <c r="D702" s="7" t="s">
        <v>1993</v>
      </c>
      <c r="E702" s="8">
        <v>32609</v>
      </c>
      <c r="F702" s="10" t="s">
        <v>2150</v>
      </c>
    </row>
    <row r="703" spans="1:6" ht="14.25" x14ac:dyDescent="0.45">
      <c r="A703" s="6" t="str">
        <f ca="1">IFERROR(__xludf.DUMMYFUNCTION("""COMPUTED_VALUE"""),"X16F7L6")</f>
        <v>X16F7L6</v>
      </c>
      <c r="B703" s="7" t="s">
        <v>2253</v>
      </c>
      <c r="C703" s="7" t="s">
        <v>1981</v>
      </c>
      <c r="D703" s="7" t="s">
        <v>2241</v>
      </c>
      <c r="E703" s="8">
        <v>32619</v>
      </c>
      <c r="F703" s="10" t="s">
        <v>2213</v>
      </c>
    </row>
    <row r="704" spans="1:6" ht="14.25" x14ac:dyDescent="0.45">
      <c r="A704" s="6" t="str">
        <f ca="1">IFERROR(__xludf.DUMMYFUNCTION("""COMPUTED_VALUE"""),"XGDQWAG")</f>
        <v>XGDQWAG</v>
      </c>
      <c r="B704" s="7" t="s">
        <v>1986</v>
      </c>
      <c r="C704" s="7" t="s">
        <v>1981</v>
      </c>
      <c r="D704" s="7" t="s">
        <v>1984</v>
      </c>
      <c r="E704" s="8">
        <v>32621</v>
      </c>
      <c r="F704" s="9">
        <v>44443</v>
      </c>
    </row>
    <row r="705" spans="1:6" ht="14.25" x14ac:dyDescent="0.45">
      <c r="A705" s="6" t="str">
        <f ca="1">IFERROR(__xludf.DUMMYFUNCTION("""COMPUTED_VALUE"""),"XUT5FYB")</f>
        <v>XUT5FYB</v>
      </c>
      <c r="B705" s="7" t="s">
        <v>1971</v>
      </c>
      <c r="C705" s="7" t="s">
        <v>1977</v>
      </c>
      <c r="D705" s="7" t="s">
        <v>1975</v>
      </c>
      <c r="E705" s="8">
        <v>32631</v>
      </c>
      <c r="F705" s="9">
        <v>44535</v>
      </c>
    </row>
    <row r="706" spans="1:6" ht="14.25" x14ac:dyDescent="0.45">
      <c r="A706" s="6" t="str">
        <f ca="1">IFERROR(__xludf.DUMMYFUNCTION("""COMPUTED_VALUE"""),"X2976")</f>
        <v>X2976</v>
      </c>
      <c r="B706" s="7" t="s">
        <v>1980</v>
      </c>
      <c r="C706" s="7" t="s">
        <v>1972</v>
      </c>
      <c r="D706" s="7" t="s">
        <v>1973</v>
      </c>
      <c r="E706" s="8">
        <v>32643</v>
      </c>
      <c r="F706" s="9">
        <v>43224</v>
      </c>
    </row>
    <row r="707" spans="1:6" ht="14.25" x14ac:dyDescent="0.45">
      <c r="A707" s="6" t="str">
        <f ca="1">IFERROR(__xludf.DUMMYFUNCTION("""COMPUTED_VALUE"""),"X1XX4")</f>
        <v>X1XX4</v>
      </c>
      <c r="B707" s="7" t="s">
        <v>1980</v>
      </c>
      <c r="C707" s="7" t="s">
        <v>1972</v>
      </c>
      <c r="D707" s="7" t="s">
        <v>1974</v>
      </c>
      <c r="E707" s="8">
        <v>32644</v>
      </c>
      <c r="F707" s="10" t="s">
        <v>2098</v>
      </c>
    </row>
    <row r="708" spans="1:6" ht="14.25" x14ac:dyDescent="0.45">
      <c r="A708" s="6" t="str">
        <f ca="1">IFERROR(__xludf.DUMMYFUNCTION("""COMPUTED_VALUE"""),"X21ZC")</f>
        <v>X21ZC</v>
      </c>
      <c r="B708" s="7" t="s">
        <v>1971</v>
      </c>
      <c r="C708" s="7" t="s">
        <v>1972</v>
      </c>
      <c r="D708" s="7" t="s">
        <v>1974</v>
      </c>
      <c r="E708" s="8">
        <v>32646</v>
      </c>
      <c r="F708" s="10" t="s">
        <v>2179</v>
      </c>
    </row>
    <row r="709" spans="1:6" ht="14.25" x14ac:dyDescent="0.45">
      <c r="A709" s="6" t="str">
        <f ca="1">IFERROR(__xludf.DUMMYFUNCTION("""COMPUTED_VALUE"""),"XYJ9RN8")</f>
        <v>XYJ9RN8</v>
      </c>
      <c r="B709" s="7" t="s">
        <v>1971</v>
      </c>
      <c r="C709" s="7" t="s">
        <v>1977</v>
      </c>
      <c r="D709" s="7" t="s">
        <v>1974</v>
      </c>
      <c r="E709" s="8">
        <v>32650</v>
      </c>
      <c r="F709" s="9">
        <v>44533</v>
      </c>
    </row>
    <row r="710" spans="1:6" ht="14.25" x14ac:dyDescent="0.45">
      <c r="A710" s="6" t="str">
        <f ca="1">IFERROR(__xludf.DUMMYFUNCTION("""COMPUTED_VALUE"""),"X2DY8")</f>
        <v>X2DY8</v>
      </c>
      <c r="B710" s="7" t="s">
        <v>1980</v>
      </c>
      <c r="C710" s="7" t="s">
        <v>1972</v>
      </c>
      <c r="D710" s="7" t="s">
        <v>1997</v>
      </c>
      <c r="E710" s="8">
        <v>32659</v>
      </c>
      <c r="F710" s="10" t="s">
        <v>2152</v>
      </c>
    </row>
    <row r="711" spans="1:6" ht="14.25" x14ac:dyDescent="0.45">
      <c r="A711" s="6" t="str">
        <f ca="1">IFERROR(__xludf.DUMMYFUNCTION("""COMPUTED_VALUE"""),"X2JQB8R")</f>
        <v>X2JQB8R</v>
      </c>
      <c r="B711" s="7" t="s">
        <v>1986</v>
      </c>
      <c r="C711" s="7" t="s">
        <v>1972</v>
      </c>
      <c r="D711" s="7" t="s">
        <v>1974</v>
      </c>
      <c r="E711" s="8">
        <v>32665</v>
      </c>
      <c r="F711" s="10" t="s">
        <v>2193</v>
      </c>
    </row>
    <row r="712" spans="1:6" ht="14.25" x14ac:dyDescent="0.45">
      <c r="A712" s="6" t="str">
        <f ca="1">IFERROR(__xludf.DUMMYFUNCTION("""COMPUTED_VALUE"""),"X1XR3")</f>
        <v>X1XR3</v>
      </c>
      <c r="B712" s="7" t="s">
        <v>1971</v>
      </c>
      <c r="C712" s="7" t="s">
        <v>1977</v>
      </c>
      <c r="D712" s="7" t="s">
        <v>1974</v>
      </c>
      <c r="E712" s="8">
        <v>32683</v>
      </c>
      <c r="F712" s="10" t="s">
        <v>2053</v>
      </c>
    </row>
    <row r="713" spans="1:6" ht="14.25" x14ac:dyDescent="0.45">
      <c r="A713" s="6" t="str">
        <f ca="1">IFERROR(__xludf.DUMMYFUNCTION("""COMPUTED_VALUE"""),"XGNNDBQ")</f>
        <v>XGNNDBQ</v>
      </c>
      <c r="B713" s="7" t="s">
        <v>1971</v>
      </c>
      <c r="C713" s="7" t="s">
        <v>1972</v>
      </c>
      <c r="D713" s="7" t="s">
        <v>2072</v>
      </c>
      <c r="E713" s="8">
        <v>32685</v>
      </c>
      <c r="F713" s="10" t="s">
        <v>2287</v>
      </c>
    </row>
    <row r="714" spans="1:6" ht="14.25" x14ac:dyDescent="0.45">
      <c r="A714" s="6" t="str">
        <f ca="1">IFERROR(__xludf.DUMMYFUNCTION("""COMPUTED_VALUE"""),"XFJO3PY")</f>
        <v>XFJO3PY</v>
      </c>
      <c r="B714" s="7" t="s">
        <v>1971</v>
      </c>
      <c r="C714" s="7" t="s">
        <v>1977</v>
      </c>
      <c r="D714" s="7" t="s">
        <v>2020</v>
      </c>
      <c r="E714" s="8">
        <v>32695</v>
      </c>
      <c r="F714" s="9">
        <v>44324</v>
      </c>
    </row>
    <row r="715" spans="1:6" ht="14.25" x14ac:dyDescent="0.45">
      <c r="A715" s="6" t="str">
        <f ca="1">IFERROR(__xludf.DUMMYFUNCTION("""COMPUTED_VALUE"""),"X28CR")</f>
        <v>X28CR</v>
      </c>
      <c r="B715" s="7" t="s">
        <v>1971</v>
      </c>
      <c r="C715" s="7" t="s">
        <v>1977</v>
      </c>
      <c r="D715" s="7" t="s">
        <v>2020</v>
      </c>
      <c r="E715" s="8">
        <v>32698</v>
      </c>
      <c r="F715" s="10" t="s">
        <v>2125</v>
      </c>
    </row>
    <row r="716" spans="1:6" ht="14.25" x14ac:dyDescent="0.45">
      <c r="A716" s="6" t="str">
        <f ca="1">IFERROR(__xludf.DUMMYFUNCTION("""COMPUTED_VALUE"""),"XCCX1PO")</f>
        <v>XCCX1PO</v>
      </c>
      <c r="B716" s="7" t="s">
        <v>1971</v>
      </c>
      <c r="C716" s="7" t="s">
        <v>1972</v>
      </c>
      <c r="D716" s="7" t="s">
        <v>1974</v>
      </c>
      <c r="E716" s="8">
        <v>32700</v>
      </c>
      <c r="F716" s="10" t="s">
        <v>2242</v>
      </c>
    </row>
    <row r="717" spans="1:6" ht="14.25" x14ac:dyDescent="0.45">
      <c r="A717" s="6" t="str">
        <f ca="1">IFERROR(__xludf.DUMMYFUNCTION("""COMPUTED_VALUE"""),"XQORBYR")</f>
        <v>XQORBYR</v>
      </c>
      <c r="B717" s="7" t="s">
        <v>1971</v>
      </c>
      <c r="C717" s="7" t="s">
        <v>1974</v>
      </c>
      <c r="D717" s="7" t="s">
        <v>1974</v>
      </c>
      <c r="E717" s="8">
        <v>32703</v>
      </c>
      <c r="F717" s="10" t="s">
        <v>2247</v>
      </c>
    </row>
    <row r="718" spans="1:6" ht="14.25" x14ac:dyDescent="0.45">
      <c r="A718" s="6" t="str">
        <f ca="1">IFERROR(__xludf.DUMMYFUNCTION("""COMPUTED_VALUE"""),"XQEMXUE")</f>
        <v>XQEMXUE</v>
      </c>
      <c r="B718" s="7" t="s">
        <v>1971</v>
      </c>
      <c r="C718" s="7" t="s">
        <v>1972</v>
      </c>
      <c r="D718" s="7" t="s">
        <v>1997</v>
      </c>
      <c r="E718" s="8">
        <v>32705</v>
      </c>
      <c r="F718" s="10" t="s">
        <v>2277</v>
      </c>
    </row>
    <row r="719" spans="1:6" ht="14.25" x14ac:dyDescent="0.45">
      <c r="A719" s="6" t="str">
        <f ca="1">IFERROR(__xludf.DUMMYFUNCTION("""COMPUTED_VALUE"""),"XEXODV5")</f>
        <v>XEXODV5</v>
      </c>
      <c r="B719" s="7" t="s">
        <v>1971</v>
      </c>
      <c r="C719" s="7" t="s">
        <v>1974</v>
      </c>
      <c r="D719" s="7" t="s">
        <v>1974</v>
      </c>
      <c r="E719" s="8">
        <v>32712</v>
      </c>
      <c r="F719" s="10" t="s">
        <v>2200</v>
      </c>
    </row>
    <row r="720" spans="1:6" ht="14.25" x14ac:dyDescent="0.45">
      <c r="A720" s="6" t="str">
        <f ca="1">IFERROR(__xludf.DUMMYFUNCTION("""COMPUTED_VALUE"""),"XGX8BU4")</f>
        <v>XGX8BU4</v>
      </c>
      <c r="B720" s="7" t="s">
        <v>1971</v>
      </c>
      <c r="C720" s="7" t="s">
        <v>1972</v>
      </c>
      <c r="D720" s="7" t="s">
        <v>1997</v>
      </c>
      <c r="E720" s="8">
        <v>32713</v>
      </c>
      <c r="F720" s="10" t="s">
        <v>2246</v>
      </c>
    </row>
    <row r="721" spans="1:6" ht="14.25" x14ac:dyDescent="0.45">
      <c r="A721" s="6" t="str">
        <f ca="1">IFERROR(__xludf.DUMMYFUNCTION("""COMPUTED_VALUE"""),"XURKQ4E")</f>
        <v>XURKQ4E</v>
      </c>
      <c r="B721" s="7" t="s">
        <v>1971</v>
      </c>
      <c r="C721" s="7" t="s">
        <v>1972</v>
      </c>
      <c r="D721" s="7" t="s">
        <v>2072</v>
      </c>
      <c r="E721" s="8">
        <v>32714</v>
      </c>
      <c r="F721" s="10" t="s">
        <v>2294</v>
      </c>
    </row>
    <row r="722" spans="1:6" ht="14.25" x14ac:dyDescent="0.45">
      <c r="A722" s="6" t="str">
        <f ca="1">IFERROR(__xludf.DUMMYFUNCTION("""COMPUTED_VALUE"""),"X2756")</f>
        <v>X2756</v>
      </c>
      <c r="B722" s="7" t="s">
        <v>1980</v>
      </c>
      <c r="C722" s="7" t="s">
        <v>1972</v>
      </c>
      <c r="D722" s="7" t="s">
        <v>1987</v>
      </c>
      <c r="E722" s="8">
        <v>32716</v>
      </c>
      <c r="F722" s="9">
        <v>43253</v>
      </c>
    </row>
    <row r="723" spans="1:6" ht="14.25" x14ac:dyDescent="0.45">
      <c r="A723" s="6" t="str">
        <f ca="1">IFERROR(__xludf.DUMMYFUNCTION("""COMPUTED_VALUE"""),"X3PHNFS")</f>
        <v>X3PHNFS</v>
      </c>
      <c r="B723" s="7" t="s">
        <v>1971</v>
      </c>
      <c r="C723" s="7" t="s">
        <v>1972</v>
      </c>
      <c r="D723" s="7" t="s">
        <v>1975</v>
      </c>
      <c r="E723" s="8">
        <v>32716</v>
      </c>
      <c r="F723" s="10" t="s">
        <v>2219</v>
      </c>
    </row>
    <row r="724" spans="1:6" ht="14.25" x14ac:dyDescent="0.45">
      <c r="A724" s="6" t="str">
        <f ca="1">IFERROR(__xludf.DUMMYFUNCTION("""COMPUTED_VALUE"""),"X21D7")</f>
        <v>X21D7</v>
      </c>
      <c r="B724" s="7" t="s">
        <v>1971</v>
      </c>
      <c r="C724" s="7" t="s">
        <v>1974</v>
      </c>
      <c r="D724" s="7" t="s">
        <v>1974</v>
      </c>
      <c r="E724" s="8">
        <v>32717</v>
      </c>
      <c r="F724" s="9">
        <v>44014</v>
      </c>
    </row>
    <row r="725" spans="1:6" ht="14.25" x14ac:dyDescent="0.45">
      <c r="A725" s="6" t="str">
        <f ca="1">IFERROR(__xludf.DUMMYFUNCTION("""COMPUTED_VALUE"""),"X2C3J")</f>
        <v>X2C3J</v>
      </c>
      <c r="B725" s="7" t="s">
        <v>1971</v>
      </c>
      <c r="C725" s="7" t="s">
        <v>1972</v>
      </c>
      <c r="D725" s="7" t="s">
        <v>1974</v>
      </c>
      <c r="E725" s="8">
        <v>32727</v>
      </c>
      <c r="F725" s="9">
        <v>44055</v>
      </c>
    </row>
    <row r="726" spans="1:6" ht="14.25" x14ac:dyDescent="0.45">
      <c r="A726" s="6" t="str">
        <f ca="1">IFERROR(__xludf.DUMMYFUNCTION("""COMPUTED_VALUE"""),"X3075")</f>
        <v>X3075</v>
      </c>
      <c r="B726" s="7" t="s">
        <v>1971</v>
      </c>
      <c r="C726" s="7" t="s">
        <v>1993</v>
      </c>
      <c r="D726" s="7" t="s">
        <v>1993</v>
      </c>
      <c r="E726" s="8">
        <v>32728</v>
      </c>
      <c r="F726" s="10" t="s">
        <v>2074</v>
      </c>
    </row>
    <row r="727" spans="1:6" ht="14.25" x14ac:dyDescent="0.45">
      <c r="A727" s="6" t="str">
        <f ca="1">IFERROR(__xludf.DUMMYFUNCTION("""COMPUTED_VALUE"""),"X2DKU")</f>
        <v>X2DKU</v>
      </c>
      <c r="B727" s="7" t="s">
        <v>1971</v>
      </c>
      <c r="C727" s="7" t="s">
        <v>1981</v>
      </c>
      <c r="D727" s="7" t="s">
        <v>1993</v>
      </c>
      <c r="E727" s="8">
        <v>32729</v>
      </c>
      <c r="F727" s="10" t="s">
        <v>2051</v>
      </c>
    </row>
    <row r="728" spans="1:6" ht="14.25" x14ac:dyDescent="0.45">
      <c r="A728" s="6" t="str">
        <f ca="1">IFERROR(__xludf.DUMMYFUNCTION("""COMPUTED_VALUE"""),"X1Y3W")</f>
        <v>X1Y3W</v>
      </c>
      <c r="B728" s="7" t="s">
        <v>1971</v>
      </c>
      <c r="C728" s="7" t="s">
        <v>1977</v>
      </c>
      <c r="D728" s="7" t="s">
        <v>2020</v>
      </c>
      <c r="E728" s="8">
        <v>32730</v>
      </c>
      <c r="F728" s="10" t="s">
        <v>2113</v>
      </c>
    </row>
    <row r="729" spans="1:6" ht="14.25" x14ac:dyDescent="0.45">
      <c r="A729" s="6" t="str">
        <f ca="1">IFERROR(__xludf.DUMMYFUNCTION("""COMPUTED_VALUE"""),"X2C149")</f>
        <v>X2C149</v>
      </c>
      <c r="B729" s="7" t="s">
        <v>1971</v>
      </c>
      <c r="C729" s="7" t="s">
        <v>1972</v>
      </c>
      <c r="D729" s="7" t="s">
        <v>1974</v>
      </c>
      <c r="E729" s="8">
        <v>32731</v>
      </c>
      <c r="F729" s="10" t="s">
        <v>2046</v>
      </c>
    </row>
    <row r="730" spans="1:6" ht="14.25" x14ac:dyDescent="0.45">
      <c r="A730" s="6" t="str">
        <f ca="1">IFERROR(__xludf.DUMMYFUNCTION("""COMPUTED_VALUE"""),"X2C3S")</f>
        <v>X2C3S</v>
      </c>
      <c r="B730" s="7" t="s">
        <v>1971</v>
      </c>
      <c r="C730" s="7" t="s">
        <v>1981</v>
      </c>
      <c r="D730" s="7" t="s">
        <v>2020</v>
      </c>
      <c r="E730" s="8">
        <v>32731</v>
      </c>
      <c r="F730" s="9">
        <v>44055</v>
      </c>
    </row>
    <row r="731" spans="1:6" ht="14.25" x14ac:dyDescent="0.45">
      <c r="A731" s="6" t="str">
        <f ca="1">IFERROR(__xludf.DUMMYFUNCTION("""COMPUTED_VALUE"""),"XZ7NRI1")</f>
        <v>XZ7NRI1</v>
      </c>
      <c r="B731" s="7" t="s">
        <v>1971</v>
      </c>
      <c r="C731" s="7" t="s">
        <v>1972</v>
      </c>
      <c r="D731" s="7" t="s">
        <v>2020</v>
      </c>
      <c r="E731" s="8">
        <v>32741</v>
      </c>
      <c r="F731" s="10" t="s">
        <v>2242</v>
      </c>
    </row>
    <row r="732" spans="1:6" ht="14.25" x14ac:dyDescent="0.45">
      <c r="A732" s="6" t="str">
        <f ca="1">IFERROR(__xludf.DUMMYFUNCTION("""COMPUTED_VALUE"""),"X2981")</f>
        <v>X2981</v>
      </c>
      <c r="B732" s="7" t="s">
        <v>1971</v>
      </c>
      <c r="C732" s="7" t="s">
        <v>1977</v>
      </c>
      <c r="D732" s="7" t="s">
        <v>1974</v>
      </c>
      <c r="E732" s="8">
        <v>32745</v>
      </c>
      <c r="F732" s="9">
        <v>43224</v>
      </c>
    </row>
    <row r="733" spans="1:6" ht="14.25" x14ac:dyDescent="0.45">
      <c r="A733" s="6" t="str">
        <f ca="1">IFERROR(__xludf.DUMMYFUNCTION("""COMPUTED_VALUE"""),"XD3MKY4")</f>
        <v>XD3MKY4</v>
      </c>
      <c r="B733" s="7" t="s">
        <v>1971</v>
      </c>
      <c r="C733" s="7" t="s">
        <v>1972</v>
      </c>
      <c r="D733" s="7" t="s">
        <v>2070</v>
      </c>
      <c r="E733" s="8">
        <v>32749</v>
      </c>
      <c r="F733" s="9">
        <v>44323</v>
      </c>
    </row>
    <row r="734" spans="1:6" ht="14.25" x14ac:dyDescent="0.45">
      <c r="A734" s="6" t="str">
        <f ca="1">IFERROR(__xludf.DUMMYFUNCTION("""COMPUTED_VALUE"""),"X2807")</f>
        <v>X2807</v>
      </c>
      <c r="B734" s="7" t="s">
        <v>1971</v>
      </c>
      <c r="C734" s="7" t="s">
        <v>1977</v>
      </c>
      <c r="D734" s="7" t="s">
        <v>2007</v>
      </c>
      <c r="E734" s="8">
        <v>32760</v>
      </c>
      <c r="F734" s="10" t="s">
        <v>2187</v>
      </c>
    </row>
    <row r="735" spans="1:6" ht="14.25" x14ac:dyDescent="0.45">
      <c r="A735" s="6" t="str">
        <f ca="1">IFERROR(__xludf.DUMMYFUNCTION("""COMPUTED_VALUE"""),"X1JUL")</f>
        <v>X1JUL</v>
      </c>
      <c r="B735" s="7" t="s">
        <v>1971</v>
      </c>
      <c r="C735" s="7" t="s">
        <v>1972</v>
      </c>
      <c r="D735" s="7" t="s">
        <v>2026</v>
      </c>
      <c r="E735" s="8">
        <v>32761</v>
      </c>
      <c r="F735" s="10" t="s">
        <v>2036</v>
      </c>
    </row>
    <row r="736" spans="1:6" ht="14.25" x14ac:dyDescent="0.45">
      <c r="A736" s="6" t="str">
        <f ca="1">IFERROR(__xludf.DUMMYFUNCTION("""COMPUTED_VALUE"""),"X2DOX")</f>
        <v>X2DOX</v>
      </c>
      <c r="B736" s="7" t="s">
        <v>1971</v>
      </c>
      <c r="C736" s="7" t="s">
        <v>1972</v>
      </c>
      <c r="D736" s="7" t="s">
        <v>2020</v>
      </c>
      <c r="E736" s="8">
        <v>32764</v>
      </c>
      <c r="F736" s="10" t="s">
        <v>2042</v>
      </c>
    </row>
    <row r="737" spans="1:6" ht="14.25" x14ac:dyDescent="0.45">
      <c r="A737" s="6" t="str">
        <f ca="1">IFERROR(__xludf.DUMMYFUNCTION("""COMPUTED_VALUE"""),"XE87MHT")</f>
        <v>XE87MHT</v>
      </c>
      <c r="B737" s="7" t="s">
        <v>1971</v>
      </c>
      <c r="C737" s="7" t="s">
        <v>1981</v>
      </c>
      <c r="D737" s="7" t="s">
        <v>1975</v>
      </c>
      <c r="E737" s="8">
        <v>32773</v>
      </c>
      <c r="F737" s="10" t="s">
        <v>2247</v>
      </c>
    </row>
    <row r="738" spans="1:6" ht="14.25" x14ac:dyDescent="0.45">
      <c r="A738" s="6" t="str">
        <f ca="1">IFERROR(__xludf.DUMMYFUNCTION("""COMPUTED_VALUE"""),"X1ZK7")</f>
        <v>X1ZK7</v>
      </c>
      <c r="B738" s="7" t="s">
        <v>1971</v>
      </c>
      <c r="C738" s="7" t="s">
        <v>1974</v>
      </c>
      <c r="D738" s="7" t="s">
        <v>1975</v>
      </c>
      <c r="E738" s="8">
        <v>32773</v>
      </c>
      <c r="F738" s="10" t="s">
        <v>2292</v>
      </c>
    </row>
    <row r="739" spans="1:6" ht="14.25" x14ac:dyDescent="0.45">
      <c r="A739" s="6" t="str">
        <f ca="1">IFERROR(__xludf.DUMMYFUNCTION("""COMPUTED_VALUE"""),"E1241")</f>
        <v>E1241</v>
      </c>
      <c r="B739" s="7" t="s">
        <v>1980</v>
      </c>
      <c r="C739" s="7" t="s">
        <v>1972</v>
      </c>
      <c r="D739" s="7" t="s">
        <v>2007</v>
      </c>
      <c r="E739" s="8">
        <v>32779</v>
      </c>
      <c r="F739" s="10" t="s">
        <v>2079</v>
      </c>
    </row>
    <row r="740" spans="1:6" ht="14.25" x14ac:dyDescent="0.45">
      <c r="A740" s="6" t="str">
        <f ca="1">IFERROR(__xludf.DUMMYFUNCTION("""COMPUTED_VALUE"""),"X276E")</f>
        <v>X276E</v>
      </c>
      <c r="B740" s="7" t="s">
        <v>2092</v>
      </c>
      <c r="C740" s="7" t="s">
        <v>1972</v>
      </c>
      <c r="D740" s="7" t="s">
        <v>1974</v>
      </c>
      <c r="E740" s="8">
        <v>32782</v>
      </c>
      <c r="F740" s="9">
        <v>44020</v>
      </c>
    </row>
    <row r="741" spans="1:6" ht="14.25" x14ac:dyDescent="0.45">
      <c r="A741" s="6" t="str">
        <f ca="1">IFERROR(__xludf.DUMMYFUNCTION("""COMPUTED_VALUE"""),"XM1WA5T")</f>
        <v>XM1WA5T</v>
      </c>
      <c r="B741" s="7" t="s">
        <v>1971</v>
      </c>
      <c r="C741" s="7" t="s">
        <v>1972</v>
      </c>
      <c r="D741" s="7" t="s">
        <v>1990</v>
      </c>
      <c r="E741" s="8">
        <v>32794</v>
      </c>
      <c r="F741" s="10" t="s">
        <v>2257</v>
      </c>
    </row>
    <row r="742" spans="1:6" ht="14.25" x14ac:dyDescent="0.45">
      <c r="A742" s="6" t="str">
        <f ca="1">IFERROR(__xludf.DUMMYFUNCTION("""COMPUTED_VALUE"""),"X1JJC")</f>
        <v>X1JJC</v>
      </c>
      <c r="B742" s="7" t="s">
        <v>1971</v>
      </c>
      <c r="C742" s="7" t="s">
        <v>1972</v>
      </c>
      <c r="D742" s="7" t="s">
        <v>1974</v>
      </c>
      <c r="E742" s="8">
        <v>32797</v>
      </c>
      <c r="F742" s="10" t="s">
        <v>2111</v>
      </c>
    </row>
    <row r="743" spans="1:6" ht="14.25" x14ac:dyDescent="0.45">
      <c r="A743" s="6" t="str">
        <f ca="1">IFERROR(__xludf.DUMMYFUNCTION("""COMPUTED_VALUE"""),"X1V12I")</f>
        <v>X1V12I</v>
      </c>
      <c r="B743" s="7" t="s">
        <v>1971</v>
      </c>
      <c r="C743" s="7" t="s">
        <v>1977</v>
      </c>
      <c r="D743" s="7" t="s">
        <v>1990</v>
      </c>
      <c r="E743" s="8">
        <v>32799</v>
      </c>
      <c r="F743" s="10" t="s">
        <v>1991</v>
      </c>
    </row>
    <row r="744" spans="1:6" ht="14.25" x14ac:dyDescent="0.45">
      <c r="A744" s="6" t="str">
        <f ca="1">IFERROR(__xludf.DUMMYFUNCTION("""COMPUTED_VALUE"""),"X855VNI")</f>
        <v>X855VNI</v>
      </c>
      <c r="B744" s="7" t="s">
        <v>1971</v>
      </c>
      <c r="C744" s="7" t="s">
        <v>1972</v>
      </c>
      <c r="D744" s="7" t="s">
        <v>2007</v>
      </c>
      <c r="E744" s="8">
        <v>32801</v>
      </c>
      <c r="F744" s="10" t="s">
        <v>2247</v>
      </c>
    </row>
    <row r="745" spans="1:6" ht="14.25" x14ac:dyDescent="0.45">
      <c r="A745" s="6" t="str">
        <f ca="1">IFERROR(__xludf.DUMMYFUNCTION("""COMPUTED_VALUE"""),"XNMAZFC")</f>
        <v>XNMAZFC</v>
      </c>
      <c r="B745" s="7" t="s">
        <v>1971</v>
      </c>
      <c r="C745" s="7" t="s">
        <v>1972</v>
      </c>
      <c r="D745" s="7" t="s">
        <v>1995</v>
      </c>
      <c r="E745" s="8">
        <v>32809</v>
      </c>
      <c r="F745" s="10" t="s">
        <v>2261</v>
      </c>
    </row>
    <row r="746" spans="1:6" ht="14.25" x14ac:dyDescent="0.45">
      <c r="A746" s="6" t="str">
        <f ca="1">IFERROR(__xludf.DUMMYFUNCTION("""COMPUTED_VALUE"""),"X52H82X")</f>
        <v>X52H82X</v>
      </c>
      <c r="B746" s="7" t="s">
        <v>1986</v>
      </c>
      <c r="C746" s="7" t="s">
        <v>1996</v>
      </c>
      <c r="D746" s="7" t="s">
        <v>1997</v>
      </c>
      <c r="E746" s="8">
        <v>32818</v>
      </c>
      <c r="F746" s="10" t="s">
        <v>2225</v>
      </c>
    </row>
    <row r="747" spans="1:6" ht="14.25" x14ac:dyDescent="0.45">
      <c r="A747" s="6" t="str">
        <f ca="1">IFERROR(__xludf.DUMMYFUNCTION("""COMPUTED_VALUE"""),"X2DJ7")</f>
        <v>X2DJ7</v>
      </c>
      <c r="B747" s="7" t="s">
        <v>1971</v>
      </c>
      <c r="C747" s="7" t="s">
        <v>1981</v>
      </c>
      <c r="D747" s="7" t="s">
        <v>1973</v>
      </c>
      <c r="E747" s="8">
        <v>32823</v>
      </c>
      <c r="F747" s="10" t="s">
        <v>2178</v>
      </c>
    </row>
    <row r="748" spans="1:6" ht="14.25" x14ac:dyDescent="0.45">
      <c r="A748" s="6" t="str">
        <f ca="1">IFERROR(__xludf.DUMMYFUNCTION("""COMPUTED_VALUE"""),"X53IAUU")</f>
        <v>X53IAUU</v>
      </c>
      <c r="B748" s="7" t="s">
        <v>1971</v>
      </c>
      <c r="C748" s="7" t="s">
        <v>1972</v>
      </c>
      <c r="D748" s="7" t="s">
        <v>1993</v>
      </c>
      <c r="E748" s="8">
        <v>32827</v>
      </c>
      <c r="F748" s="10" t="s">
        <v>2192</v>
      </c>
    </row>
    <row r="749" spans="1:6" ht="14.25" x14ac:dyDescent="0.45">
      <c r="A749" s="6" t="str">
        <f ca="1">IFERROR(__xludf.DUMMYFUNCTION("""COMPUTED_VALUE"""),"X3174")</f>
        <v>X3174</v>
      </c>
      <c r="B749" s="7" t="s">
        <v>1971</v>
      </c>
      <c r="C749" s="7" t="s">
        <v>1972</v>
      </c>
      <c r="D749" s="7" t="s">
        <v>1974</v>
      </c>
      <c r="E749" s="8">
        <v>32828</v>
      </c>
      <c r="F749" s="10" t="s">
        <v>2075</v>
      </c>
    </row>
    <row r="750" spans="1:6" ht="14.25" x14ac:dyDescent="0.45">
      <c r="A750" s="6" t="str">
        <f ca="1">IFERROR(__xludf.DUMMYFUNCTION("""COMPUTED_VALUE"""),"X282U")</f>
        <v>X282U</v>
      </c>
      <c r="B750" s="7" t="s">
        <v>1971</v>
      </c>
      <c r="C750" s="7" t="s">
        <v>1972</v>
      </c>
      <c r="D750" s="7" t="s">
        <v>2020</v>
      </c>
      <c r="E750" s="8">
        <v>32834</v>
      </c>
      <c r="F750" s="9">
        <v>43839</v>
      </c>
    </row>
    <row r="751" spans="1:6" ht="14.25" x14ac:dyDescent="0.45">
      <c r="A751" s="6" t="str">
        <f ca="1">IFERROR(__xludf.DUMMYFUNCTION("""COMPUTED_VALUE"""),"X2CGM")</f>
        <v>X2CGM</v>
      </c>
      <c r="B751" s="7" t="s">
        <v>1971</v>
      </c>
      <c r="C751" s="7" t="s">
        <v>1972</v>
      </c>
      <c r="D751" s="7" t="s">
        <v>1975</v>
      </c>
      <c r="E751" s="8">
        <v>32842</v>
      </c>
      <c r="F751" s="10" t="s">
        <v>2024</v>
      </c>
    </row>
    <row r="752" spans="1:6" ht="14.25" x14ac:dyDescent="0.45">
      <c r="A752" s="6" t="str">
        <f ca="1">IFERROR(__xludf.DUMMYFUNCTION("""COMPUTED_VALUE"""),"X2D9U")</f>
        <v>X2D9U</v>
      </c>
      <c r="B752" s="7" t="s">
        <v>1980</v>
      </c>
      <c r="C752" s="7" t="s">
        <v>1972</v>
      </c>
      <c r="D752" s="7" t="s">
        <v>2088</v>
      </c>
      <c r="E752" s="8">
        <v>32843</v>
      </c>
      <c r="F752" s="9">
        <v>44501</v>
      </c>
    </row>
    <row r="753" spans="1:6" ht="14.25" x14ac:dyDescent="0.45">
      <c r="A753" s="6" t="str">
        <f ca="1">IFERROR(__xludf.DUMMYFUNCTION("""COMPUTED_VALUE"""),"XAABEOG")</f>
        <v>XAABEOG</v>
      </c>
      <c r="B753" s="7" t="s">
        <v>1971</v>
      </c>
      <c r="C753" s="7" t="s">
        <v>1977</v>
      </c>
      <c r="D753" s="7" t="s">
        <v>1997</v>
      </c>
      <c r="E753" s="8">
        <v>32843</v>
      </c>
      <c r="F753" s="9">
        <v>44355</v>
      </c>
    </row>
    <row r="754" spans="1:6" ht="14.25" x14ac:dyDescent="0.45">
      <c r="A754" s="6" t="str">
        <f ca="1">IFERROR(__xludf.DUMMYFUNCTION("""COMPUTED_VALUE"""),"XJAZ3C3")</f>
        <v>XJAZ3C3</v>
      </c>
      <c r="B754" s="7" t="s">
        <v>1971</v>
      </c>
      <c r="C754" s="7" t="s">
        <v>1977</v>
      </c>
      <c r="D754" s="7" t="s">
        <v>1978</v>
      </c>
      <c r="E754" s="8">
        <v>32850</v>
      </c>
      <c r="F754" s="9">
        <v>44443</v>
      </c>
    </row>
    <row r="755" spans="1:6" ht="14.25" x14ac:dyDescent="0.45">
      <c r="A755" s="6" t="str">
        <f ca="1">IFERROR(__xludf.DUMMYFUNCTION("""COMPUTED_VALUE"""),"XXPQ7CZ")</f>
        <v>XXPQ7CZ</v>
      </c>
      <c r="B755" s="7" t="s">
        <v>1971</v>
      </c>
      <c r="C755" s="7" t="s">
        <v>1974</v>
      </c>
      <c r="D755" s="7" t="s">
        <v>2020</v>
      </c>
      <c r="E755" s="8">
        <v>32852</v>
      </c>
      <c r="F755" s="10" t="s">
        <v>2278</v>
      </c>
    </row>
    <row r="756" spans="1:6" ht="14.25" x14ac:dyDescent="0.45">
      <c r="A756" s="6" t="str">
        <f ca="1">IFERROR(__xludf.DUMMYFUNCTION("""COMPUTED_VALUE"""),"XQUKG6P")</f>
        <v>XQUKG6P</v>
      </c>
      <c r="B756" s="7" t="s">
        <v>1986</v>
      </c>
      <c r="C756" s="7" t="s">
        <v>1972</v>
      </c>
      <c r="D756" s="7" t="s">
        <v>1987</v>
      </c>
      <c r="E756" s="8">
        <v>32853</v>
      </c>
      <c r="F756" s="10" t="s">
        <v>2242</v>
      </c>
    </row>
    <row r="757" spans="1:6" ht="14.25" x14ac:dyDescent="0.45">
      <c r="A757" s="6" t="str">
        <f ca="1">IFERROR(__xludf.DUMMYFUNCTION("""COMPUTED_VALUE"""),"XESJV8T")</f>
        <v>XESJV8T</v>
      </c>
      <c r="B757" s="7" t="s">
        <v>1971</v>
      </c>
      <c r="C757" s="7" t="s">
        <v>1972</v>
      </c>
      <c r="D757" s="7" t="s">
        <v>1975</v>
      </c>
      <c r="E757" s="8">
        <v>32860</v>
      </c>
      <c r="F757" s="9">
        <v>44508</v>
      </c>
    </row>
    <row r="758" spans="1:6" ht="14.25" x14ac:dyDescent="0.45">
      <c r="A758" s="6" t="str">
        <f ca="1">IFERROR(__xludf.DUMMYFUNCTION("""COMPUTED_VALUE"""),"X28CT")</f>
        <v>X28CT</v>
      </c>
      <c r="B758" s="7" t="s">
        <v>1971</v>
      </c>
      <c r="C758" s="7" t="s">
        <v>1996</v>
      </c>
      <c r="D758" s="7" t="s">
        <v>1997</v>
      </c>
      <c r="E758" s="8">
        <v>32861</v>
      </c>
      <c r="F758" s="10" t="s">
        <v>2125</v>
      </c>
    </row>
    <row r="759" spans="1:6" ht="14.25" x14ac:dyDescent="0.45">
      <c r="A759" s="6" t="str">
        <f ca="1">IFERROR(__xludf.DUMMYFUNCTION("""COMPUTED_VALUE"""),"X2AG6")</f>
        <v>X2AG6</v>
      </c>
      <c r="B759" s="7" t="s">
        <v>1986</v>
      </c>
      <c r="C759" s="7" t="s">
        <v>1972</v>
      </c>
      <c r="D759" s="7" t="s">
        <v>1984</v>
      </c>
      <c r="E759" s="8">
        <v>32862</v>
      </c>
      <c r="F759" s="10" t="s">
        <v>2050</v>
      </c>
    </row>
    <row r="760" spans="1:6" ht="14.25" x14ac:dyDescent="0.45">
      <c r="A760" s="6" t="str">
        <f ca="1">IFERROR(__xludf.DUMMYFUNCTION("""COMPUTED_VALUE"""),"XG9C8VM")</f>
        <v>XG9C8VM</v>
      </c>
      <c r="B760" s="7" t="s">
        <v>1971</v>
      </c>
      <c r="C760" s="7" t="s">
        <v>1972</v>
      </c>
      <c r="D760" s="7" t="s">
        <v>1975</v>
      </c>
      <c r="E760" s="8">
        <v>32862</v>
      </c>
      <c r="F760" s="9">
        <v>44387</v>
      </c>
    </row>
    <row r="761" spans="1:6" ht="14.25" x14ac:dyDescent="0.45">
      <c r="A761" s="6" t="str">
        <f ca="1">IFERROR(__xludf.DUMMYFUNCTION("""COMPUTED_VALUE"""),"X26IV")</f>
        <v>X26IV</v>
      </c>
      <c r="B761" s="7" t="s">
        <v>1971</v>
      </c>
      <c r="C761" s="7" t="s">
        <v>1972</v>
      </c>
      <c r="D761" s="7" t="s">
        <v>1995</v>
      </c>
      <c r="E761" s="8">
        <v>32887</v>
      </c>
      <c r="F761" s="10" t="s">
        <v>2166</v>
      </c>
    </row>
    <row r="762" spans="1:6" ht="14.25" x14ac:dyDescent="0.45">
      <c r="A762" s="6" t="str">
        <f ca="1">IFERROR(__xludf.DUMMYFUNCTION("""COMPUTED_VALUE"""),"XYYL1RK")</f>
        <v>XYYL1RK</v>
      </c>
      <c r="B762" s="7" t="s">
        <v>1971</v>
      </c>
      <c r="C762" s="7" t="s">
        <v>1972</v>
      </c>
      <c r="D762" s="7" t="s">
        <v>1975</v>
      </c>
      <c r="E762" s="8">
        <v>32889</v>
      </c>
      <c r="F762" s="10" t="s">
        <v>2258</v>
      </c>
    </row>
    <row r="763" spans="1:6" ht="14.25" x14ac:dyDescent="0.45">
      <c r="A763" s="6" t="str">
        <f ca="1">IFERROR(__xludf.DUMMYFUNCTION("""COMPUTED_VALUE"""),"X2DXX")</f>
        <v>X2DXX</v>
      </c>
      <c r="B763" s="7" t="s">
        <v>1980</v>
      </c>
      <c r="C763" s="7" t="s">
        <v>1972</v>
      </c>
      <c r="D763" s="7" t="s">
        <v>2070</v>
      </c>
      <c r="E763" s="8">
        <v>32892</v>
      </c>
      <c r="F763" s="10" t="s">
        <v>2152</v>
      </c>
    </row>
    <row r="764" spans="1:6" ht="14.25" x14ac:dyDescent="0.45">
      <c r="A764" s="6" t="str">
        <f ca="1">IFERROR(__xludf.DUMMYFUNCTION("""COMPUTED_VALUE"""),"X2DNK")</f>
        <v>X2DNK</v>
      </c>
      <c r="B764" s="7" t="s">
        <v>1971</v>
      </c>
      <c r="C764" s="7" t="s">
        <v>1972</v>
      </c>
      <c r="D764" s="7" t="s">
        <v>1993</v>
      </c>
      <c r="E764" s="8">
        <v>32901</v>
      </c>
      <c r="F764" s="10" t="s">
        <v>2042</v>
      </c>
    </row>
    <row r="765" spans="1:6" ht="14.25" x14ac:dyDescent="0.45">
      <c r="A765" s="6" t="str">
        <f ca="1">IFERROR(__xludf.DUMMYFUNCTION("""COMPUTED_VALUE"""),"XDRG3KD")</f>
        <v>XDRG3KD</v>
      </c>
      <c r="B765" s="7" t="s">
        <v>1971</v>
      </c>
      <c r="C765" s="7" t="s">
        <v>1972</v>
      </c>
      <c r="D765" s="7" t="s">
        <v>1974</v>
      </c>
      <c r="E765" s="8">
        <v>32901</v>
      </c>
      <c r="F765" s="10" t="s">
        <v>2282</v>
      </c>
    </row>
    <row r="766" spans="1:6" ht="14.25" x14ac:dyDescent="0.45">
      <c r="A766" s="6" t="str">
        <f ca="1">IFERROR(__xludf.DUMMYFUNCTION("""COMPUTED_VALUE"""),"X2GPJW3")</f>
        <v>X2GPJW3</v>
      </c>
      <c r="B766" s="7" t="s">
        <v>1971</v>
      </c>
      <c r="C766" s="7" t="s">
        <v>1972</v>
      </c>
      <c r="D766" s="7" t="s">
        <v>1982</v>
      </c>
      <c r="E766" s="8">
        <v>32901</v>
      </c>
      <c r="F766" s="10" t="s">
        <v>2289</v>
      </c>
    </row>
    <row r="767" spans="1:6" ht="14.25" x14ac:dyDescent="0.45">
      <c r="A767" s="6" t="str">
        <f ca="1">IFERROR(__xludf.DUMMYFUNCTION("""COMPUTED_VALUE"""),"XDAYD84")</f>
        <v>XDAYD84</v>
      </c>
      <c r="B767" s="7" t="s">
        <v>1971</v>
      </c>
      <c r="C767" s="7" t="s">
        <v>1977</v>
      </c>
      <c r="D767" s="7" t="s">
        <v>2072</v>
      </c>
      <c r="E767" s="8">
        <v>32904</v>
      </c>
      <c r="F767" s="10" t="s">
        <v>2285</v>
      </c>
    </row>
    <row r="768" spans="1:6" ht="14.25" x14ac:dyDescent="0.45">
      <c r="A768" s="6" t="str">
        <f ca="1">IFERROR(__xludf.DUMMYFUNCTION("""COMPUTED_VALUE"""),"X2C128")</f>
        <v>X2C128</v>
      </c>
      <c r="B768" s="7" t="s">
        <v>1971</v>
      </c>
      <c r="C768" s="7" t="s">
        <v>1972</v>
      </c>
      <c r="D768" s="7" t="s">
        <v>1987</v>
      </c>
      <c r="E768" s="8">
        <v>32906</v>
      </c>
      <c r="F768" s="10" t="s">
        <v>2019</v>
      </c>
    </row>
    <row r="769" spans="1:6" ht="14.25" x14ac:dyDescent="0.45">
      <c r="A769" s="6" t="str">
        <f ca="1">IFERROR(__xludf.DUMMYFUNCTION("""COMPUTED_VALUE"""),"XI2LUWB")</f>
        <v>XI2LUWB</v>
      </c>
      <c r="B769" s="7" t="s">
        <v>1971</v>
      </c>
      <c r="C769" s="7" t="s">
        <v>1972</v>
      </c>
      <c r="D769" s="7" t="s">
        <v>1974</v>
      </c>
      <c r="E769" s="8">
        <v>32908</v>
      </c>
      <c r="F769" s="10" t="s">
        <v>2242</v>
      </c>
    </row>
    <row r="770" spans="1:6" ht="14.25" x14ac:dyDescent="0.45">
      <c r="A770" s="6" t="str">
        <f ca="1">IFERROR(__xludf.DUMMYFUNCTION("""COMPUTED_VALUE"""),"X1680")</f>
        <v>X1680</v>
      </c>
      <c r="B770" s="7" t="s">
        <v>1971</v>
      </c>
      <c r="C770" s="7" t="s">
        <v>1972</v>
      </c>
      <c r="D770" s="7" t="s">
        <v>2020</v>
      </c>
      <c r="E770" s="8">
        <v>32910</v>
      </c>
      <c r="F770" s="10" t="s">
        <v>2000</v>
      </c>
    </row>
    <row r="771" spans="1:6" ht="14.25" x14ac:dyDescent="0.45">
      <c r="A771" s="6" t="str">
        <f ca="1">IFERROR(__xludf.DUMMYFUNCTION("""COMPUTED_VALUE"""),"XLCNLL8")</f>
        <v>XLCNLL8</v>
      </c>
      <c r="B771" s="7" t="s">
        <v>1971</v>
      </c>
      <c r="C771" s="7" t="s">
        <v>1972</v>
      </c>
      <c r="D771" s="7" t="s">
        <v>1974</v>
      </c>
      <c r="E771" s="8">
        <v>32910</v>
      </c>
      <c r="F771" s="9">
        <v>44447</v>
      </c>
    </row>
    <row r="772" spans="1:6" ht="14.25" x14ac:dyDescent="0.45">
      <c r="A772" s="6" t="str">
        <f ca="1">IFERROR(__xludf.DUMMYFUNCTION("""COMPUTED_VALUE"""),"X2BH1")</f>
        <v>X2BH1</v>
      </c>
      <c r="B772" s="7" t="s">
        <v>1971</v>
      </c>
      <c r="C772" s="7" t="s">
        <v>1972</v>
      </c>
      <c r="D772" s="7" t="s">
        <v>1993</v>
      </c>
      <c r="E772" s="8">
        <v>32912</v>
      </c>
      <c r="F772" s="10" t="s">
        <v>2172</v>
      </c>
    </row>
    <row r="773" spans="1:6" ht="14.25" x14ac:dyDescent="0.45">
      <c r="A773" s="6" t="str">
        <f ca="1">IFERROR(__xludf.DUMMYFUNCTION("""COMPUTED_VALUE"""),"X1KNB")</f>
        <v>X1KNB</v>
      </c>
      <c r="B773" s="7" t="s">
        <v>1980</v>
      </c>
      <c r="C773" s="7" t="s">
        <v>1972</v>
      </c>
      <c r="D773" s="7" t="s">
        <v>1974</v>
      </c>
      <c r="E773" s="8">
        <v>32915</v>
      </c>
      <c r="F773" s="10" t="s">
        <v>2205</v>
      </c>
    </row>
    <row r="774" spans="1:6" ht="14.25" x14ac:dyDescent="0.45">
      <c r="A774" s="6" t="str">
        <f ca="1">IFERROR(__xludf.DUMMYFUNCTION("""COMPUTED_VALUE"""),"X1O5R4E")</f>
        <v>X1O5R4E</v>
      </c>
      <c r="B774" s="7" t="s">
        <v>1971</v>
      </c>
      <c r="C774" s="7" t="s">
        <v>1972</v>
      </c>
      <c r="D774" s="7" t="s">
        <v>1983</v>
      </c>
      <c r="E774" s="8">
        <v>32919</v>
      </c>
      <c r="F774" s="10" t="s">
        <v>2246</v>
      </c>
    </row>
    <row r="775" spans="1:6" ht="14.25" x14ac:dyDescent="0.45">
      <c r="A775" s="6" t="str">
        <f ca="1">IFERROR(__xludf.DUMMYFUNCTION("""COMPUTED_VALUE"""),"X29JH")</f>
        <v>X29JH</v>
      </c>
      <c r="B775" s="7" t="s">
        <v>2021</v>
      </c>
      <c r="C775" s="7" t="s">
        <v>1996</v>
      </c>
      <c r="D775" s="7" t="s">
        <v>2020</v>
      </c>
      <c r="E775" s="8">
        <v>32927</v>
      </c>
      <c r="F775" s="9">
        <v>43992</v>
      </c>
    </row>
    <row r="776" spans="1:6" ht="14.25" x14ac:dyDescent="0.45">
      <c r="A776" s="6" t="str">
        <f ca="1">IFERROR(__xludf.DUMMYFUNCTION("""COMPUTED_VALUE"""),"X2748")</f>
        <v>X2748</v>
      </c>
      <c r="B776" s="7" t="s">
        <v>1971</v>
      </c>
      <c r="C776" s="7" t="s">
        <v>1972</v>
      </c>
      <c r="D776" s="7" t="s">
        <v>1974</v>
      </c>
      <c r="E776" s="8">
        <v>32934</v>
      </c>
      <c r="F776" s="9">
        <v>43253</v>
      </c>
    </row>
    <row r="777" spans="1:6" ht="14.25" x14ac:dyDescent="0.45">
      <c r="A777" s="6" t="str">
        <f ca="1">IFERROR(__xludf.DUMMYFUNCTION("""COMPUTED_VALUE"""),"XNTXCYB")</f>
        <v>XNTXCYB</v>
      </c>
      <c r="B777" s="7" t="s">
        <v>1971</v>
      </c>
      <c r="C777" s="7" t="s">
        <v>1972</v>
      </c>
      <c r="D777" s="7" t="s">
        <v>1975</v>
      </c>
      <c r="E777" s="8">
        <v>32947</v>
      </c>
      <c r="F777" s="10" t="s">
        <v>2242</v>
      </c>
    </row>
    <row r="778" spans="1:6" ht="14.25" x14ac:dyDescent="0.45">
      <c r="A778" s="6" t="str">
        <f ca="1">IFERROR(__xludf.DUMMYFUNCTION("""COMPUTED_VALUE"""),"X21KA")</f>
        <v>X21KA</v>
      </c>
      <c r="B778" s="7" t="s">
        <v>1986</v>
      </c>
      <c r="C778" s="7" t="s">
        <v>1972</v>
      </c>
      <c r="D778" s="7" t="s">
        <v>2072</v>
      </c>
      <c r="E778" s="8">
        <v>32956</v>
      </c>
      <c r="F778" s="9">
        <v>44167</v>
      </c>
    </row>
    <row r="779" spans="1:6" ht="14.25" x14ac:dyDescent="0.45">
      <c r="A779" s="6" t="str">
        <f ca="1">IFERROR(__xludf.DUMMYFUNCTION("""COMPUTED_VALUE"""),"X2931")</f>
        <v>X2931</v>
      </c>
      <c r="B779" s="7" t="s">
        <v>1971</v>
      </c>
      <c r="C779" s="7" t="s">
        <v>1972</v>
      </c>
      <c r="D779" s="7" t="s">
        <v>1990</v>
      </c>
      <c r="E779" s="8">
        <v>32959</v>
      </c>
      <c r="F779" s="10" t="s">
        <v>2018</v>
      </c>
    </row>
    <row r="780" spans="1:6" ht="14.25" x14ac:dyDescent="0.45">
      <c r="A780" s="6" t="str">
        <f ca="1">IFERROR(__xludf.DUMMYFUNCTION("""COMPUTED_VALUE"""),"X2DKB")</f>
        <v>X2DKB</v>
      </c>
      <c r="B780" s="7" t="s">
        <v>1971</v>
      </c>
      <c r="C780" s="7" t="s">
        <v>1972</v>
      </c>
      <c r="D780" s="7" t="s">
        <v>1990</v>
      </c>
      <c r="E780" s="8">
        <v>32960</v>
      </c>
      <c r="F780" s="10" t="s">
        <v>2051</v>
      </c>
    </row>
    <row r="781" spans="1:6" ht="14.25" x14ac:dyDescent="0.45">
      <c r="A781" s="6" t="str">
        <f ca="1">IFERROR(__xludf.DUMMYFUNCTION("""COMPUTED_VALUE"""),"XM3N98U")</f>
        <v>XM3N98U</v>
      </c>
      <c r="B781" s="7" t="s">
        <v>1971</v>
      </c>
      <c r="C781" s="7" t="s">
        <v>1972</v>
      </c>
      <c r="D781" s="7" t="s">
        <v>2012</v>
      </c>
      <c r="E781" s="8">
        <v>32962</v>
      </c>
      <c r="F781" s="10" t="s">
        <v>2245</v>
      </c>
    </row>
    <row r="782" spans="1:6" ht="14.25" x14ac:dyDescent="0.45">
      <c r="A782" s="6" t="str">
        <f ca="1">IFERROR(__xludf.DUMMYFUNCTION("""COMPUTED_VALUE"""),"X2ADV")</f>
        <v>X2ADV</v>
      </c>
      <c r="B782" s="7" t="s">
        <v>1971</v>
      </c>
      <c r="C782" s="7" t="s">
        <v>1972</v>
      </c>
      <c r="D782" s="7" t="s">
        <v>1973</v>
      </c>
      <c r="E782" s="8">
        <v>32964</v>
      </c>
      <c r="F782" s="10" t="s">
        <v>2128</v>
      </c>
    </row>
    <row r="783" spans="1:6" ht="14.25" x14ac:dyDescent="0.45">
      <c r="A783" s="6" t="str">
        <f ca="1">IFERROR(__xludf.DUMMYFUNCTION("""COMPUTED_VALUE"""),"XVX7GYF")</f>
        <v>XVX7GYF</v>
      </c>
      <c r="B783" s="7" t="s">
        <v>1971</v>
      </c>
      <c r="C783" s="7" t="s">
        <v>1972</v>
      </c>
      <c r="D783" s="7" t="s">
        <v>1975</v>
      </c>
      <c r="E783" s="8">
        <v>32972</v>
      </c>
      <c r="F783" s="10" t="s">
        <v>2242</v>
      </c>
    </row>
    <row r="784" spans="1:6" ht="14.25" x14ac:dyDescent="0.45">
      <c r="A784" s="6" t="str">
        <f ca="1">IFERROR(__xludf.DUMMYFUNCTION("""COMPUTED_VALUE"""),"XQXQRH1")</f>
        <v>XQXQRH1</v>
      </c>
      <c r="B784" s="7" t="s">
        <v>1971</v>
      </c>
      <c r="C784" s="7" t="s">
        <v>1972</v>
      </c>
      <c r="D784" s="7" t="s">
        <v>1973</v>
      </c>
      <c r="E784" s="8">
        <v>32972</v>
      </c>
      <c r="F784" s="10" t="s">
        <v>2247</v>
      </c>
    </row>
    <row r="785" spans="1:6" ht="14.25" x14ac:dyDescent="0.45">
      <c r="A785" s="6" t="str">
        <f ca="1">IFERROR(__xludf.DUMMYFUNCTION("""COMPUTED_VALUE"""),"X2917")</f>
        <v>X2917</v>
      </c>
      <c r="B785" s="7" t="s">
        <v>1971</v>
      </c>
      <c r="C785" s="7" t="s">
        <v>1972</v>
      </c>
      <c r="D785" s="7" t="s">
        <v>1975</v>
      </c>
      <c r="E785" s="8">
        <v>32975</v>
      </c>
      <c r="F785" s="10" t="s">
        <v>2144</v>
      </c>
    </row>
    <row r="786" spans="1:6" ht="14.25" x14ac:dyDescent="0.45">
      <c r="A786" s="6" t="str">
        <f ca="1">IFERROR(__xludf.DUMMYFUNCTION("""COMPUTED_VALUE"""),"X1VHY")</f>
        <v>X1VHY</v>
      </c>
      <c r="B786" s="7" t="s">
        <v>1971</v>
      </c>
      <c r="C786" s="7" t="s">
        <v>1972</v>
      </c>
      <c r="D786" s="7" t="s">
        <v>2020</v>
      </c>
      <c r="E786" s="8">
        <v>32977</v>
      </c>
      <c r="F786" s="10" t="s">
        <v>2235</v>
      </c>
    </row>
    <row r="787" spans="1:6" ht="14.25" x14ac:dyDescent="0.45">
      <c r="A787" s="6" t="str">
        <f ca="1">IFERROR(__xludf.DUMMYFUNCTION("""COMPUTED_VALUE"""),"X1LNF")</f>
        <v>X1LNF</v>
      </c>
      <c r="B787" s="7" t="s">
        <v>1971</v>
      </c>
      <c r="C787" s="7" t="s">
        <v>1974</v>
      </c>
      <c r="D787" s="7" t="s">
        <v>1974</v>
      </c>
      <c r="E787" s="8">
        <v>32982</v>
      </c>
      <c r="F787" s="10" t="s">
        <v>2068</v>
      </c>
    </row>
    <row r="788" spans="1:6" ht="14.25" x14ac:dyDescent="0.45">
      <c r="A788" s="6" t="str">
        <f ca="1">IFERROR(__xludf.DUMMYFUNCTION("""COMPUTED_VALUE"""),"XUCKG1B")</f>
        <v>XUCKG1B</v>
      </c>
      <c r="B788" s="7" t="s">
        <v>1971</v>
      </c>
      <c r="C788" s="7" t="s">
        <v>1972</v>
      </c>
      <c r="D788" s="7" t="s">
        <v>1974</v>
      </c>
      <c r="E788" s="8">
        <v>32984</v>
      </c>
      <c r="F788" s="10" t="s">
        <v>2304</v>
      </c>
    </row>
    <row r="789" spans="1:6" ht="14.25" x14ac:dyDescent="0.45">
      <c r="A789" s="6" t="str">
        <f ca="1">IFERROR(__xludf.DUMMYFUNCTION("""COMPUTED_VALUE"""),"X2CRE")</f>
        <v>X2CRE</v>
      </c>
      <c r="B789" s="7" t="s">
        <v>1971</v>
      </c>
      <c r="C789" s="7" t="s">
        <v>1974</v>
      </c>
      <c r="D789" s="7" t="s">
        <v>1974</v>
      </c>
      <c r="E789" s="8">
        <v>32991</v>
      </c>
      <c r="F789" s="10" t="s">
        <v>2001</v>
      </c>
    </row>
    <row r="790" spans="1:6" ht="14.25" x14ac:dyDescent="0.45">
      <c r="A790" s="6" t="str">
        <f ca="1">IFERROR(__xludf.DUMMYFUNCTION("""COMPUTED_VALUE"""),"X1XJQ")</f>
        <v>X1XJQ</v>
      </c>
      <c r="B790" s="7" t="s">
        <v>1980</v>
      </c>
      <c r="C790" s="7" t="s">
        <v>1972</v>
      </c>
      <c r="D790" s="7" t="s">
        <v>1974</v>
      </c>
      <c r="E790" s="8">
        <v>32995</v>
      </c>
      <c r="F790" s="10" t="s">
        <v>2080</v>
      </c>
    </row>
    <row r="791" spans="1:6" ht="14.25" x14ac:dyDescent="0.45">
      <c r="A791" s="6" t="str">
        <f ca="1">IFERROR(__xludf.DUMMYFUNCTION("""COMPUTED_VALUE"""),"X29VY")</f>
        <v>X29VY</v>
      </c>
      <c r="B791" s="7" t="s">
        <v>1971</v>
      </c>
      <c r="C791" s="7" t="s">
        <v>1972</v>
      </c>
      <c r="D791" s="7" t="s">
        <v>1997</v>
      </c>
      <c r="E791" s="8">
        <v>32998</v>
      </c>
      <c r="F791" s="9">
        <v>44175</v>
      </c>
    </row>
    <row r="792" spans="1:6" ht="14.25" x14ac:dyDescent="0.45">
      <c r="A792" s="6" t="str">
        <f ca="1">IFERROR(__xludf.DUMMYFUNCTION("""COMPUTED_VALUE"""),"X3065")</f>
        <v>X3065</v>
      </c>
      <c r="B792" s="7" t="s">
        <v>1971</v>
      </c>
      <c r="C792" s="7" t="s">
        <v>1972</v>
      </c>
      <c r="D792" s="7" t="s">
        <v>1974</v>
      </c>
      <c r="E792" s="8">
        <v>33017</v>
      </c>
      <c r="F792" s="10" t="s">
        <v>2103</v>
      </c>
    </row>
    <row r="793" spans="1:6" ht="14.25" x14ac:dyDescent="0.45">
      <c r="A793" s="6" t="str">
        <f ca="1">IFERROR(__xludf.DUMMYFUNCTION("""COMPUTED_VALUE"""),"X1X8M")</f>
        <v>X1X8M</v>
      </c>
      <c r="B793" s="7" t="s">
        <v>1980</v>
      </c>
      <c r="C793" s="7" t="s">
        <v>1975</v>
      </c>
      <c r="D793" s="7" t="s">
        <v>1975</v>
      </c>
      <c r="E793" s="8">
        <v>33018</v>
      </c>
      <c r="F793" s="9">
        <v>43687</v>
      </c>
    </row>
    <row r="794" spans="1:6" ht="14.25" x14ac:dyDescent="0.45">
      <c r="A794" s="6" t="str">
        <f ca="1">IFERROR(__xludf.DUMMYFUNCTION("""COMPUTED_VALUE"""),"X4FFIOM")</f>
        <v>X4FFIOM</v>
      </c>
      <c r="B794" s="7" t="s">
        <v>1971</v>
      </c>
      <c r="C794" s="7" t="s">
        <v>1972</v>
      </c>
      <c r="D794" s="7" t="s">
        <v>1993</v>
      </c>
      <c r="E794" s="8">
        <v>33026</v>
      </c>
      <c r="F794" s="9">
        <v>44321</v>
      </c>
    </row>
    <row r="795" spans="1:6" ht="14.25" x14ac:dyDescent="0.45">
      <c r="A795" s="6" t="str">
        <f ca="1">IFERROR(__xludf.DUMMYFUNCTION("""COMPUTED_VALUE"""),"XKL2MDD")</f>
        <v>XKL2MDD</v>
      </c>
      <c r="B795" s="7" t="s">
        <v>1971</v>
      </c>
      <c r="C795" s="7" t="s">
        <v>1972</v>
      </c>
      <c r="D795" s="7" t="s">
        <v>1973</v>
      </c>
      <c r="E795" s="8">
        <v>33031</v>
      </c>
      <c r="F795" s="10" t="s">
        <v>2261</v>
      </c>
    </row>
    <row r="796" spans="1:6" ht="14.25" x14ac:dyDescent="0.45">
      <c r="A796" s="6" t="str">
        <f ca="1">IFERROR(__xludf.DUMMYFUNCTION("""COMPUTED_VALUE"""),"X2BIY")</f>
        <v>X2BIY</v>
      </c>
      <c r="B796" s="7" t="s">
        <v>1971</v>
      </c>
      <c r="C796" s="7" t="s">
        <v>1977</v>
      </c>
      <c r="D796" s="7" t="s">
        <v>1982</v>
      </c>
      <c r="E796" s="8">
        <v>33034</v>
      </c>
      <c r="F796" s="10" t="s">
        <v>2013</v>
      </c>
    </row>
    <row r="797" spans="1:6" ht="14.25" x14ac:dyDescent="0.45">
      <c r="A797" s="6" t="str">
        <f ca="1">IFERROR(__xludf.DUMMYFUNCTION("""COMPUTED_VALUE"""),"X1WWO")</f>
        <v>X1WWO</v>
      </c>
      <c r="B797" s="7" t="s">
        <v>1971</v>
      </c>
      <c r="C797" s="7" t="s">
        <v>1972</v>
      </c>
      <c r="D797" s="7" t="s">
        <v>1975</v>
      </c>
      <c r="E797" s="8">
        <v>33035</v>
      </c>
      <c r="F797" s="9">
        <v>43778</v>
      </c>
    </row>
    <row r="798" spans="1:6" ht="14.25" x14ac:dyDescent="0.45">
      <c r="A798" s="6" t="str">
        <f ca="1">IFERROR(__xludf.DUMMYFUNCTION("""COMPUTED_VALUE"""),"XRYQS83")</f>
        <v>XRYQS83</v>
      </c>
      <c r="B798" s="7" t="s">
        <v>1971</v>
      </c>
      <c r="C798" s="7" t="s">
        <v>1974</v>
      </c>
      <c r="D798" s="7" t="s">
        <v>1974</v>
      </c>
      <c r="E798" s="8">
        <v>33047</v>
      </c>
      <c r="F798" s="9">
        <v>44320</v>
      </c>
    </row>
    <row r="799" spans="1:6" ht="14.25" x14ac:dyDescent="0.45">
      <c r="A799" s="6" t="str">
        <f ca="1">IFERROR(__xludf.DUMMYFUNCTION("""COMPUTED_VALUE"""),"X1NKJ")</f>
        <v>X1NKJ</v>
      </c>
      <c r="B799" s="7" t="s">
        <v>1971</v>
      </c>
      <c r="C799" s="7" t="s">
        <v>1977</v>
      </c>
      <c r="D799" s="7" t="s">
        <v>2020</v>
      </c>
      <c r="E799" s="8">
        <v>33050</v>
      </c>
      <c r="F799" s="9">
        <v>43446</v>
      </c>
    </row>
    <row r="800" spans="1:6" ht="14.25" x14ac:dyDescent="0.45">
      <c r="A800" s="6" t="str">
        <f ca="1">IFERROR(__xludf.DUMMYFUNCTION("""COMPUTED_VALUE"""),"X1KFI")</f>
        <v>X1KFI</v>
      </c>
      <c r="B800" s="7" t="s">
        <v>1971</v>
      </c>
      <c r="C800" s="7" t="s">
        <v>1977</v>
      </c>
      <c r="D800" s="7" t="s">
        <v>2026</v>
      </c>
      <c r="E800" s="8">
        <v>33060</v>
      </c>
      <c r="F800" s="9">
        <v>43168</v>
      </c>
    </row>
    <row r="801" spans="1:6" ht="14.25" x14ac:dyDescent="0.45">
      <c r="A801" s="6" t="str">
        <f ca="1">IFERROR(__xludf.DUMMYFUNCTION("""COMPUTED_VALUE"""),"X1WU5TW")</f>
        <v>X1WU5TW</v>
      </c>
      <c r="B801" s="7" t="s">
        <v>1971</v>
      </c>
      <c r="C801" s="7" t="s">
        <v>1972</v>
      </c>
      <c r="D801" s="7" t="s">
        <v>1990</v>
      </c>
      <c r="E801" s="8">
        <v>33060</v>
      </c>
      <c r="F801" s="10" t="s">
        <v>2333</v>
      </c>
    </row>
    <row r="802" spans="1:6" ht="14.25" x14ac:dyDescent="0.45">
      <c r="A802" s="6" t="str">
        <f ca="1">IFERROR(__xludf.DUMMYFUNCTION("""COMPUTED_VALUE"""),"XM4EXYB")</f>
        <v>XM4EXYB</v>
      </c>
      <c r="B802" s="7" t="s">
        <v>1971</v>
      </c>
      <c r="C802" s="7" t="s">
        <v>1972</v>
      </c>
      <c r="D802" s="7" t="s">
        <v>1993</v>
      </c>
      <c r="E802" s="8">
        <v>33064</v>
      </c>
      <c r="F802" s="10" t="s">
        <v>2216</v>
      </c>
    </row>
    <row r="803" spans="1:6" ht="14.25" x14ac:dyDescent="0.45">
      <c r="A803" s="6" t="str">
        <f ca="1">IFERROR(__xludf.DUMMYFUNCTION("""COMPUTED_VALUE"""),"XNY6VZD")</f>
        <v>XNY6VZD</v>
      </c>
      <c r="B803" s="7" t="s">
        <v>1980</v>
      </c>
      <c r="C803" s="7" t="s">
        <v>1977</v>
      </c>
      <c r="D803" s="7" t="s">
        <v>1974</v>
      </c>
      <c r="E803" s="8">
        <v>33064</v>
      </c>
      <c r="F803" s="10" t="s">
        <v>2257</v>
      </c>
    </row>
    <row r="804" spans="1:6" ht="14.25" x14ac:dyDescent="0.45">
      <c r="A804" s="6" t="str">
        <f ca="1">IFERROR(__xludf.DUMMYFUNCTION("""COMPUTED_VALUE"""),"X1MW5Y2")</f>
        <v>X1MW5Y2</v>
      </c>
      <c r="B804" s="7" t="s">
        <v>1971</v>
      </c>
      <c r="C804" s="7" t="s">
        <v>1972</v>
      </c>
      <c r="D804" s="7" t="s">
        <v>1974</v>
      </c>
      <c r="E804" s="8">
        <v>33064</v>
      </c>
      <c r="F804" s="9">
        <v>44537</v>
      </c>
    </row>
    <row r="805" spans="1:6" ht="14.25" x14ac:dyDescent="0.45">
      <c r="A805" s="6" t="str">
        <f ca="1">IFERROR(__xludf.DUMMYFUNCTION("""COMPUTED_VALUE"""),"X29B8")</f>
        <v>X29B8</v>
      </c>
      <c r="B805" s="7" t="s">
        <v>1980</v>
      </c>
      <c r="C805" s="7" t="s">
        <v>1972</v>
      </c>
      <c r="D805" s="7" t="s">
        <v>1993</v>
      </c>
      <c r="E805" s="8">
        <v>33067</v>
      </c>
      <c r="F805" s="9">
        <v>43961</v>
      </c>
    </row>
    <row r="806" spans="1:6" ht="14.25" x14ac:dyDescent="0.45">
      <c r="A806" s="6" t="str">
        <f ca="1">IFERROR(__xludf.DUMMYFUNCTION("""COMPUTED_VALUE"""),"X20GS")</f>
        <v>X20GS</v>
      </c>
      <c r="B806" s="7" t="s">
        <v>1986</v>
      </c>
      <c r="C806" s="7" t="s">
        <v>1972</v>
      </c>
      <c r="D806" s="7" t="s">
        <v>1974</v>
      </c>
      <c r="E806" s="8">
        <v>33071</v>
      </c>
      <c r="F806" s="10" t="s">
        <v>2169</v>
      </c>
    </row>
    <row r="807" spans="1:6" ht="14.25" x14ac:dyDescent="0.45">
      <c r="A807" s="6" t="str">
        <f ca="1">IFERROR(__xludf.DUMMYFUNCTION("""COMPUTED_VALUE"""),"X2BKI")</f>
        <v>X2BKI</v>
      </c>
      <c r="B807" s="7" t="s">
        <v>1971</v>
      </c>
      <c r="C807" s="7" t="s">
        <v>1977</v>
      </c>
      <c r="D807" s="7" t="s">
        <v>1974</v>
      </c>
      <c r="E807" s="8">
        <v>33072</v>
      </c>
      <c r="F807" s="10" t="s">
        <v>2005</v>
      </c>
    </row>
    <row r="808" spans="1:6" ht="14.25" x14ac:dyDescent="0.45">
      <c r="A808" s="6" t="str">
        <f ca="1">IFERROR(__xludf.DUMMYFUNCTION("""COMPUTED_VALUE"""),"XHNRRWY")</f>
        <v>XHNRRWY</v>
      </c>
      <c r="B808" s="7" t="s">
        <v>1980</v>
      </c>
      <c r="C808" s="7" t="s">
        <v>1972</v>
      </c>
      <c r="D808" s="7" t="s">
        <v>1974</v>
      </c>
      <c r="E808" s="8">
        <v>33074</v>
      </c>
      <c r="F808" s="10" t="s">
        <v>2213</v>
      </c>
    </row>
    <row r="809" spans="1:6" ht="14.25" x14ac:dyDescent="0.45">
      <c r="A809" s="6" t="str">
        <f ca="1">IFERROR(__xludf.DUMMYFUNCTION("""COMPUTED_VALUE"""),"XK8OMRT")</f>
        <v>XK8OMRT</v>
      </c>
      <c r="B809" s="7" t="s">
        <v>1980</v>
      </c>
      <c r="C809" s="7" t="s">
        <v>1972</v>
      </c>
      <c r="D809" s="7" t="s">
        <v>2012</v>
      </c>
      <c r="E809" s="8">
        <v>33080</v>
      </c>
      <c r="F809" s="10" t="s">
        <v>2192</v>
      </c>
    </row>
    <row r="810" spans="1:6" ht="14.25" x14ac:dyDescent="0.45">
      <c r="A810" s="6" t="str">
        <f ca="1">IFERROR(__xludf.DUMMYFUNCTION("""COMPUTED_VALUE"""),"XZV5JLK")</f>
        <v>XZV5JLK</v>
      </c>
      <c r="B810" s="7" t="s">
        <v>1971</v>
      </c>
      <c r="C810" s="7" t="s">
        <v>1977</v>
      </c>
      <c r="D810" s="7" t="s">
        <v>1978</v>
      </c>
      <c r="E810" s="8">
        <v>33090</v>
      </c>
      <c r="F810" s="10" t="s">
        <v>2246</v>
      </c>
    </row>
    <row r="811" spans="1:6" ht="14.25" x14ac:dyDescent="0.45">
      <c r="A811" s="6" t="str">
        <f ca="1">IFERROR(__xludf.DUMMYFUNCTION("""COMPUTED_VALUE"""),"X21JA")</f>
        <v>X21JA</v>
      </c>
      <c r="B811" s="7" t="s">
        <v>1971</v>
      </c>
      <c r="C811" s="7" t="s">
        <v>1993</v>
      </c>
      <c r="D811" s="7" t="s">
        <v>1993</v>
      </c>
      <c r="E811" s="8">
        <v>33097</v>
      </c>
      <c r="F811" s="9">
        <v>44167</v>
      </c>
    </row>
    <row r="812" spans="1:6" ht="14.25" x14ac:dyDescent="0.45">
      <c r="A812" s="6" t="str">
        <f ca="1">IFERROR(__xludf.DUMMYFUNCTION("""COMPUTED_VALUE"""),"X1KKQ")</f>
        <v>X1KKQ</v>
      </c>
      <c r="B812" s="7" t="s">
        <v>1971</v>
      </c>
      <c r="C812" s="7" t="s">
        <v>1977</v>
      </c>
      <c r="D812" s="7" t="s">
        <v>1990</v>
      </c>
      <c r="E812" s="8">
        <v>33102</v>
      </c>
      <c r="F812" s="10" t="s">
        <v>2254</v>
      </c>
    </row>
    <row r="813" spans="1:6" ht="14.25" x14ac:dyDescent="0.45">
      <c r="A813" s="6" t="str">
        <f ca="1">IFERROR(__xludf.DUMMYFUNCTION("""COMPUTED_VALUE"""),"X2CQN")</f>
        <v>X2CQN</v>
      </c>
      <c r="B813" s="7" t="s">
        <v>1971</v>
      </c>
      <c r="C813" s="7" t="s">
        <v>1981</v>
      </c>
      <c r="D813" s="7" t="s">
        <v>1974</v>
      </c>
      <c r="E813" s="8">
        <v>33104</v>
      </c>
      <c r="F813" s="10" t="s">
        <v>2001</v>
      </c>
    </row>
    <row r="814" spans="1:6" ht="14.25" x14ac:dyDescent="0.45">
      <c r="A814" s="6" t="str">
        <f ca="1">IFERROR(__xludf.DUMMYFUNCTION("""COMPUTED_VALUE"""),"X2AKF")</f>
        <v>X2AKF</v>
      </c>
      <c r="B814" s="7" t="s">
        <v>1971</v>
      </c>
      <c r="C814" s="7" t="s">
        <v>1977</v>
      </c>
      <c r="D814" s="7" t="s">
        <v>1975</v>
      </c>
      <c r="E814" s="8">
        <v>33119</v>
      </c>
      <c r="F814" s="10" t="s">
        <v>1979</v>
      </c>
    </row>
    <row r="815" spans="1:6" ht="14.25" x14ac:dyDescent="0.45">
      <c r="A815" s="6" t="str">
        <f ca="1">IFERROR(__xludf.DUMMYFUNCTION("""COMPUTED_VALUE"""),"XIXWRDN")</f>
        <v>XIXWRDN</v>
      </c>
      <c r="B815" s="7" t="s">
        <v>1971</v>
      </c>
      <c r="C815" s="7" t="s">
        <v>1977</v>
      </c>
      <c r="D815" s="7" t="s">
        <v>1974</v>
      </c>
      <c r="E815" s="8">
        <v>33121</v>
      </c>
      <c r="F815" s="10" t="s">
        <v>2242</v>
      </c>
    </row>
    <row r="816" spans="1:6" ht="14.25" x14ac:dyDescent="0.45">
      <c r="A816" s="6" t="str">
        <f ca="1">IFERROR(__xludf.DUMMYFUNCTION("""COMPUTED_VALUE"""),"X3217")</f>
        <v>X3217</v>
      </c>
      <c r="B816" s="7" t="s">
        <v>1971</v>
      </c>
      <c r="C816" s="7" t="s">
        <v>1972</v>
      </c>
      <c r="D816" s="7" t="s">
        <v>1993</v>
      </c>
      <c r="E816" s="8">
        <v>33128</v>
      </c>
      <c r="F816" s="9">
        <v>43350</v>
      </c>
    </row>
    <row r="817" spans="1:6" ht="14.25" x14ac:dyDescent="0.45">
      <c r="A817" s="6" t="str">
        <f ca="1">IFERROR(__xludf.DUMMYFUNCTION("""COMPUTED_VALUE"""),"X2CER")</f>
        <v>X2CER</v>
      </c>
      <c r="B817" s="7" t="s">
        <v>1971</v>
      </c>
      <c r="C817" s="7" t="s">
        <v>1972</v>
      </c>
      <c r="D817" s="7" t="s">
        <v>1993</v>
      </c>
      <c r="E817" s="8">
        <v>33129</v>
      </c>
      <c r="F817" s="10" t="s">
        <v>2052</v>
      </c>
    </row>
    <row r="818" spans="1:6" ht="14.25" x14ac:dyDescent="0.45">
      <c r="A818" s="6" t="str">
        <f ca="1">IFERROR(__xludf.DUMMYFUNCTION("""COMPUTED_VALUE"""),"X1WOU")</f>
        <v>X1WOU</v>
      </c>
      <c r="B818" s="7" t="s">
        <v>2025</v>
      </c>
      <c r="C818" s="7" t="s">
        <v>1977</v>
      </c>
      <c r="D818" s="7" t="s">
        <v>2014</v>
      </c>
      <c r="E818" s="8">
        <v>33131</v>
      </c>
      <c r="F818" s="9">
        <v>43625</v>
      </c>
    </row>
    <row r="819" spans="1:6" ht="14.25" x14ac:dyDescent="0.45">
      <c r="A819" s="6" t="str">
        <f ca="1">IFERROR(__xludf.DUMMYFUNCTION("""COMPUTED_VALUE"""),"X29FL")</f>
        <v>X29FL</v>
      </c>
      <c r="B819" s="7" t="s">
        <v>1971</v>
      </c>
      <c r="C819" s="7" t="s">
        <v>1977</v>
      </c>
      <c r="D819" s="7" t="s">
        <v>1974</v>
      </c>
      <c r="E819" s="8">
        <v>33131</v>
      </c>
      <c r="F819" s="9">
        <v>44084</v>
      </c>
    </row>
    <row r="820" spans="1:6" ht="14.25" x14ac:dyDescent="0.45">
      <c r="A820" s="6" t="str">
        <f ca="1">IFERROR(__xludf.DUMMYFUNCTION("""COMPUTED_VALUE"""),"XVW48ZV")</f>
        <v>XVW48ZV</v>
      </c>
      <c r="B820" s="7" t="s">
        <v>1971</v>
      </c>
      <c r="C820" s="7" t="s">
        <v>1972</v>
      </c>
      <c r="D820" s="7" t="s">
        <v>1990</v>
      </c>
      <c r="E820" s="8">
        <v>33131</v>
      </c>
      <c r="F820" s="10" t="s">
        <v>2247</v>
      </c>
    </row>
    <row r="821" spans="1:6" ht="14.25" x14ac:dyDescent="0.45">
      <c r="A821" s="6" t="str">
        <f ca="1">IFERROR(__xludf.DUMMYFUNCTION("""COMPUTED_VALUE"""),"X2606")</f>
        <v>X2606</v>
      </c>
      <c r="B821" s="7" t="s">
        <v>1971</v>
      </c>
      <c r="C821" s="7" t="s">
        <v>1977</v>
      </c>
      <c r="D821" s="7" t="s">
        <v>1984</v>
      </c>
      <c r="E821" s="8">
        <v>33133</v>
      </c>
      <c r="F821" s="10" t="s">
        <v>1985</v>
      </c>
    </row>
    <row r="822" spans="1:6" ht="14.25" x14ac:dyDescent="0.45">
      <c r="A822" s="6" t="str">
        <f ca="1">IFERROR(__xludf.DUMMYFUNCTION("""COMPUTED_VALUE"""),"X9L1R9J")</f>
        <v>X9L1R9J</v>
      </c>
      <c r="B822" s="7" t="s">
        <v>1971</v>
      </c>
      <c r="C822" s="7" t="s">
        <v>1977</v>
      </c>
      <c r="D822" s="7" t="s">
        <v>1974</v>
      </c>
      <c r="E822" s="8">
        <v>33133</v>
      </c>
      <c r="F822" s="9">
        <v>44411</v>
      </c>
    </row>
    <row r="823" spans="1:6" ht="14.25" x14ac:dyDescent="0.45">
      <c r="A823" s="6" t="str">
        <f ca="1">IFERROR(__xludf.DUMMYFUNCTION("""COMPUTED_VALUE"""),"X1W10N")</f>
        <v>X1W10N</v>
      </c>
      <c r="B823" s="7" t="s">
        <v>1980</v>
      </c>
      <c r="C823" s="7" t="s">
        <v>1972</v>
      </c>
      <c r="D823" s="7" t="s">
        <v>1983</v>
      </c>
      <c r="E823" s="8">
        <v>33135</v>
      </c>
      <c r="F823" s="10" t="s">
        <v>2188</v>
      </c>
    </row>
    <row r="824" spans="1:6" ht="14.25" x14ac:dyDescent="0.45">
      <c r="A824" s="6" t="str">
        <f ca="1">IFERROR(__xludf.DUMMYFUNCTION("""COMPUTED_VALUE"""),"XSW1QTQ")</f>
        <v>XSW1QTQ</v>
      </c>
      <c r="B824" s="7" t="s">
        <v>1971</v>
      </c>
      <c r="C824" s="7" t="s">
        <v>1977</v>
      </c>
      <c r="D824" s="7" t="s">
        <v>1990</v>
      </c>
      <c r="E824" s="8">
        <v>33153</v>
      </c>
      <c r="F824" s="10" t="s">
        <v>2212</v>
      </c>
    </row>
    <row r="825" spans="1:6" ht="14.25" x14ac:dyDescent="0.45">
      <c r="A825" s="6" t="str">
        <f ca="1">IFERROR(__xludf.DUMMYFUNCTION("""COMPUTED_VALUE"""),"X2AQ4")</f>
        <v>X2AQ4</v>
      </c>
      <c r="B825" s="7" t="s">
        <v>1971</v>
      </c>
      <c r="C825" s="7" t="s">
        <v>1974</v>
      </c>
      <c r="D825" s="7" t="s">
        <v>1993</v>
      </c>
      <c r="E825" s="8">
        <v>33158</v>
      </c>
      <c r="F825" s="9">
        <v>43901</v>
      </c>
    </row>
    <row r="826" spans="1:6" ht="14.25" x14ac:dyDescent="0.45">
      <c r="A826" s="6" t="str">
        <f ca="1">IFERROR(__xludf.DUMMYFUNCTION("""COMPUTED_VALUE"""),"X2AL6FS")</f>
        <v>X2AL6FS</v>
      </c>
      <c r="B826" s="7" t="s">
        <v>1971</v>
      </c>
      <c r="C826" s="7" t="s">
        <v>1972</v>
      </c>
      <c r="D826" s="7" t="s">
        <v>2026</v>
      </c>
      <c r="E826" s="8">
        <v>33159</v>
      </c>
      <c r="F826" s="10" t="s">
        <v>2258</v>
      </c>
    </row>
    <row r="827" spans="1:6" ht="14.25" x14ac:dyDescent="0.45">
      <c r="A827" s="6" t="str">
        <f ca="1">IFERROR(__xludf.DUMMYFUNCTION("""COMPUTED_VALUE"""),"X1JV7")</f>
        <v>X1JV7</v>
      </c>
      <c r="B827" s="7" t="s">
        <v>1971</v>
      </c>
      <c r="C827" s="7" t="s">
        <v>1972</v>
      </c>
      <c r="D827" s="7" t="s">
        <v>1993</v>
      </c>
      <c r="E827" s="8">
        <v>33160</v>
      </c>
      <c r="F827" s="10" t="s">
        <v>2108</v>
      </c>
    </row>
    <row r="828" spans="1:6" ht="14.25" x14ac:dyDescent="0.45">
      <c r="A828" s="6" t="str">
        <f ca="1">IFERROR(__xludf.DUMMYFUNCTION("""COMPUTED_VALUE"""),"XKEG65G")</f>
        <v>XKEG65G</v>
      </c>
      <c r="B828" s="7" t="s">
        <v>1986</v>
      </c>
      <c r="C828" s="7" t="s">
        <v>1972</v>
      </c>
      <c r="D828" s="7" t="s">
        <v>1990</v>
      </c>
      <c r="E828" s="8">
        <v>33164</v>
      </c>
      <c r="F828" s="10" t="s">
        <v>2286</v>
      </c>
    </row>
    <row r="829" spans="1:6" ht="14.25" x14ac:dyDescent="0.45">
      <c r="A829" s="6" t="str">
        <f ca="1">IFERROR(__xludf.DUMMYFUNCTION("""COMPUTED_VALUE"""),"X1YF3")</f>
        <v>X1YF3</v>
      </c>
      <c r="B829" s="7" t="s">
        <v>1971</v>
      </c>
      <c r="C829" s="7" t="s">
        <v>1977</v>
      </c>
      <c r="D829" s="7" t="s">
        <v>1993</v>
      </c>
      <c r="E829" s="8">
        <v>33167</v>
      </c>
      <c r="F829" s="9">
        <v>43657</v>
      </c>
    </row>
    <row r="830" spans="1:6" ht="14.25" x14ac:dyDescent="0.45">
      <c r="A830" s="6" t="str">
        <f ca="1">IFERROR(__xludf.DUMMYFUNCTION("""COMPUTED_VALUE"""),"XQZJ9KV")</f>
        <v>XQZJ9KV</v>
      </c>
      <c r="B830" s="7" t="s">
        <v>1971</v>
      </c>
      <c r="C830" s="7" t="s">
        <v>1972</v>
      </c>
      <c r="D830" s="7" t="s">
        <v>1997</v>
      </c>
      <c r="E830" s="8">
        <v>33174</v>
      </c>
      <c r="F830" s="10" t="s">
        <v>2268</v>
      </c>
    </row>
    <row r="831" spans="1:6" ht="14.25" x14ac:dyDescent="0.45">
      <c r="A831" s="6" t="str">
        <f ca="1">IFERROR(__xludf.DUMMYFUNCTION("""COMPUTED_VALUE"""),"XYV1L34")</f>
        <v>XYV1L34</v>
      </c>
      <c r="B831" s="7" t="s">
        <v>1980</v>
      </c>
      <c r="C831" s="7" t="s">
        <v>1972</v>
      </c>
      <c r="D831" s="7" t="s">
        <v>1974</v>
      </c>
      <c r="E831" s="8">
        <v>33178</v>
      </c>
      <c r="F831" s="10" t="s">
        <v>2220</v>
      </c>
    </row>
    <row r="832" spans="1:6" ht="14.25" x14ac:dyDescent="0.45">
      <c r="A832" s="6" t="str">
        <f ca="1">IFERROR(__xludf.DUMMYFUNCTION("""COMPUTED_VALUE"""),"XSBPNIQ")</f>
        <v>XSBPNIQ</v>
      </c>
      <c r="B832" s="7" t="s">
        <v>1971</v>
      </c>
      <c r="C832" s="7" t="s">
        <v>1972</v>
      </c>
      <c r="D832" s="7" t="s">
        <v>1974</v>
      </c>
      <c r="E832" s="8">
        <v>33185</v>
      </c>
      <c r="F832" s="10" t="s">
        <v>2200</v>
      </c>
    </row>
    <row r="833" spans="1:6" ht="14.25" x14ac:dyDescent="0.45">
      <c r="A833" s="6" t="str">
        <f ca="1">IFERROR(__xludf.DUMMYFUNCTION("""COMPUTED_VALUE"""),"X27R0")</f>
        <v>X27R0</v>
      </c>
      <c r="B833" s="7" t="s">
        <v>1971</v>
      </c>
      <c r="C833" s="7" t="s">
        <v>1972</v>
      </c>
      <c r="D833" s="7" t="s">
        <v>1993</v>
      </c>
      <c r="E833" s="8">
        <v>33188</v>
      </c>
      <c r="F833" s="10" t="s">
        <v>2312</v>
      </c>
    </row>
    <row r="834" spans="1:6" ht="14.25" x14ac:dyDescent="0.45">
      <c r="A834" s="6" t="str">
        <f ca="1">IFERROR(__xludf.DUMMYFUNCTION("""COMPUTED_VALUE"""),"X2C14W")</f>
        <v>X2C14W</v>
      </c>
      <c r="B834" s="7" t="s">
        <v>1971</v>
      </c>
      <c r="C834" s="7" t="s">
        <v>1972</v>
      </c>
      <c r="D834" s="7" t="s">
        <v>2026</v>
      </c>
      <c r="E834" s="8">
        <v>33195</v>
      </c>
      <c r="F834" s="10" t="s">
        <v>2051</v>
      </c>
    </row>
    <row r="835" spans="1:6" ht="14.25" x14ac:dyDescent="0.45">
      <c r="A835" s="6" t="str">
        <f ca="1">IFERROR(__xludf.DUMMYFUNCTION("""COMPUTED_VALUE"""),"X2X25RE")</f>
        <v>X2X25RE</v>
      </c>
      <c r="B835" s="7" t="s">
        <v>1971</v>
      </c>
      <c r="C835" s="7" t="s">
        <v>1972</v>
      </c>
      <c r="D835" s="7" t="s">
        <v>1974</v>
      </c>
      <c r="E835" s="8">
        <v>33196</v>
      </c>
      <c r="F835" s="10" t="s">
        <v>2261</v>
      </c>
    </row>
    <row r="836" spans="1:6" ht="14.25" x14ac:dyDescent="0.45">
      <c r="A836" s="6" t="str">
        <f ca="1">IFERROR(__xludf.DUMMYFUNCTION("""COMPUTED_VALUE"""),"X29NG")</f>
        <v>X29NG</v>
      </c>
      <c r="B836" s="7" t="s">
        <v>1971</v>
      </c>
      <c r="C836" s="7" t="s">
        <v>1972</v>
      </c>
      <c r="D836" s="7" t="s">
        <v>1974</v>
      </c>
      <c r="E836" s="8">
        <v>33204</v>
      </c>
      <c r="F836" s="9">
        <v>44053</v>
      </c>
    </row>
    <row r="837" spans="1:6" ht="14.25" x14ac:dyDescent="0.45">
      <c r="A837" s="6" t="str">
        <f ca="1">IFERROR(__xludf.DUMMYFUNCTION("""COMPUTED_VALUE"""),"X1YLF")</f>
        <v>X1YLF</v>
      </c>
      <c r="B837" s="7" t="s">
        <v>1971</v>
      </c>
      <c r="C837" s="7" t="s">
        <v>1972</v>
      </c>
      <c r="D837" s="7" t="s">
        <v>1975</v>
      </c>
      <c r="E837" s="8">
        <v>33204</v>
      </c>
      <c r="F837" s="9">
        <v>43596</v>
      </c>
    </row>
    <row r="838" spans="1:6" ht="14.25" x14ac:dyDescent="0.45">
      <c r="A838" s="6" t="str">
        <f ca="1">IFERROR(__xludf.DUMMYFUNCTION("""COMPUTED_VALUE"""),"X20AL")</f>
        <v>X20AL</v>
      </c>
      <c r="B838" s="7" t="s">
        <v>1971</v>
      </c>
      <c r="C838" s="7" t="s">
        <v>1972</v>
      </c>
      <c r="D838" s="7" t="s">
        <v>2007</v>
      </c>
      <c r="E838" s="8">
        <v>33204</v>
      </c>
      <c r="F838" s="9">
        <v>43983</v>
      </c>
    </row>
    <row r="839" spans="1:6" ht="14.25" x14ac:dyDescent="0.45">
      <c r="A839" s="6" t="str">
        <f ca="1">IFERROR(__xludf.DUMMYFUNCTION("""COMPUTED_VALUE"""),"XZSQ777")</f>
        <v>XZSQ777</v>
      </c>
      <c r="B839" s="7" t="s">
        <v>1971</v>
      </c>
      <c r="C839" s="7" t="s">
        <v>1981</v>
      </c>
      <c r="D839" s="7" t="s">
        <v>2003</v>
      </c>
      <c r="E839" s="8">
        <v>33211</v>
      </c>
      <c r="F839" s="10" t="s">
        <v>2217</v>
      </c>
    </row>
    <row r="840" spans="1:6" ht="14.25" x14ac:dyDescent="0.45">
      <c r="A840" s="6" t="str">
        <f ca="1">IFERROR(__xludf.DUMMYFUNCTION("""COMPUTED_VALUE"""),"XYKD6E5")</f>
        <v>XYKD6E5</v>
      </c>
      <c r="B840" s="7" t="s">
        <v>1971</v>
      </c>
      <c r="C840" s="7" t="s">
        <v>1972</v>
      </c>
      <c r="D840" s="7" t="s">
        <v>1997</v>
      </c>
      <c r="E840" s="8">
        <v>33213</v>
      </c>
      <c r="F840" s="10" t="s">
        <v>2247</v>
      </c>
    </row>
    <row r="841" spans="1:6" ht="14.25" x14ac:dyDescent="0.45">
      <c r="A841" s="6" t="str">
        <f ca="1">IFERROR(__xludf.DUMMYFUNCTION("""COMPUTED_VALUE"""),"XVWQDLO")</f>
        <v>XVWQDLO</v>
      </c>
      <c r="B841" s="7" t="s">
        <v>1971</v>
      </c>
      <c r="C841" s="7" t="s">
        <v>1972</v>
      </c>
      <c r="D841" s="7" t="s">
        <v>2088</v>
      </c>
      <c r="E841" s="8">
        <v>33217</v>
      </c>
      <c r="F841" s="10" t="s">
        <v>2322</v>
      </c>
    </row>
    <row r="842" spans="1:6" ht="14.25" x14ac:dyDescent="0.45">
      <c r="A842" s="6" t="str">
        <f ca="1">IFERROR(__xludf.DUMMYFUNCTION("""COMPUTED_VALUE"""),"XJOW1HL")</f>
        <v>XJOW1HL</v>
      </c>
      <c r="B842" s="7" t="s">
        <v>1971</v>
      </c>
      <c r="C842" s="7" t="s">
        <v>1972</v>
      </c>
      <c r="D842" s="7" t="s">
        <v>1974</v>
      </c>
      <c r="E842" s="8">
        <v>33220</v>
      </c>
      <c r="F842" s="10" t="s">
        <v>2247</v>
      </c>
    </row>
    <row r="843" spans="1:6" ht="14.25" x14ac:dyDescent="0.45">
      <c r="A843" s="6" t="str">
        <f ca="1">IFERROR(__xludf.DUMMYFUNCTION("""COMPUTED_VALUE"""),"X2B7X")</f>
        <v>X2B7X</v>
      </c>
      <c r="B843" s="7" t="s">
        <v>1971</v>
      </c>
      <c r="C843" s="7" t="s">
        <v>1972</v>
      </c>
      <c r="D843" s="7" t="s">
        <v>1997</v>
      </c>
      <c r="E843" s="8">
        <v>33221</v>
      </c>
      <c r="F843" s="10" t="s">
        <v>2029</v>
      </c>
    </row>
    <row r="844" spans="1:6" ht="14.25" x14ac:dyDescent="0.45">
      <c r="A844" s="6" t="str">
        <f ca="1">IFERROR(__xludf.DUMMYFUNCTION("""COMPUTED_VALUE"""),"XP68IG3")</f>
        <v>XP68IG3</v>
      </c>
      <c r="B844" s="7" t="s">
        <v>1971</v>
      </c>
      <c r="C844" s="7" t="s">
        <v>1972</v>
      </c>
      <c r="D844" s="7" t="s">
        <v>1974</v>
      </c>
      <c r="E844" s="8">
        <v>33221</v>
      </c>
      <c r="F844" s="9">
        <v>44235</v>
      </c>
    </row>
    <row r="845" spans="1:6" ht="14.25" x14ac:dyDescent="0.45">
      <c r="A845" s="6" t="str">
        <f ca="1">IFERROR(__xludf.DUMMYFUNCTION("""COMPUTED_VALUE"""),"X3659")</f>
        <v>X3659</v>
      </c>
      <c r="B845" s="7" t="s">
        <v>1980</v>
      </c>
      <c r="C845" s="7" t="s">
        <v>1972</v>
      </c>
      <c r="D845" s="7" t="s">
        <v>1990</v>
      </c>
      <c r="E845" s="8">
        <v>33223</v>
      </c>
      <c r="F845" s="10" t="s">
        <v>2180</v>
      </c>
    </row>
    <row r="846" spans="1:6" ht="14.25" x14ac:dyDescent="0.45">
      <c r="A846" s="6" t="str">
        <f ca="1">IFERROR(__xludf.DUMMYFUNCTION("""COMPUTED_VALUE"""),"X4BCPMG")</f>
        <v>X4BCPMG</v>
      </c>
      <c r="B846" s="7" t="s">
        <v>1971</v>
      </c>
      <c r="C846" s="7" t="s">
        <v>1977</v>
      </c>
      <c r="D846" s="7" t="s">
        <v>1995</v>
      </c>
      <c r="E846" s="8">
        <v>33223</v>
      </c>
      <c r="F846" s="9">
        <v>44320</v>
      </c>
    </row>
    <row r="847" spans="1:6" ht="14.25" x14ac:dyDescent="0.45">
      <c r="A847" s="6" t="str">
        <f ca="1">IFERROR(__xludf.DUMMYFUNCTION("""COMPUTED_VALUE"""),"XLJ7E4C")</f>
        <v>XLJ7E4C</v>
      </c>
      <c r="B847" s="7" t="s">
        <v>1971</v>
      </c>
      <c r="C847" s="7" t="s">
        <v>1972</v>
      </c>
      <c r="D847" s="7" t="s">
        <v>1993</v>
      </c>
      <c r="E847" s="8">
        <v>33224</v>
      </c>
      <c r="F847" s="10" t="s">
        <v>2325</v>
      </c>
    </row>
    <row r="848" spans="1:6" ht="14.25" x14ac:dyDescent="0.45">
      <c r="A848" s="6" t="str">
        <f ca="1">IFERROR(__xludf.DUMMYFUNCTION("""COMPUTED_VALUE"""),"XLGD6XN")</f>
        <v>XLGD6XN</v>
      </c>
      <c r="B848" s="7" t="s">
        <v>1971</v>
      </c>
      <c r="C848" s="7" t="s">
        <v>1972</v>
      </c>
      <c r="D848" s="7" t="s">
        <v>2012</v>
      </c>
      <c r="E848" s="8">
        <v>33225</v>
      </c>
      <c r="F848" s="10" t="s">
        <v>2342</v>
      </c>
    </row>
    <row r="849" spans="1:6" ht="14.25" x14ac:dyDescent="0.45">
      <c r="A849" s="6" t="str">
        <f ca="1">IFERROR(__xludf.DUMMYFUNCTION("""COMPUTED_VALUE"""),"XHHP4IY")</f>
        <v>XHHP4IY</v>
      </c>
      <c r="B849" s="7" t="s">
        <v>1971</v>
      </c>
      <c r="C849" s="7" t="s">
        <v>1972</v>
      </c>
      <c r="D849" s="7" t="s">
        <v>1997</v>
      </c>
      <c r="E849" s="8">
        <v>33234</v>
      </c>
      <c r="F849" s="9">
        <v>44323</v>
      </c>
    </row>
    <row r="850" spans="1:6" ht="14.25" x14ac:dyDescent="0.45">
      <c r="A850" s="6" t="str">
        <f ca="1">IFERROR(__xludf.DUMMYFUNCTION("""COMPUTED_VALUE"""),"XAFCK5M")</f>
        <v>XAFCK5M</v>
      </c>
      <c r="B850" s="7" t="s">
        <v>1971</v>
      </c>
      <c r="C850" s="7" t="s">
        <v>1972</v>
      </c>
      <c r="D850" s="7" t="s">
        <v>1974</v>
      </c>
      <c r="E850" s="8">
        <v>33243</v>
      </c>
      <c r="F850" s="9">
        <v>44535</v>
      </c>
    </row>
    <row r="851" spans="1:6" ht="14.25" x14ac:dyDescent="0.45">
      <c r="A851" s="6" t="str">
        <f ca="1">IFERROR(__xludf.DUMMYFUNCTION("""COMPUTED_VALUE"""),"XHKF9BB")</f>
        <v>XHKF9BB</v>
      </c>
      <c r="B851" s="7" t="s">
        <v>1971</v>
      </c>
      <c r="C851" s="7" t="s">
        <v>1972</v>
      </c>
      <c r="D851" s="7" t="s">
        <v>1974</v>
      </c>
      <c r="E851" s="8">
        <v>33245</v>
      </c>
      <c r="F851" s="10" t="s">
        <v>2258</v>
      </c>
    </row>
    <row r="852" spans="1:6" ht="14.25" x14ac:dyDescent="0.45">
      <c r="A852" s="6" t="str">
        <f ca="1">IFERROR(__xludf.DUMMYFUNCTION("""COMPUTED_VALUE"""),"XKD98WH")</f>
        <v>XKD98WH</v>
      </c>
      <c r="B852" s="7" t="s">
        <v>1986</v>
      </c>
      <c r="C852" s="7" t="s">
        <v>1972</v>
      </c>
      <c r="D852" s="7" t="s">
        <v>2088</v>
      </c>
      <c r="E852" s="8">
        <v>33248</v>
      </c>
      <c r="F852" s="9">
        <v>44238</v>
      </c>
    </row>
    <row r="853" spans="1:6" ht="14.25" x14ac:dyDescent="0.45">
      <c r="A853" s="6" t="str">
        <f ca="1">IFERROR(__xludf.DUMMYFUNCTION("""COMPUTED_VALUE"""),"X7IOGST")</f>
        <v>X7IOGST</v>
      </c>
      <c r="B853" s="7" t="s">
        <v>1971</v>
      </c>
      <c r="C853" s="7" t="s">
        <v>1972</v>
      </c>
      <c r="D853" s="7" t="s">
        <v>1987</v>
      </c>
      <c r="E853" s="8">
        <v>33262</v>
      </c>
      <c r="F853" s="10" t="s">
        <v>2313</v>
      </c>
    </row>
    <row r="854" spans="1:6" ht="14.25" x14ac:dyDescent="0.45">
      <c r="A854" s="6" t="str">
        <f ca="1">IFERROR(__xludf.DUMMYFUNCTION("""COMPUTED_VALUE"""),"X2DDD")</f>
        <v>X2DDD</v>
      </c>
      <c r="B854" s="7" t="s">
        <v>1971</v>
      </c>
      <c r="C854" s="7" t="s">
        <v>1977</v>
      </c>
      <c r="D854" s="7" t="s">
        <v>1974</v>
      </c>
      <c r="E854" s="8">
        <v>33263</v>
      </c>
      <c r="F854" s="9">
        <v>44501</v>
      </c>
    </row>
    <row r="855" spans="1:6" ht="14.25" x14ac:dyDescent="0.45">
      <c r="A855" s="6" t="str">
        <f ca="1">IFERROR(__xludf.DUMMYFUNCTION("""COMPUTED_VALUE"""),"X2CV0")</f>
        <v>X2CV0</v>
      </c>
      <c r="B855" s="7" t="s">
        <v>1971</v>
      </c>
      <c r="C855" s="7" t="s">
        <v>1972</v>
      </c>
      <c r="D855" s="7" t="s">
        <v>2026</v>
      </c>
      <c r="E855" s="8">
        <v>33263</v>
      </c>
      <c r="F855" s="9">
        <v>44287</v>
      </c>
    </row>
    <row r="856" spans="1:6" ht="14.25" x14ac:dyDescent="0.45">
      <c r="A856" s="6" t="str">
        <f ca="1">IFERROR(__xludf.DUMMYFUNCTION("""COMPUTED_VALUE"""),"XCERN3P")</f>
        <v>XCERN3P</v>
      </c>
      <c r="B856" s="7" t="s">
        <v>1971</v>
      </c>
      <c r="C856" s="7" t="s">
        <v>1972</v>
      </c>
      <c r="D856" s="7" t="s">
        <v>2007</v>
      </c>
      <c r="E856" s="8">
        <v>33266</v>
      </c>
      <c r="F856" s="10" t="s">
        <v>2218</v>
      </c>
    </row>
    <row r="857" spans="1:6" ht="14.25" x14ac:dyDescent="0.45">
      <c r="A857" s="6" t="str">
        <f ca="1">IFERROR(__xludf.DUMMYFUNCTION("""COMPUTED_VALUE"""),"XLUWXWQ")</f>
        <v>XLUWXWQ</v>
      </c>
      <c r="B857" s="7" t="s">
        <v>1971</v>
      </c>
      <c r="C857" s="7" t="s">
        <v>1974</v>
      </c>
      <c r="D857" s="7" t="s">
        <v>1974</v>
      </c>
      <c r="E857" s="8">
        <v>33270</v>
      </c>
      <c r="F857" s="10" t="s">
        <v>2245</v>
      </c>
    </row>
    <row r="858" spans="1:6" ht="14.25" x14ac:dyDescent="0.45">
      <c r="A858" s="6" t="str">
        <f ca="1">IFERROR(__xludf.DUMMYFUNCTION("""COMPUTED_VALUE"""),"XXKKKGL")</f>
        <v>XXKKKGL</v>
      </c>
      <c r="B858" s="7" t="s">
        <v>1971</v>
      </c>
      <c r="C858" s="7" t="s">
        <v>1977</v>
      </c>
      <c r="D858" s="7" t="s">
        <v>1990</v>
      </c>
      <c r="E858" s="8">
        <v>33273</v>
      </c>
      <c r="F858" s="10" t="s">
        <v>2217</v>
      </c>
    </row>
    <row r="859" spans="1:6" ht="14.25" x14ac:dyDescent="0.45">
      <c r="A859" s="6" t="str">
        <f ca="1">IFERROR(__xludf.DUMMYFUNCTION("""COMPUTED_VALUE"""),"X2A122")</f>
        <v>X2A122</v>
      </c>
      <c r="B859" s="7" t="s">
        <v>1971</v>
      </c>
      <c r="C859" s="7" t="s">
        <v>1977</v>
      </c>
      <c r="D859" s="7" t="s">
        <v>1990</v>
      </c>
      <c r="E859" s="8">
        <v>33276</v>
      </c>
      <c r="F859" s="10" t="s">
        <v>2009</v>
      </c>
    </row>
    <row r="860" spans="1:6" ht="14.25" x14ac:dyDescent="0.45">
      <c r="A860" s="6" t="str">
        <f ca="1">IFERROR(__xludf.DUMMYFUNCTION("""COMPUTED_VALUE"""),"X2CIP")</f>
        <v>X2CIP</v>
      </c>
      <c r="B860" s="7" t="s">
        <v>1971</v>
      </c>
      <c r="C860" s="7" t="s">
        <v>1977</v>
      </c>
      <c r="D860" s="7" t="s">
        <v>1978</v>
      </c>
      <c r="E860" s="8">
        <v>33276</v>
      </c>
      <c r="F860" s="10" t="s">
        <v>2024</v>
      </c>
    </row>
    <row r="861" spans="1:6" ht="14.25" x14ac:dyDescent="0.45">
      <c r="A861" s="6" t="str">
        <f ca="1">IFERROR(__xludf.DUMMYFUNCTION("""COMPUTED_VALUE"""),"XUJUHQM")</f>
        <v>XUJUHQM</v>
      </c>
      <c r="B861" s="7" t="s">
        <v>1971</v>
      </c>
      <c r="C861" s="7" t="s">
        <v>1972</v>
      </c>
      <c r="D861" s="7" t="s">
        <v>2020</v>
      </c>
      <c r="E861" s="8">
        <v>33278</v>
      </c>
      <c r="F861" s="10" t="s">
        <v>2216</v>
      </c>
    </row>
    <row r="862" spans="1:6" ht="14.25" x14ac:dyDescent="0.45">
      <c r="A862" s="6" t="str">
        <f ca="1">IFERROR(__xludf.DUMMYFUNCTION("""COMPUTED_VALUE"""),"X29ST")</f>
        <v>X29ST</v>
      </c>
      <c r="B862" s="7" t="s">
        <v>1971</v>
      </c>
      <c r="C862" s="7" t="s">
        <v>1977</v>
      </c>
      <c r="D862" s="7" t="s">
        <v>2020</v>
      </c>
      <c r="E862" s="8">
        <v>33284</v>
      </c>
      <c r="F862" s="9">
        <v>44175</v>
      </c>
    </row>
    <row r="863" spans="1:6" ht="14.25" x14ac:dyDescent="0.45">
      <c r="A863" s="6" t="str">
        <f ca="1">IFERROR(__xludf.DUMMYFUNCTION("""COMPUTED_VALUE"""),"X1XOY")</f>
        <v>X1XOY</v>
      </c>
      <c r="B863" s="7" t="s">
        <v>1980</v>
      </c>
      <c r="C863" s="7" t="s">
        <v>1972</v>
      </c>
      <c r="D863" s="7" t="s">
        <v>1974</v>
      </c>
      <c r="E863" s="8">
        <v>33290</v>
      </c>
      <c r="F863" s="10" t="s">
        <v>2053</v>
      </c>
    </row>
    <row r="864" spans="1:6" ht="14.25" x14ac:dyDescent="0.45">
      <c r="A864" s="6" t="str">
        <f ca="1">IFERROR(__xludf.DUMMYFUNCTION("""COMPUTED_VALUE"""),"XUKGWEK")</f>
        <v>XUKGWEK</v>
      </c>
      <c r="B864" s="7" t="s">
        <v>1971</v>
      </c>
      <c r="C864" s="7" t="s">
        <v>1972</v>
      </c>
      <c r="D864" s="7" t="s">
        <v>1990</v>
      </c>
      <c r="E864" s="8">
        <v>33290</v>
      </c>
      <c r="F864" s="9">
        <v>44538</v>
      </c>
    </row>
    <row r="865" spans="1:6" ht="14.25" x14ac:dyDescent="0.45">
      <c r="A865" s="6" t="str">
        <f ca="1">IFERROR(__xludf.DUMMYFUNCTION("""COMPUTED_VALUE"""),"XPT994Y")</f>
        <v>XPT994Y</v>
      </c>
      <c r="B865" s="7" t="s">
        <v>1986</v>
      </c>
      <c r="C865" s="7" t="s">
        <v>1972</v>
      </c>
      <c r="D865" s="7" t="s">
        <v>1995</v>
      </c>
      <c r="E865" s="8">
        <v>33296</v>
      </c>
      <c r="F865" s="10" t="s">
        <v>2216</v>
      </c>
    </row>
    <row r="866" spans="1:6" ht="14.25" x14ac:dyDescent="0.45">
      <c r="A866" s="6" t="str">
        <f ca="1">IFERROR(__xludf.DUMMYFUNCTION("""COMPUTED_VALUE"""),"X2329")</f>
        <v>X2329</v>
      </c>
      <c r="B866" s="7" t="s">
        <v>1971</v>
      </c>
      <c r="C866" s="7" t="s">
        <v>1972</v>
      </c>
      <c r="D866" s="7" t="s">
        <v>2007</v>
      </c>
      <c r="E866" s="8">
        <v>33300</v>
      </c>
      <c r="F866" s="10" t="s">
        <v>2006</v>
      </c>
    </row>
    <row r="867" spans="1:6" ht="14.25" x14ac:dyDescent="0.45">
      <c r="A867" s="6" t="str">
        <f ca="1">IFERROR(__xludf.DUMMYFUNCTION("""COMPUTED_VALUE"""),"X3282")</f>
        <v>X3282</v>
      </c>
      <c r="B867" s="7" t="s">
        <v>1971</v>
      </c>
      <c r="C867" s="7" t="s">
        <v>1972</v>
      </c>
      <c r="D867" s="7" t="s">
        <v>2012</v>
      </c>
      <c r="E867" s="8">
        <v>33308</v>
      </c>
      <c r="F867" s="10" t="s">
        <v>2066</v>
      </c>
    </row>
    <row r="868" spans="1:6" ht="14.25" x14ac:dyDescent="0.45">
      <c r="A868" s="6" t="str">
        <f ca="1">IFERROR(__xludf.DUMMYFUNCTION("""COMPUTED_VALUE"""),"X2AW8")</f>
        <v>X2AW8</v>
      </c>
      <c r="B868" s="7" t="s">
        <v>1971</v>
      </c>
      <c r="C868" s="7" t="s">
        <v>1972</v>
      </c>
      <c r="D868" s="7" t="s">
        <v>1974</v>
      </c>
      <c r="E868" s="8">
        <v>33309</v>
      </c>
      <c r="F868" s="9">
        <v>44085</v>
      </c>
    </row>
    <row r="869" spans="1:6" ht="14.25" x14ac:dyDescent="0.45">
      <c r="A869" s="6" t="str">
        <f ca="1">IFERROR(__xludf.DUMMYFUNCTION("""COMPUTED_VALUE"""),"X297Y")</f>
        <v>X297Y</v>
      </c>
      <c r="B869" s="7" t="s">
        <v>1971</v>
      </c>
      <c r="C869" s="7" t="s">
        <v>1977</v>
      </c>
      <c r="D869" s="7" t="s">
        <v>1975</v>
      </c>
      <c r="E869" s="8">
        <v>33311</v>
      </c>
      <c r="F869" s="9">
        <v>43961</v>
      </c>
    </row>
    <row r="870" spans="1:6" ht="14.25" x14ac:dyDescent="0.45">
      <c r="A870" s="6" t="str">
        <f ca="1">IFERROR(__xludf.DUMMYFUNCTION("""COMPUTED_VALUE"""),"XRGQ6UR")</f>
        <v>XRGQ6UR</v>
      </c>
      <c r="B870" s="7" t="s">
        <v>1971</v>
      </c>
      <c r="C870" s="7" t="s">
        <v>1972</v>
      </c>
      <c r="D870" s="7" t="s">
        <v>1995</v>
      </c>
      <c r="E870" s="8">
        <v>33312</v>
      </c>
      <c r="F870" s="10" t="s">
        <v>2265</v>
      </c>
    </row>
    <row r="871" spans="1:6" ht="14.25" x14ac:dyDescent="0.45">
      <c r="A871" s="6" t="str">
        <f ca="1">IFERROR(__xludf.DUMMYFUNCTION("""COMPUTED_VALUE"""),"X3452")</f>
        <v>X3452</v>
      </c>
      <c r="B871" s="7" t="s">
        <v>1971</v>
      </c>
      <c r="C871" s="7" t="s">
        <v>1981</v>
      </c>
      <c r="D871" s="7" t="s">
        <v>1982</v>
      </c>
      <c r="E871" s="8">
        <v>33313</v>
      </c>
      <c r="F871" s="9">
        <v>43139</v>
      </c>
    </row>
    <row r="872" spans="1:6" ht="14.25" x14ac:dyDescent="0.45">
      <c r="A872" s="6" t="str">
        <f ca="1">IFERROR(__xludf.DUMMYFUNCTION("""COMPUTED_VALUE"""),"X1LNJ")</f>
        <v>X1LNJ</v>
      </c>
      <c r="B872" s="7" t="s">
        <v>1971</v>
      </c>
      <c r="C872" s="7" t="s">
        <v>1972</v>
      </c>
      <c r="D872" s="7" t="s">
        <v>2003</v>
      </c>
      <c r="E872" s="8">
        <v>33317</v>
      </c>
      <c r="F872" s="10" t="s">
        <v>2068</v>
      </c>
    </row>
    <row r="873" spans="1:6" ht="14.25" x14ac:dyDescent="0.45">
      <c r="A873" s="6" t="str">
        <f ca="1">IFERROR(__xludf.DUMMYFUNCTION("""COMPUTED_VALUE"""),"XWU3OSX")</f>
        <v>XWU3OSX</v>
      </c>
      <c r="B873" s="7" t="s">
        <v>1971</v>
      </c>
      <c r="C873" s="7" t="s">
        <v>1972</v>
      </c>
      <c r="D873" s="7" t="s">
        <v>1974</v>
      </c>
      <c r="E873" s="8">
        <v>33323</v>
      </c>
      <c r="F873" s="10" t="s">
        <v>2258</v>
      </c>
    </row>
    <row r="874" spans="1:6" ht="14.25" x14ac:dyDescent="0.45">
      <c r="A874" s="6" t="str">
        <f ca="1">IFERROR(__xludf.DUMMYFUNCTION("""COMPUTED_VALUE"""),"XMN4CIN")</f>
        <v>XMN4CIN</v>
      </c>
      <c r="B874" s="7" t="s">
        <v>1971</v>
      </c>
      <c r="C874" s="7" t="s">
        <v>1972</v>
      </c>
      <c r="D874" s="7" t="s">
        <v>1993</v>
      </c>
      <c r="E874" s="8">
        <v>33334</v>
      </c>
      <c r="F874" s="10" t="s">
        <v>2303</v>
      </c>
    </row>
    <row r="875" spans="1:6" ht="14.25" x14ac:dyDescent="0.45">
      <c r="A875" s="6" t="str">
        <f ca="1">IFERROR(__xludf.DUMMYFUNCTION("""COMPUTED_VALUE"""),"X2CXM")</f>
        <v>X2CXM</v>
      </c>
      <c r="B875" s="7" t="s">
        <v>2016</v>
      </c>
      <c r="C875" s="7" t="s">
        <v>1972</v>
      </c>
      <c r="D875" s="7" t="s">
        <v>2088</v>
      </c>
      <c r="E875" s="8">
        <v>33341</v>
      </c>
      <c r="F875" s="9">
        <v>44287</v>
      </c>
    </row>
    <row r="876" spans="1:6" ht="14.25" x14ac:dyDescent="0.45">
      <c r="A876" s="6" t="str">
        <f ca="1">IFERROR(__xludf.DUMMYFUNCTION("""COMPUTED_VALUE"""),"XFWW179")</f>
        <v>XFWW179</v>
      </c>
      <c r="B876" s="7" t="s">
        <v>1986</v>
      </c>
      <c r="C876" s="7" t="s">
        <v>1972</v>
      </c>
      <c r="D876" s="7" t="s">
        <v>1973</v>
      </c>
      <c r="E876" s="8">
        <v>33345</v>
      </c>
      <c r="F876" s="10" t="s">
        <v>2193</v>
      </c>
    </row>
    <row r="877" spans="1:6" ht="14.25" x14ac:dyDescent="0.45">
      <c r="A877" s="6" t="str">
        <f ca="1">IFERROR(__xludf.DUMMYFUNCTION("""COMPUTED_VALUE"""),"X294U")</f>
        <v>X294U</v>
      </c>
      <c r="B877" s="7" t="s">
        <v>1971</v>
      </c>
      <c r="C877" s="7" t="s">
        <v>1977</v>
      </c>
      <c r="D877" s="7" t="s">
        <v>1974</v>
      </c>
      <c r="E877" s="8">
        <v>33347</v>
      </c>
      <c r="F877" s="9">
        <v>43871</v>
      </c>
    </row>
    <row r="878" spans="1:6" ht="14.25" x14ac:dyDescent="0.45">
      <c r="A878" s="6" t="str">
        <f ca="1">IFERROR(__xludf.DUMMYFUNCTION("""COMPUTED_VALUE"""),"XGMC4E8")</f>
        <v>XGMC4E8</v>
      </c>
      <c r="B878" s="7" t="s">
        <v>1971</v>
      </c>
      <c r="C878" s="7" t="s">
        <v>1981</v>
      </c>
      <c r="D878" s="7" t="s">
        <v>1995</v>
      </c>
      <c r="E878" s="8">
        <v>33363</v>
      </c>
      <c r="F878" s="10" t="s">
        <v>2212</v>
      </c>
    </row>
    <row r="879" spans="1:6" ht="14.25" x14ac:dyDescent="0.45">
      <c r="A879" s="6" t="str">
        <f ca="1">IFERROR(__xludf.DUMMYFUNCTION("""COMPUTED_VALUE"""),"X2AE7")</f>
        <v>X2AE7</v>
      </c>
      <c r="B879" s="7" t="s">
        <v>1986</v>
      </c>
      <c r="C879" s="7" t="s">
        <v>1972</v>
      </c>
      <c r="D879" s="7" t="s">
        <v>1973</v>
      </c>
      <c r="E879" s="8">
        <v>33366</v>
      </c>
      <c r="F879" s="10" t="s">
        <v>2128</v>
      </c>
    </row>
    <row r="880" spans="1:6" ht="14.25" x14ac:dyDescent="0.45">
      <c r="A880" s="6" t="str">
        <f ca="1">IFERROR(__xludf.DUMMYFUNCTION("""COMPUTED_VALUE"""),"XQJ5ZS2")</f>
        <v>XQJ5ZS2</v>
      </c>
      <c r="B880" s="7" t="s">
        <v>1971</v>
      </c>
      <c r="C880" s="7" t="s">
        <v>1977</v>
      </c>
      <c r="D880" s="7" t="s">
        <v>1993</v>
      </c>
      <c r="E880" s="8">
        <v>33373</v>
      </c>
      <c r="F880" s="10" t="s">
        <v>2193</v>
      </c>
    </row>
    <row r="881" spans="1:6" ht="14.25" x14ac:dyDescent="0.45">
      <c r="A881" s="6" t="str">
        <f ca="1">IFERROR(__xludf.DUMMYFUNCTION("""COMPUTED_VALUE"""),"X2C15G")</f>
        <v>X2C15G</v>
      </c>
      <c r="B881" s="7" t="s">
        <v>1971</v>
      </c>
      <c r="C881" s="7" t="s">
        <v>1972</v>
      </c>
      <c r="D881" s="7" t="s">
        <v>1973</v>
      </c>
      <c r="E881" s="8">
        <v>33375</v>
      </c>
      <c r="F881" s="10" t="s">
        <v>2051</v>
      </c>
    </row>
    <row r="882" spans="1:6" ht="14.25" x14ac:dyDescent="0.45">
      <c r="A882" s="6" t="str">
        <f ca="1">IFERROR(__xludf.DUMMYFUNCTION("""COMPUTED_VALUE"""),"X5EIVOJ")</f>
        <v>X5EIVOJ</v>
      </c>
      <c r="B882" s="7" t="s">
        <v>1971</v>
      </c>
      <c r="C882" s="7" t="s">
        <v>1972</v>
      </c>
      <c r="D882" s="7" t="s">
        <v>1974</v>
      </c>
      <c r="E882" s="8">
        <v>33380</v>
      </c>
      <c r="F882" s="9">
        <v>44200</v>
      </c>
    </row>
    <row r="883" spans="1:6" ht="14.25" x14ac:dyDescent="0.45">
      <c r="A883" s="6" t="str">
        <f ca="1">IFERROR(__xludf.DUMMYFUNCTION("""COMPUTED_VALUE"""),"X2970")</f>
        <v>X2970</v>
      </c>
      <c r="B883" s="7" t="s">
        <v>1980</v>
      </c>
      <c r="C883" s="7" t="s">
        <v>1972</v>
      </c>
      <c r="D883" s="7" t="s">
        <v>1973</v>
      </c>
      <c r="E883" s="8">
        <v>33385</v>
      </c>
      <c r="F883" s="9">
        <v>43194</v>
      </c>
    </row>
    <row r="884" spans="1:6" ht="14.25" x14ac:dyDescent="0.45">
      <c r="A884" s="6" t="str">
        <f ca="1">IFERROR(__xludf.DUMMYFUNCTION("""COMPUTED_VALUE"""),"X2E6A")</f>
        <v>X2E6A</v>
      </c>
      <c r="B884" s="7" t="s">
        <v>1971</v>
      </c>
      <c r="C884" s="7" t="s">
        <v>1972</v>
      </c>
      <c r="D884" s="7" t="s">
        <v>2026</v>
      </c>
      <c r="E884" s="8">
        <v>33389</v>
      </c>
      <c r="F884" s="10" t="s">
        <v>2196</v>
      </c>
    </row>
    <row r="885" spans="1:6" ht="14.25" x14ac:dyDescent="0.45">
      <c r="A885" s="6" t="str">
        <f ca="1">IFERROR(__xludf.DUMMYFUNCTION("""COMPUTED_VALUE"""),"XRC6IPG")</f>
        <v>XRC6IPG</v>
      </c>
      <c r="B885" s="7" t="s">
        <v>1971</v>
      </c>
      <c r="C885" s="7" t="s">
        <v>1972</v>
      </c>
      <c r="D885" s="7" t="s">
        <v>1978</v>
      </c>
      <c r="E885" s="8">
        <v>33390</v>
      </c>
      <c r="F885" s="9">
        <v>44538</v>
      </c>
    </row>
    <row r="886" spans="1:6" ht="14.25" x14ac:dyDescent="0.45">
      <c r="A886" s="6" t="str">
        <f ca="1">IFERROR(__xludf.DUMMYFUNCTION("""COMPUTED_VALUE"""),"X2DUN")</f>
        <v>X2DUN</v>
      </c>
      <c r="B886" s="7" t="s">
        <v>1971</v>
      </c>
      <c r="C886" s="7" t="s">
        <v>1972</v>
      </c>
      <c r="D886" s="7" t="s">
        <v>1975</v>
      </c>
      <c r="E886" s="8">
        <v>33393</v>
      </c>
      <c r="F886" s="10" t="s">
        <v>2114</v>
      </c>
    </row>
    <row r="887" spans="1:6" ht="14.25" x14ac:dyDescent="0.45">
      <c r="A887" s="6" t="str">
        <f ca="1">IFERROR(__xludf.DUMMYFUNCTION("""COMPUTED_VALUE"""),"X2254")</f>
        <v>X2254</v>
      </c>
      <c r="B887" s="7" t="s">
        <v>1971</v>
      </c>
      <c r="C887" s="7" t="s">
        <v>1972</v>
      </c>
      <c r="D887" s="7" t="s">
        <v>1995</v>
      </c>
      <c r="E887" s="8">
        <v>33405</v>
      </c>
      <c r="F887" s="9">
        <v>42893</v>
      </c>
    </row>
    <row r="888" spans="1:6" ht="14.25" x14ac:dyDescent="0.45">
      <c r="A888" s="6" t="str">
        <f ca="1">IFERROR(__xludf.DUMMYFUNCTION("""COMPUTED_VALUE"""),"X1HP92P")</f>
        <v>X1HP92P</v>
      </c>
      <c r="B888" s="7" t="s">
        <v>1971</v>
      </c>
      <c r="C888" s="7" t="s">
        <v>1972</v>
      </c>
      <c r="D888" s="7" t="s">
        <v>1974</v>
      </c>
      <c r="E888" s="8">
        <v>33409</v>
      </c>
      <c r="F888" s="10" t="s">
        <v>2287</v>
      </c>
    </row>
    <row r="889" spans="1:6" ht="14.25" x14ac:dyDescent="0.45">
      <c r="A889" s="6" t="str">
        <f ca="1">IFERROR(__xludf.DUMMYFUNCTION("""COMPUTED_VALUE"""),"X8F6OS2")</f>
        <v>X8F6OS2</v>
      </c>
      <c r="B889" s="7" t="s">
        <v>1971</v>
      </c>
      <c r="C889" s="7" t="s">
        <v>1977</v>
      </c>
      <c r="D889" s="7" t="s">
        <v>1995</v>
      </c>
      <c r="E889" s="8">
        <v>33414</v>
      </c>
      <c r="F889" s="10" t="s">
        <v>2313</v>
      </c>
    </row>
    <row r="890" spans="1:6" ht="14.25" x14ac:dyDescent="0.45">
      <c r="A890" s="6" t="str">
        <f ca="1">IFERROR(__xludf.DUMMYFUNCTION("""COMPUTED_VALUE"""),"X2B12G")</f>
        <v>X2B12G</v>
      </c>
      <c r="B890" s="7" t="s">
        <v>2016</v>
      </c>
      <c r="C890" s="7" t="s">
        <v>1972</v>
      </c>
      <c r="D890" s="7" t="s">
        <v>1974</v>
      </c>
      <c r="E890" s="8">
        <v>33415</v>
      </c>
      <c r="F890" s="9">
        <v>44116</v>
      </c>
    </row>
    <row r="891" spans="1:6" ht="14.25" x14ac:dyDescent="0.45">
      <c r="A891" s="6" t="str">
        <f ca="1">IFERROR(__xludf.DUMMYFUNCTION("""COMPUTED_VALUE"""),"X29128")</f>
        <v>X29128</v>
      </c>
      <c r="B891" s="7" t="s">
        <v>1971</v>
      </c>
      <c r="C891" s="7" t="s">
        <v>1972</v>
      </c>
      <c r="D891" s="7" t="s">
        <v>1993</v>
      </c>
      <c r="E891" s="8">
        <v>33416</v>
      </c>
      <c r="F891" s="10" t="s">
        <v>2039</v>
      </c>
    </row>
    <row r="892" spans="1:6" ht="14.25" x14ac:dyDescent="0.45">
      <c r="A892" s="6" t="str">
        <f ca="1">IFERROR(__xludf.DUMMYFUNCTION("""COMPUTED_VALUE"""),"XW5QUB8")</f>
        <v>XW5QUB8</v>
      </c>
      <c r="B892" s="7" t="s">
        <v>1971</v>
      </c>
      <c r="C892" s="7" t="s">
        <v>1972</v>
      </c>
      <c r="D892" s="7" t="s">
        <v>2020</v>
      </c>
      <c r="E892" s="8">
        <v>33416</v>
      </c>
      <c r="F892" s="10" t="s">
        <v>2257</v>
      </c>
    </row>
    <row r="893" spans="1:6" ht="14.25" x14ac:dyDescent="0.45">
      <c r="A893" s="6" t="str">
        <f ca="1">IFERROR(__xludf.DUMMYFUNCTION("""COMPUTED_VALUE"""),"XIJQIQX")</f>
        <v>XIJQIQX</v>
      </c>
      <c r="B893" s="7" t="s">
        <v>1971</v>
      </c>
      <c r="C893" s="7" t="s">
        <v>1972</v>
      </c>
      <c r="D893" s="7" t="s">
        <v>1995</v>
      </c>
      <c r="E893" s="8">
        <v>33417</v>
      </c>
      <c r="F893" s="10" t="s">
        <v>2242</v>
      </c>
    </row>
    <row r="894" spans="1:6" ht="14.25" x14ac:dyDescent="0.45">
      <c r="A894" s="6" t="str">
        <f ca="1">IFERROR(__xludf.DUMMYFUNCTION("""COMPUTED_VALUE"""),"X29GT")</f>
        <v>X29GT</v>
      </c>
      <c r="B894" s="7" t="s">
        <v>1971</v>
      </c>
      <c r="C894" s="7" t="s">
        <v>1972</v>
      </c>
      <c r="D894" s="7" t="s">
        <v>1974</v>
      </c>
      <c r="E894" s="8">
        <v>33419</v>
      </c>
      <c r="F894" s="9">
        <v>44084</v>
      </c>
    </row>
    <row r="895" spans="1:6" ht="14.25" x14ac:dyDescent="0.45">
      <c r="A895" s="6" t="str">
        <f ca="1">IFERROR(__xludf.DUMMYFUNCTION("""COMPUTED_VALUE"""),"X473AVG")</f>
        <v>X473AVG</v>
      </c>
      <c r="B895" s="7" t="s">
        <v>1971</v>
      </c>
      <c r="C895" s="7" t="s">
        <v>1972</v>
      </c>
      <c r="D895" s="7" t="s">
        <v>1993</v>
      </c>
      <c r="E895" s="8">
        <v>33428</v>
      </c>
      <c r="F895" s="10" t="s">
        <v>2193</v>
      </c>
    </row>
    <row r="896" spans="1:6" ht="14.25" x14ac:dyDescent="0.45">
      <c r="A896" s="6" t="str">
        <f ca="1">IFERROR(__xludf.DUMMYFUNCTION("""COMPUTED_VALUE"""),"X2BXP")</f>
        <v>X2BXP</v>
      </c>
      <c r="B896" s="7" t="s">
        <v>2092</v>
      </c>
      <c r="C896" s="7" t="s">
        <v>1972</v>
      </c>
      <c r="D896" s="7" t="s">
        <v>2003</v>
      </c>
      <c r="E896" s="8">
        <v>33433</v>
      </c>
      <c r="F896" s="9">
        <v>43933</v>
      </c>
    </row>
    <row r="897" spans="1:6" ht="14.25" x14ac:dyDescent="0.45">
      <c r="A897" s="6" t="str">
        <f ca="1">IFERROR(__xludf.DUMMYFUNCTION("""COMPUTED_VALUE"""),"X3493")</f>
        <v>X3493</v>
      </c>
      <c r="B897" s="7" t="s">
        <v>1980</v>
      </c>
      <c r="C897" s="7" t="s">
        <v>1972</v>
      </c>
      <c r="D897" s="7" t="s">
        <v>2012</v>
      </c>
      <c r="E897" s="8">
        <v>33438</v>
      </c>
      <c r="F897" s="9">
        <v>43289</v>
      </c>
    </row>
    <row r="898" spans="1:6" ht="14.25" x14ac:dyDescent="0.45">
      <c r="A898" s="6" t="str">
        <f ca="1">IFERROR(__xludf.DUMMYFUNCTION("""COMPUTED_VALUE"""),"XZGB267")</f>
        <v>XZGB267</v>
      </c>
      <c r="B898" s="7" t="s">
        <v>1971</v>
      </c>
      <c r="C898" s="7" t="s">
        <v>1972</v>
      </c>
      <c r="D898" s="7" t="s">
        <v>1987</v>
      </c>
      <c r="E898" s="8">
        <v>33445</v>
      </c>
      <c r="F898" s="10" t="s">
        <v>2246</v>
      </c>
    </row>
    <row r="899" spans="1:6" ht="14.25" x14ac:dyDescent="0.45">
      <c r="A899" s="6" t="str">
        <f ca="1">IFERROR(__xludf.DUMMYFUNCTION("""COMPUTED_VALUE"""),"X21EU")</f>
        <v>X21EU</v>
      </c>
      <c r="B899" s="7" t="s">
        <v>1986</v>
      </c>
      <c r="C899" s="7" t="s">
        <v>1972</v>
      </c>
      <c r="D899" s="7" t="s">
        <v>1974</v>
      </c>
      <c r="E899" s="8">
        <v>33446</v>
      </c>
      <c r="F899" s="9">
        <v>44106</v>
      </c>
    </row>
    <row r="900" spans="1:6" ht="14.25" x14ac:dyDescent="0.45">
      <c r="A900" s="6" t="str">
        <f ca="1">IFERROR(__xludf.DUMMYFUNCTION("""COMPUTED_VALUE"""),"X3658")</f>
        <v>X3658</v>
      </c>
      <c r="B900" s="7" t="s">
        <v>1980</v>
      </c>
      <c r="C900" s="7" t="s">
        <v>1972</v>
      </c>
      <c r="D900" s="7" t="s">
        <v>1997</v>
      </c>
      <c r="E900" s="8">
        <v>33450</v>
      </c>
      <c r="F900" s="10" t="s">
        <v>2180</v>
      </c>
    </row>
    <row r="901" spans="1:6" ht="14.25" x14ac:dyDescent="0.45">
      <c r="A901" s="6" t="str">
        <f ca="1">IFERROR(__xludf.DUMMYFUNCTION("""COMPUTED_VALUE"""),"X3527")</f>
        <v>X3527</v>
      </c>
      <c r="B901" s="7" t="s">
        <v>1971</v>
      </c>
      <c r="C901" s="7" t="s">
        <v>1972</v>
      </c>
      <c r="D901" s="7" t="s">
        <v>1973</v>
      </c>
      <c r="E901" s="8">
        <v>33465</v>
      </c>
      <c r="F901" s="10" t="s">
        <v>2083</v>
      </c>
    </row>
    <row r="902" spans="1:6" ht="14.25" x14ac:dyDescent="0.45">
      <c r="A902" s="6" t="str">
        <f ca="1">IFERROR(__xludf.DUMMYFUNCTION("""COMPUTED_VALUE"""),"XCRUIQQ")</f>
        <v>XCRUIQQ</v>
      </c>
      <c r="B902" s="7" t="s">
        <v>1971</v>
      </c>
      <c r="C902" s="7" t="s">
        <v>1972</v>
      </c>
      <c r="D902" s="7" t="s">
        <v>1973</v>
      </c>
      <c r="E902" s="8">
        <v>33469</v>
      </c>
      <c r="F902" s="10" t="s">
        <v>2258</v>
      </c>
    </row>
    <row r="903" spans="1:6" ht="14.25" x14ac:dyDescent="0.45">
      <c r="A903" s="6" t="str">
        <f ca="1">IFERROR(__xludf.DUMMYFUNCTION("""COMPUTED_VALUE"""),"X2A73")</f>
        <v>X2A73</v>
      </c>
      <c r="B903" s="7" t="s">
        <v>1980</v>
      </c>
      <c r="C903" s="7" t="s">
        <v>1972</v>
      </c>
      <c r="D903" s="7" t="s">
        <v>2007</v>
      </c>
      <c r="E903" s="8">
        <v>33479</v>
      </c>
      <c r="F903" s="10" t="s">
        <v>2138</v>
      </c>
    </row>
    <row r="904" spans="1:6" ht="14.25" x14ac:dyDescent="0.45">
      <c r="A904" s="6" t="str">
        <f ca="1">IFERROR(__xludf.DUMMYFUNCTION("""COMPUTED_VALUE"""),"XNEYVXW")</f>
        <v>XNEYVXW</v>
      </c>
      <c r="B904" s="7" t="s">
        <v>1971</v>
      </c>
      <c r="C904" s="7" t="s">
        <v>1972</v>
      </c>
      <c r="D904" s="7" t="s">
        <v>1990</v>
      </c>
      <c r="E904" s="8">
        <v>33483</v>
      </c>
      <c r="F904" s="10" t="s">
        <v>2245</v>
      </c>
    </row>
    <row r="905" spans="1:6" ht="14.25" x14ac:dyDescent="0.45">
      <c r="A905" s="6" t="str">
        <f ca="1">IFERROR(__xludf.DUMMYFUNCTION("""COMPUTED_VALUE"""),"XS226JP")</f>
        <v>XS226JP</v>
      </c>
      <c r="B905" s="7" t="s">
        <v>1971</v>
      </c>
      <c r="C905" s="7" t="s">
        <v>1972</v>
      </c>
      <c r="D905" s="7" t="s">
        <v>1974</v>
      </c>
      <c r="E905" s="8">
        <v>33494</v>
      </c>
      <c r="F905" s="10" t="s">
        <v>2242</v>
      </c>
    </row>
    <row r="906" spans="1:6" ht="14.25" x14ac:dyDescent="0.45">
      <c r="A906" s="6" t="str">
        <f ca="1">IFERROR(__xludf.DUMMYFUNCTION("""COMPUTED_VALUE"""),"XLYY5US")</f>
        <v>XLYY5US</v>
      </c>
      <c r="B906" s="7" t="s">
        <v>2215</v>
      </c>
      <c r="C906" s="7" t="s">
        <v>2215</v>
      </c>
      <c r="D906" s="7" t="s">
        <v>2215</v>
      </c>
      <c r="E906" s="8">
        <v>33495</v>
      </c>
      <c r="F906" s="10" t="s">
        <v>2261</v>
      </c>
    </row>
    <row r="907" spans="1:6" ht="14.25" x14ac:dyDescent="0.45">
      <c r="A907" s="6" t="str">
        <f ca="1">IFERROR(__xludf.DUMMYFUNCTION("""COMPUTED_VALUE"""),"X1KTB")</f>
        <v>X1KTB</v>
      </c>
      <c r="B907" s="7" t="s">
        <v>1971</v>
      </c>
      <c r="C907" s="7" t="s">
        <v>1977</v>
      </c>
      <c r="D907" s="7" t="s">
        <v>1990</v>
      </c>
      <c r="E907" s="8">
        <v>33498</v>
      </c>
      <c r="F907" s="10" t="s">
        <v>2190</v>
      </c>
    </row>
    <row r="908" spans="1:6" ht="14.25" x14ac:dyDescent="0.45">
      <c r="A908" s="6" t="str">
        <f ca="1">IFERROR(__xludf.DUMMYFUNCTION("""COMPUTED_VALUE"""),"XPKPQXT")</f>
        <v>XPKPQXT</v>
      </c>
      <c r="B908" s="7" t="s">
        <v>1971</v>
      </c>
      <c r="C908" s="7" t="s">
        <v>1972</v>
      </c>
      <c r="D908" s="7" t="s">
        <v>1974</v>
      </c>
      <c r="E908" s="8">
        <v>33498</v>
      </c>
      <c r="F908" s="9">
        <v>44474</v>
      </c>
    </row>
    <row r="909" spans="1:6" ht="14.25" x14ac:dyDescent="0.45">
      <c r="A909" s="6" t="str">
        <f ca="1">IFERROR(__xludf.DUMMYFUNCTION("""COMPUTED_VALUE"""),"X8RMRNX")</f>
        <v>X8RMRNX</v>
      </c>
      <c r="B909" s="7" t="s">
        <v>1971</v>
      </c>
      <c r="C909" s="7" t="s">
        <v>1972</v>
      </c>
      <c r="D909" s="7" t="s">
        <v>1978</v>
      </c>
      <c r="E909" s="8">
        <v>33502</v>
      </c>
      <c r="F909" s="9">
        <v>44320</v>
      </c>
    </row>
    <row r="910" spans="1:6" ht="14.25" x14ac:dyDescent="0.45">
      <c r="A910" s="6" t="str">
        <f ca="1">IFERROR(__xludf.DUMMYFUNCTION("""COMPUTED_VALUE"""),"X1Y64")</f>
        <v>X1Y64</v>
      </c>
      <c r="B910" s="7" t="s">
        <v>1980</v>
      </c>
      <c r="C910" s="7" t="s">
        <v>1972</v>
      </c>
      <c r="D910" s="7" t="s">
        <v>2007</v>
      </c>
      <c r="E910" s="8">
        <v>33507</v>
      </c>
      <c r="F910" s="10" t="s">
        <v>2078</v>
      </c>
    </row>
    <row r="911" spans="1:6" ht="14.25" x14ac:dyDescent="0.45">
      <c r="A911" s="6" t="str">
        <f ca="1">IFERROR(__xludf.DUMMYFUNCTION("""COMPUTED_VALUE"""),"XEK7GJC")</f>
        <v>XEK7GJC</v>
      </c>
      <c r="B911" s="7" t="s">
        <v>1971</v>
      </c>
      <c r="C911" s="7" t="s">
        <v>1981</v>
      </c>
      <c r="D911" s="7" t="s">
        <v>1975</v>
      </c>
      <c r="E911" s="8">
        <v>33522</v>
      </c>
      <c r="F911" s="10" t="s">
        <v>2245</v>
      </c>
    </row>
    <row r="912" spans="1:6" ht="14.25" x14ac:dyDescent="0.45">
      <c r="A912" s="6" t="str">
        <f ca="1">IFERROR(__xludf.DUMMYFUNCTION("""COMPUTED_VALUE"""),"X29L2")</f>
        <v>X29L2</v>
      </c>
      <c r="B912" s="7" t="s">
        <v>2048</v>
      </c>
      <c r="C912" s="7" t="s">
        <v>1977</v>
      </c>
      <c r="D912" s="7" t="s">
        <v>1995</v>
      </c>
      <c r="E912" s="8">
        <v>33523</v>
      </c>
      <c r="F912" s="9">
        <v>43992</v>
      </c>
    </row>
    <row r="913" spans="1:6" ht="14.25" x14ac:dyDescent="0.45">
      <c r="A913" s="6" t="str">
        <f ca="1">IFERROR(__xludf.DUMMYFUNCTION("""COMPUTED_VALUE"""),"X4TOFQA")</f>
        <v>X4TOFQA</v>
      </c>
      <c r="B913" s="7" t="s">
        <v>1971</v>
      </c>
      <c r="C913" s="7" t="s">
        <v>1972</v>
      </c>
      <c r="D913" s="7" t="s">
        <v>1995</v>
      </c>
      <c r="E913" s="8">
        <v>33525</v>
      </c>
      <c r="F913" s="10" t="s">
        <v>2226</v>
      </c>
    </row>
    <row r="914" spans="1:6" ht="14.25" x14ac:dyDescent="0.45">
      <c r="A914" s="6" t="str">
        <f ca="1">IFERROR(__xludf.DUMMYFUNCTION("""COMPUTED_VALUE"""),"X1YO5")</f>
        <v>X1YO5</v>
      </c>
      <c r="B914" s="7" t="s">
        <v>1986</v>
      </c>
      <c r="C914" s="7" t="s">
        <v>1972</v>
      </c>
      <c r="D914" s="7" t="s">
        <v>1974</v>
      </c>
      <c r="E914" s="8">
        <v>33525</v>
      </c>
      <c r="F914" s="9">
        <v>43810</v>
      </c>
    </row>
    <row r="915" spans="1:6" ht="14.25" x14ac:dyDescent="0.45">
      <c r="A915" s="6" t="str">
        <f ca="1">IFERROR(__xludf.DUMMYFUNCTION("""COMPUTED_VALUE"""),"X1XJP")</f>
        <v>X1XJP</v>
      </c>
      <c r="B915" s="7" t="s">
        <v>1971</v>
      </c>
      <c r="C915" s="7" t="s">
        <v>1972</v>
      </c>
      <c r="D915" s="7" t="s">
        <v>1974</v>
      </c>
      <c r="E915" s="8">
        <v>33532</v>
      </c>
      <c r="F915" s="10" t="s">
        <v>2080</v>
      </c>
    </row>
    <row r="916" spans="1:6" ht="14.25" x14ac:dyDescent="0.45">
      <c r="A916" s="6" t="str">
        <f ca="1">IFERROR(__xludf.DUMMYFUNCTION("""COMPUTED_VALUE"""),"X2A7K")</f>
        <v>X2A7K</v>
      </c>
      <c r="B916" s="7" t="s">
        <v>1971</v>
      </c>
      <c r="C916" s="7" t="s">
        <v>1972</v>
      </c>
      <c r="D916" s="7" t="s">
        <v>1987</v>
      </c>
      <c r="E916" s="8">
        <v>33534</v>
      </c>
      <c r="F916" s="10" t="s">
        <v>2109</v>
      </c>
    </row>
    <row r="917" spans="1:6" ht="14.25" x14ac:dyDescent="0.45">
      <c r="A917" s="6" t="str">
        <f ca="1">IFERROR(__xludf.DUMMYFUNCTION("""COMPUTED_VALUE"""),"X2AH4")</f>
        <v>X2AH4</v>
      </c>
      <c r="B917" s="7" t="s">
        <v>1986</v>
      </c>
      <c r="C917" s="7" t="s">
        <v>1972</v>
      </c>
      <c r="D917" s="7" t="s">
        <v>1997</v>
      </c>
      <c r="E917" s="8">
        <v>33545</v>
      </c>
      <c r="F917" s="10" t="s">
        <v>2050</v>
      </c>
    </row>
    <row r="918" spans="1:6" ht="14.25" x14ac:dyDescent="0.45">
      <c r="A918" s="6" t="str">
        <f ca="1">IFERROR(__xludf.DUMMYFUNCTION("""COMPUTED_VALUE"""),"X1WZJ")</f>
        <v>X1WZJ</v>
      </c>
      <c r="B918" s="7" t="s">
        <v>1971</v>
      </c>
      <c r="C918" s="7" t="s">
        <v>1972</v>
      </c>
      <c r="D918" s="7" t="s">
        <v>2007</v>
      </c>
      <c r="E918" s="8">
        <v>33545</v>
      </c>
      <c r="F918" s="9">
        <v>43808</v>
      </c>
    </row>
    <row r="919" spans="1:6" ht="14.25" x14ac:dyDescent="0.45">
      <c r="A919" s="6" t="str">
        <f ca="1">IFERROR(__xludf.DUMMYFUNCTION("""COMPUTED_VALUE"""),"X1PCV")</f>
        <v>X1PCV</v>
      </c>
      <c r="B919" s="7" t="s">
        <v>1980</v>
      </c>
      <c r="C919" s="7" t="s">
        <v>1972</v>
      </c>
      <c r="D919" s="7" t="s">
        <v>1975</v>
      </c>
      <c r="E919" s="8">
        <v>33550</v>
      </c>
      <c r="F919" s="9">
        <v>43648</v>
      </c>
    </row>
    <row r="920" spans="1:6" ht="14.25" x14ac:dyDescent="0.45">
      <c r="A920" s="6" t="str">
        <f ca="1">IFERROR(__xludf.DUMMYFUNCTION("""COMPUTED_VALUE"""),"X27XP")</f>
        <v>X27XP</v>
      </c>
      <c r="B920" s="7" t="s">
        <v>1971</v>
      </c>
      <c r="C920" s="7" t="s">
        <v>1972</v>
      </c>
      <c r="D920" s="7" t="s">
        <v>1974</v>
      </c>
      <c r="E920" s="8">
        <v>33552</v>
      </c>
      <c r="F920" s="10" t="s">
        <v>2017</v>
      </c>
    </row>
    <row r="921" spans="1:6" ht="14.25" x14ac:dyDescent="0.45">
      <c r="A921" s="6" t="str">
        <f ca="1">IFERROR(__xludf.DUMMYFUNCTION("""COMPUTED_VALUE"""),"XY9UOXG")</f>
        <v>XY9UOXG</v>
      </c>
      <c r="B921" s="7" t="s">
        <v>1971</v>
      </c>
      <c r="C921" s="7" t="s">
        <v>1972</v>
      </c>
      <c r="D921" s="7" t="s">
        <v>1974</v>
      </c>
      <c r="E921" s="8">
        <v>33555</v>
      </c>
      <c r="F921" s="10" t="s">
        <v>2257</v>
      </c>
    </row>
    <row r="922" spans="1:6" ht="14.25" x14ac:dyDescent="0.45">
      <c r="A922" s="6" t="str">
        <f ca="1">IFERROR(__xludf.DUMMYFUNCTION("""COMPUTED_VALUE"""),"X6IACEJ")</f>
        <v>X6IACEJ</v>
      </c>
      <c r="B922" s="7" t="s">
        <v>1971</v>
      </c>
      <c r="C922" s="7" t="s">
        <v>1974</v>
      </c>
      <c r="D922" s="7" t="s">
        <v>1974</v>
      </c>
      <c r="E922" s="8">
        <v>33565</v>
      </c>
      <c r="F922" s="9">
        <v>44508</v>
      </c>
    </row>
    <row r="923" spans="1:6" ht="14.25" x14ac:dyDescent="0.45">
      <c r="A923" s="6" t="str">
        <f ca="1">IFERROR(__xludf.DUMMYFUNCTION("""COMPUTED_VALUE"""),"X2AKPXD")</f>
        <v>X2AKPXD</v>
      </c>
      <c r="B923" s="7" t="s">
        <v>1971</v>
      </c>
      <c r="C923" s="7" t="s">
        <v>1972</v>
      </c>
      <c r="D923" s="7" t="s">
        <v>1975</v>
      </c>
      <c r="E923" s="8">
        <v>33570</v>
      </c>
      <c r="F923" s="10" t="s">
        <v>2261</v>
      </c>
    </row>
    <row r="924" spans="1:6" ht="14.25" x14ac:dyDescent="0.45">
      <c r="A924" s="6" t="str">
        <f ca="1">IFERROR(__xludf.DUMMYFUNCTION("""COMPUTED_VALUE"""),"X2186")</f>
        <v>X2186</v>
      </c>
      <c r="B924" s="7" t="s">
        <v>1971</v>
      </c>
      <c r="C924" s="7" t="s">
        <v>1977</v>
      </c>
      <c r="D924" s="7" t="s">
        <v>1990</v>
      </c>
      <c r="E924" s="8">
        <v>33572</v>
      </c>
      <c r="F924" s="10" t="s">
        <v>2076</v>
      </c>
    </row>
    <row r="925" spans="1:6" ht="14.25" x14ac:dyDescent="0.45">
      <c r="A925" s="6" t="str">
        <f ca="1">IFERROR(__xludf.DUMMYFUNCTION("""COMPUTED_VALUE"""),"X295G")</f>
        <v>X295G</v>
      </c>
      <c r="B925" s="7" t="s">
        <v>1971</v>
      </c>
      <c r="C925" s="7" t="s">
        <v>1972</v>
      </c>
      <c r="D925" s="7" t="s">
        <v>1973</v>
      </c>
      <c r="E925" s="8">
        <v>33574</v>
      </c>
      <c r="F925" s="9">
        <v>43961</v>
      </c>
    </row>
    <row r="926" spans="1:6" ht="14.25" x14ac:dyDescent="0.45">
      <c r="A926" s="6" t="str">
        <f ca="1">IFERROR(__xludf.DUMMYFUNCTION("""COMPUTED_VALUE"""),"X2BJD")</f>
        <v>X2BJD</v>
      </c>
      <c r="B926" s="7" t="s">
        <v>1971</v>
      </c>
      <c r="C926" s="7" t="s">
        <v>1972</v>
      </c>
      <c r="D926" s="7" t="s">
        <v>2070</v>
      </c>
      <c r="E926" s="8">
        <v>33576</v>
      </c>
      <c r="F926" s="10" t="s">
        <v>2013</v>
      </c>
    </row>
    <row r="927" spans="1:6" ht="14.25" x14ac:dyDescent="0.45">
      <c r="A927" s="6" t="str">
        <f ca="1">IFERROR(__xludf.DUMMYFUNCTION("""COMPUTED_VALUE"""),"XTTYWG4")</f>
        <v>XTTYWG4</v>
      </c>
      <c r="B927" s="7" t="s">
        <v>1971</v>
      </c>
      <c r="C927" s="7" t="s">
        <v>1972</v>
      </c>
      <c r="D927" s="7" t="s">
        <v>1974</v>
      </c>
      <c r="E927" s="8">
        <v>33587</v>
      </c>
      <c r="F927" s="10" t="s">
        <v>2290</v>
      </c>
    </row>
    <row r="928" spans="1:6" ht="14.25" x14ac:dyDescent="0.45">
      <c r="A928" s="6" t="str">
        <f ca="1">IFERROR(__xludf.DUMMYFUNCTION("""COMPUTED_VALUE"""),"X2DQO")</f>
        <v>X2DQO</v>
      </c>
      <c r="B928" s="7" t="s">
        <v>1980</v>
      </c>
      <c r="C928" s="7" t="s">
        <v>1972</v>
      </c>
      <c r="D928" s="7" t="s">
        <v>1982</v>
      </c>
      <c r="E928" s="8">
        <v>33589</v>
      </c>
      <c r="F928" s="10" t="s">
        <v>2042</v>
      </c>
    </row>
    <row r="929" spans="1:6" ht="14.25" x14ac:dyDescent="0.45">
      <c r="A929" s="6" t="str">
        <f ca="1">IFERROR(__xludf.DUMMYFUNCTION("""COMPUTED_VALUE"""),"XSZ776O")</f>
        <v>XSZ776O</v>
      </c>
      <c r="B929" s="7" t="s">
        <v>1971</v>
      </c>
      <c r="C929" s="7" t="s">
        <v>1972</v>
      </c>
      <c r="D929" s="7" t="s">
        <v>1990</v>
      </c>
      <c r="E929" s="8">
        <v>33593</v>
      </c>
      <c r="F929" s="10" t="s">
        <v>2265</v>
      </c>
    </row>
    <row r="930" spans="1:6" ht="14.25" x14ac:dyDescent="0.45">
      <c r="A930" s="6" t="str">
        <f ca="1">IFERROR(__xludf.DUMMYFUNCTION("""COMPUTED_VALUE"""),"XJV7KBZ")</f>
        <v>XJV7KBZ</v>
      </c>
      <c r="B930" s="7" t="s">
        <v>1971</v>
      </c>
      <c r="C930" s="7" t="s">
        <v>1972</v>
      </c>
      <c r="D930" s="7" t="s">
        <v>1974</v>
      </c>
      <c r="E930" s="8">
        <v>33598</v>
      </c>
      <c r="F930" s="10" t="s">
        <v>2218</v>
      </c>
    </row>
    <row r="931" spans="1:6" ht="14.25" x14ac:dyDescent="0.45">
      <c r="A931" s="6" t="str">
        <f ca="1">IFERROR(__xludf.DUMMYFUNCTION("""COMPUTED_VALUE"""),"X1X1NY")</f>
        <v>X1X1NY</v>
      </c>
      <c r="B931" s="7" t="s">
        <v>1986</v>
      </c>
      <c r="C931" s="7" t="s">
        <v>1972</v>
      </c>
      <c r="D931" s="7" t="s">
        <v>1974</v>
      </c>
      <c r="E931" s="8">
        <v>33605</v>
      </c>
      <c r="F931" s="9">
        <v>43476</v>
      </c>
    </row>
    <row r="932" spans="1:6" ht="14.25" x14ac:dyDescent="0.45">
      <c r="A932" s="6" t="str">
        <f ca="1">IFERROR(__xludf.DUMMYFUNCTION("""COMPUTED_VALUE"""),"XE9EAKZ")</f>
        <v>XE9EAKZ</v>
      </c>
      <c r="B932" s="7" t="s">
        <v>1971</v>
      </c>
      <c r="C932" s="7" t="s">
        <v>1972</v>
      </c>
      <c r="D932" s="7" t="s">
        <v>1973</v>
      </c>
      <c r="E932" s="8">
        <v>33606</v>
      </c>
      <c r="F932" s="10" t="s">
        <v>2257</v>
      </c>
    </row>
    <row r="933" spans="1:6" ht="14.25" x14ac:dyDescent="0.45">
      <c r="A933" s="6" t="str">
        <f ca="1">IFERROR(__xludf.DUMMYFUNCTION("""COMPUTED_VALUE"""),"XS7SKIR")</f>
        <v>XS7SKIR</v>
      </c>
      <c r="B933" s="7" t="s">
        <v>2021</v>
      </c>
      <c r="C933" s="7" t="s">
        <v>1972</v>
      </c>
      <c r="D933" s="7" t="s">
        <v>2020</v>
      </c>
      <c r="E933" s="8">
        <v>33608</v>
      </c>
      <c r="F933" s="10" t="s">
        <v>2313</v>
      </c>
    </row>
    <row r="934" spans="1:6" ht="14.25" x14ac:dyDescent="0.45">
      <c r="A934" s="6" t="str">
        <f ca="1">IFERROR(__xludf.DUMMYFUNCTION("""COMPUTED_VALUE"""),"XLKA6UP")</f>
        <v>XLKA6UP</v>
      </c>
      <c r="B934" s="7" t="s">
        <v>1971</v>
      </c>
      <c r="C934" s="7" t="s">
        <v>1972</v>
      </c>
      <c r="D934" s="7" t="s">
        <v>2020</v>
      </c>
      <c r="E934" s="8">
        <v>33611</v>
      </c>
      <c r="F934" s="10" t="s">
        <v>2258</v>
      </c>
    </row>
    <row r="935" spans="1:6" ht="14.25" x14ac:dyDescent="0.45">
      <c r="A935" s="6" t="str">
        <f ca="1">IFERROR(__xludf.DUMMYFUNCTION("""COMPUTED_VALUE"""),"XW8K457")</f>
        <v>XW8K457</v>
      </c>
      <c r="B935" s="7" t="s">
        <v>1971</v>
      </c>
      <c r="C935" s="7" t="s">
        <v>1972</v>
      </c>
      <c r="D935" s="7" t="s">
        <v>1990</v>
      </c>
      <c r="E935" s="8">
        <v>33614</v>
      </c>
      <c r="F935" s="10" t="s">
        <v>2247</v>
      </c>
    </row>
    <row r="936" spans="1:6" ht="14.25" x14ac:dyDescent="0.45">
      <c r="A936" s="6" t="str">
        <f ca="1">IFERROR(__xludf.DUMMYFUNCTION("""COMPUTED_VALUE"""),"XN4B4LU")</f>
        <v>XN4B4LU</v>
      </c>
      <c r="B936" s="7" t="s">
        <v>1971</v>
      </c>
      <c r="C936" s="7" t="s">
        <v>1972</v>
      </c>
      <c r="D936" s="7" t="s">
        <v>1974</v>
      </c>
      <c r="E936" s="8">
        <v>33617</v>
      </c>
      <c r="F936" s="10" t="s">
        <v>2247</v>
      </c>
    </row>
    <row r="937" spans="1:6" ht="14.25" x14ac:dyDescent="0.45">
      <c r="A937" s="6" t="str">
        <f ca="1">IFERROR(__xludf.DUMMYFUNCTION("""COMPUTED_VALUE"""),"X29ZD")</f>
        <v>X29ZD</v>
      </c>
      <c r="B937" s="7" t="s">
        <v>1971</v>
      </c>
      <c r="C937" s="7" t="s">
        <v>1972</v>
      </c>
      <c r="D937" s="7" t="s">
        <v>1974</v>
      </c>
      <c r="E937" s="8">
        <v>33624</v>
      </c>
      <c r="F937" s="10" t="s">
        <v>2023</v>
      </c>
    </row>
    <row r="938" spans="1:6" ht="14.25" x14ac:dyDescent="0.45">
      <c r="A938" s="6" t="str">
        <f ca="1">IFERROR(__xludf.DUMMYFUNCTION("""COMPUTED_VALUE"""),"XFEWB9C")</f>
        <v>XFEWB9C</v>
      </c>
      <c r="B938" s="7" t="s">
        <v>1971</v>
      </c>
      <c r="C938" s="7" t="s">
        <v>1977</v>
      </c>
      <c r="D938" s="7" t="s">
        <v>1974</v>
      </c>
      <c r="E938" s="8">
        <v>33626</v>
      </c>
      <c r="F938" s="9">
        <v>44381</v>
      </c>
    </row>
    <row r="939" spans="1:6" ht="14.25" x14ac:dyDescent="0.45">
      <c r="A939" s="6" t="str">
        <f ca="1">IFERROR(__xludf.DUMMYFUNCTION("""COMPUTED_VALUE"""),"X28CJ")</f>
        <v>X28CJ</v>
      </c>
      <c r="B939" s="7" t="s">
        <v>1971</v>
      </c>
      <c r="C939" s="7" t="s">
        <v>1972</v>
      </c>
      <c r="D939" s="7" t="s">
        <v>1993</v>
      </c>
      <c r="E939" s="8">
        <v>33650</v>
      </c>
      <c r="F939" s="10" t="s">
        <v>2125</v>
      </c>
    </row>
    <row r="940" spans="1:6" ht="14.25" x14ac:dyDescent="0.45">
      <c r="A940" s="6" t="str">
        <f ca="1">IFERROR(__xludf.DUMMYFUNCTION("""COMPUTED_VALUE"""),"XYDPJWA")</f>
        <v>XYDPJWA</v>
      </c>
      <c r="B940" s="7" t="s">
        <v>1971</v>
      </c>
      <c r="C940" s="7" t="s">
        <v>1972</v>
      </c>
      <c r="D940" s="7" t="s">
        <v>1990</v>
      </c>
      <c r="E940" s="8">
        <v>33658</v>
      </c>
      <c r="F940" s="9">
        <v>44533</v>
      </c>
    </row>
    <row r="941" spans="1:6" ht="14.25" x14ac:dyDescent="0.45">
      <c r="A941" s="6" t="str">
        <f ca="1">IFERROR(__xludf.DUMMYFUNCTION("""COMPUTED_VALUE"""),"X2CKW")</f>
        <v>X2CKW</v>
      </c>
      <c r="B941" s="7" t="s">
        <v>1971</v>
      </c>
      <c r="C941" s="7" t="s">
        <v>1972</v>
      </c>
      <c r="D941" s="7" t="s">
        <v>1973</v>
      </c>
      <c r="E941" s="8">
        <v>33665</v>
      </c>
      <c r="F941" s="10" t="s">
        <v>2030</v>
      </c>
    </row>
    <row r="942" spans="1:6" ht="14.25" x14ac:dyDescent="0.45">
      <c r="A942" s="6" t="str">
        <f ca="1">IFERROR(__xludf.DUMMYFUNCTION("""COMPUTED_VALUE"""),"XYLZKPN")</f>
        <v>XYLZKPN</v>
      </c>
      <c r="B942" s="7" t="s">
        <v>1971</v>
      </c>
      <c r="C942" s="7" t="s">
        <v>1972</v>
      </c>
      <c r="D942" s="7" t="s">
        <v>1975</v>
      </c>
      <c r="E942" s="8">
        <v>33666</v>
      </c>
      <c r="F942" s="10" t="s">
        <v>2245</v>
      </c>
    </row>
    <row r="943" spans="1:6" ht="14.25" x14ac:dyDescent="0.45">
      <c r="A943" s="6" t="str">
        <f ca="1">IFERROR(__xludf.DUMMYFUNCTION("""COMPUTED_VALUE"""),"X1Y4KGG")</f>
        <v>X1Y4KGG</v>
      </c>
      <c r="B943" s="7" t="s">
        <v>2021</v>
      </c>
      <c r="C943" s="7" t="s">
        <v>1972</v>
      </c>
      <c r="D943" s="7" t="s">
        <v>2007</v>
      </c>
      <c r="E943" s="8">
        <v>33669</v>
      </c>
      <c r="F943" s="10" t="s">
        <v>2193</v>
      </c>
    </row>
    <row r="944" spans="1:6" ht="14.25" x14ac:dyDescent="0.45">
      <c r="A944" s="6" t="str">
        <f ca="1">IFERROR(__xludf.DUMMYFUNCTION("""COMPUTED_VALUE"""),"X3121")</f>
        <v>X3121</v>
      </c>
      <c r="B944" s="7" t="s">
        <v>1980</v>
      </c>
      <c r="C944" s="7" t="s">
        <v>1972</v>
      </c>
      <c r="D944" s="7" t="s">
        <v>1990</v>
      </c>
      <c r="E944" s="8">
        <v>33672</v>
      </c>
      <c r="F944" s="9">
        <v>43257</v>
      </c>
    </row>
    <row r="945" spans="1:6" ht="14.25" x14ac:dyDescent="0.45">
      <c r="A945" s="6" t="str">
        <f ca="1">IFERROR(__xludf.DUMMYFUNCTION("""COMPUTED_VALUE"""),"X2C5J")</f>
        <v>X2C5J</v>
      </c>
      <c r="B945" s="7" t="s">
        <v>1986</v>
      </c>
      <c r="C945" s="7" t="s">
        <v>1972</v>
      </c>
      <c r="D945" s="7" t="s">
        <v>1974</v>
      </c>
      <c r="E945" s="8">
        <v>33674</v>
      </c>
      <c r="F945" s="9">
        <v>44086</v>
      </c>
    </row>
    <row r="946" spans="1:6" ht="14.25" x14ac:dyDescent="0.45">
      <c r="A946" s="6" t="str">
        <f ca="1">IFERROR(__xludf.DUMMYFUNCTION("""COMPUTED_VALUE"""),"X242E1K")</f>
        <v>X242E1K</v>
      </c>
      <c r="B946" s="7" t="s">
        <v>1971</v>
      </c>
      <c r="C946" s="7" t="s">
        <v>1972</v>
      </c>
      <c r="D946" s="7" t="s">
        <v>1974</v>
      </c>
      <c r="E946" s="8">
        <v>33674</v>
      </c>
      <c r="F946" s="10" t="s">
        <v>2242</v>
      </c>
    </row>
    <row r="947" spans="1:6" ht="14.25" x14ac:dyDescent="0.45">
      <c r="A947" s="6" t="str">
        <f ca="1">IFERROR(__xludf.DUMMYFUNCTION("""COMPUTED_VALUE"""),"X2BB8")</f>
        <v>X2BB8</v>
      </c>
      <c r="B947" s="7" t="s">
        <v>1971</v>
      </c>
      <c r="C947" s="7" t="s">
        <v>1972</v>
      </c>
      <c r="D947" s="7" t="s">
        <v>1995</v>
      </c>
      <c r="E947" s="8">
        <v>33675</v>
      </c>
      <c r="F947" s="10" t="s">
        <v>2029</v>
      </c>
    </row>
    <row r="948" spans="1:6" ht="14.25" x14ac:dyDescent="0.45">
      <c r="A948" s="6" t="str">
        <f ca="1">IFERROR(__xludf.DUMMYFUNCTION("""COMPUTED_VALUE"""),"XG8A11X")</f>
        <v>XG8A11X</v>
      </c>
      <c r="B948" s="7" t="s">
        <v>1971</v>
      </c>
      <c r="C948" s="7" t="s">
        <v>1972</v>
      </c>
      <c r="D948" s="7" t="s">
        <v>1974</v>
      </c>
      <c r="E948" s="8">
        <v>33676</v>
      </c>
      <c r="F948" s="9">
        <v>44290</v>
      </c>
    </row>
    <row r="949" spans="1:6" ht="14.25" x14ac:dyDescent="0.45">
      <c r="A949" s="6" t="str">
        <f ca="1">IFERROR(__xludf.DUMMYFUNCTION("""COMPUTED_VALUE"""),"X3467")</f>
        <v>X3467</v>
      </c>
      <c r="B949" s="7" t="s">
        <v>1971</v>
      </c>
      <c r="C949" s="7" t="s">
        <v>1977</v>
      </c>
      <c r="D949" s="7" t="s">
        <v>2026</v>
      </c>
      <c r="E949" s="8">
        <v>33682</v>
      </c>
      <c r="F949" s="9">
        <v>43259</v>
      </c>
    </row>
    <row r="950" spans="1:6" ht="14.25" x14ac:dyDescent="0.45">
      <c r="A950" s="6" t="str">
        <f ca="1">IFERROR(__xludf.DUMMYFUNCTION("""COMPUTED_VALUE"""),"X2DSA")</f>
        <v>X2DSA</v>
      </c>
      <c r="B950" s="7" t="s">
        <v>1971</v>
      </c>
      <c r="C950" s="7" t="s">
        <v>1972</v>
      </c>
      <c r="D950" s="7" t="s">
        <v>1978</v>
      </c>
      <c r="E950" s="8">
        <v>33685</v>
      </c>
      <c r="F950" s="10" t="s">
        <v>2114</v>
      </c>
    </row>
    <row r="951" spans="1:6" ht="14.25" x14ac:dyDescent="0.45">
      <c r="A951" s="6" t="str">
        <f ca="1">IFERROR(__xludf.DUMMYFUNCTION("""COMPUTED_VALUE"""),"X3515")</f>
        <v>X3515</v>
      </c>
      <c r="B951" s="7" t="s">
        <v>1971</v>
      </c>
      <c r="C951" s="7" t="s">
        <v>1972</v>
      </c>
      <c r="D951" s="7" t="s">
        <v>1974</v>
      </c>
      <c r="E951" s="8">
        <v>33687</v>
      </c>
      <c r="F951" s="9">
        <v>43320</v>
      </c>
    </row>
    <row r="952" spans="1:6" ht="14.25" x14ac:dyDescent="0.45">
      <c r="A952" s="6" t="str">
        <f ca="1">IFERROR(__xludf.DUMMYFUNCTION("""COMPUTED_VALUE"""),"X1V6L")</f>
        <v>X1V6L</v>
      </c>
      <c r="B952" s="7" t="s">
        <v>1980</v>
      </c>
      <c r="C952" s="7" t="s">
        <v>1972</v>
      </c>
      <c r="D952" s="7" t="s">
        <v>1974</v>
      </c>
      <c r="E952" s="8">
        <v>33688</v>
      </c>
      <c r="F952" s="9">
        <v>43593</v>
      </c>
    </row>
    <row r="953" spans="1:6" ht="14.25" x14ac:dyDescent="0.45">
      <c r="A953" s="6" t="str">
        <f ca="1">IFERROR(__xludf.DUMMYFUNCTION("""COMPUTED_VALUE"""),"XFAYYM8")</f>
        <v>XFAYYM8</v>
      </c>
      <c r="B953" s="7" t="s">
        <v>1971</v>
      </c>
      <c r="C953" s="7" t="s">
        <v>1972</v>
      </c>
      <c r="D953" s="7" t="s">
        <v>1997</v>
      </c>
      <c r="E953" s="8">
        <v>33699</v>
      </c>
      <c r="F953" s="10" t="s">
        <v>2247</v>
      </c>
    </row>
    <row r="954" spans="1:6" ht="14.25" x14ac:dyDescent="0.45">
      <c r="A954" s="6" t="str">
        <f ca="1">IFERROR(__xludf.DUMMYFUNCTION("""COMPUTED_VALUE"""),"XJURYNV")</f>
        <v>XJURYNV</v>
      </c>
      <c r="B954" s="7" t="s">
        <v>1971</v>
      </c>
      <c r="C954" s="7" t="s">
        <v>1972</v>
      </c>
      <c r="D954" s="7" t="s">
        <v>1974</v>
      </c>
      <c r="E954" s="8">
        <v>33702</v>
      </c>
      <c r="F954" s="10" t="s">
        <v>2216</v>
      </c>
    </row>
    <row r="955" spans="1:6" ht="14.25" x14ac:dyDescent="0.45">
      <c r="A955" s="6" t="str">
        <f ca="1">IFERROR(__xludf.DUMMYFUNCTION("""COMPUTED_VALUE"""),"XQ2T9GJ")</f>
        <v>XQ2T9GJ</v>
      </c>
      <c r="B955" s="7" t="s">
        <v>1971</v>
      </c>
      <c r="C955" s="7" t="s">
        <v>1974</v>
      </c>
      <c r="D955" s="7" t="s">
        <v>1997</v>
      </c>
      <c r="E955" s="8">
        <v>33706</v>
      </c>
      <c r="F955" s="10" t="s">
        <v>2284</v>
      </c>
    </row>
    <row r="956" spans="1:6" ht="14.25" x14ac:dyDescent="0.45">
      <c r="A956" s="6" t="str">
        <f ca="1">IFERROR(__xludf.DUMMYFUNCTION("""COMPUTED_VALUE"""),"XA54A5A")</f>
        <v>XA54A5A</v>
      </c>
      <c r="B956" s="7" t="s">
        <v>1971</v>
      </c>
      <c r="C956" s="7" t="s">
        <v>1972</v>
      </c>
      <c r="D956" s="7" t="s">
        <v>1974</v>
      </c>
      <c r="E956" s="8">
        <v>33711</v>
      </c>
      <c r="F956" s="9">
        <v>44447</v>
      </c>
    </row>
    <row r="957" spans="1:6" ht="14.25" x14ac:dyDescent="0.45">
      <c r="A957" s="6" t="str">
        <f ca="1">IFERROR(__xludf.DUMMYFUNCTION("""COMPUTED_VALUE"""),"X8VQUHX")</f>
        <v>X8VQUHX</v>
      </c>
      <c r="B957" s="7" t="s">
        <v>1971</v>
      </c>
      <c r="C957" s="7" t="s">
        <v>1972</v>
      </c>
      <c r="D957" s="7" t="s">
        <v>1974</v>
      </c>
      <c r="E957" s="8">
        <v>33716</v>
      </c>
      <c r="F957" s="10" t="s">
        <v>2245</v>
      </c>
    </row>
    <row r="958" spans="1:6" ht="14.25" x14ac:dyDescent="0.45">
      <c r="A958" s="6" t="str">
        <f ca="1">IFERROR(__xludf.DUMMYFUNCTION("""COMPUTED_VALUE"""),"XDZLKJS")</f>
        <v>XDZLKJS</v>
      </c>
      <c r="B958" s="7" t="s">
        <v>1971</v>
      </c>
      <c r="C958" s="7" t="s">
        <v>1981</v>
      </c>
      <c r="D958" s="7" t="s">
        <v>1993</v>
      </c>
      <c r="E958" s="8">
        <v>33721</v>
      </c>
      <c r="F958" s="10" t="s">
        <v>2247</v>
      </c>
    </row>
    <row r="959" spans="1:6" ht="14.25" x14ac:dyDescent="0.45">
      <c r="A959" s="6" t="str">
        <f ca="1">IFERROR(__xludf.DUMMYFUNCTION("""COMPUTED_VALUE"""),"XJPYV51")</f>
        <v>XJPYV51</v>
      </c>
      <c r="B959" s="7" t="s">
        <v>1971</v>
      </c>
      <c r="C959" s="7" t="s">
        <v>1972</v>
      </c>
      <c r="D959" s="7" t="s">
        <v>1983</v>
      </c>
      <c r="E959" s="8">
        <v>33724</v>
      </c>
      <c r="F959" s="10" t="s">
        <v>2283</v>
      </c>
    </row>
    <row r="960" spans="1:6" ht="14.25" x14ac:dyDescent="0.45">
      <c r="A960" s="6" t="str">
        <f ca="1">IFERROR(__xludf.DUMMYFUNCTION("""COMPUTED_VALUE"""),"X3WOC8U")</f>
        <v>X3WOC8U</v>
      </c>
      <c r="B960" s="7" t="s">
        <v>1971</v>
      </c>
      <c r="C960" s="7" t="s">
        <v>1974</v>
      </c>
      <c r="D960" s="7" t="s">
        <v>1974</v>
      </c>
      <c r="E960" s="8">
        <v>33727</v>
      </c>
      <c r="F960" s="9">
        <v>44442</v>
      </c>
    </row>
    <row r="961" spans="1:6" ht="14.25" x14ac:dyDescent="0.45">
      <c r="A961" s="6" t="str">
        <f ca="1">IFERROR(__xludf.DUMMYFUNCTION("""COMPUTED_VALUE"""),"X1X8F")</f>
        <v>X1X8F</v>
      </c>
      <c r="B961" s="7" t="s">
        <v>1980</v>
      </c>
      <c r="C961" s="7" t="s">
        <v>1972</v>
      </c>
      <c r="D961" s="7" t="s">
        <v>2007</v>
      </c>
      <c r="E961" s="8">
        <v>33730</v>
      </c>
      <c r="F961" s="9">
        <v>43656</v>
      </c>
    </row>
    <row r="962" spans="1:6" ht="14.25" x14ac:dyDescent="0.45">
      <c r="A962" s="6" t="str">
        <f ca="1">IFERROR(__xludf.DUMMYFUNCTION("""COMPUTED_VALUE"""),"X2AMK")</f>
        <v>X2AMK</v>
      </c>
      <c r="B962" s="7" t="s">
        <v>1971</v>
      </c>
      <c r="C962" s="7" t="s">
        <v>1972</v>
      </c>
      <c r="D962" s="7" t="s">
        <v>1975</v>
      </c>
      <c r="E962" s="8">
        <v>33736</v>
      </c>
      <c r="F962" s="9">
        <v>43872</v>
      </c>
    </row>
    <row r="963" spans="1:6" ht="14.25" x14ac:dyDescent="0.45">
      <c r="A963" s="6" t="str">
        <f ca="1">IFERROR(__xludf.DUMMYFUNCTION("""COMPUTED_VALUE"""),"X1Y4E")</f>
        <v>X1Y4E</v>
      </c>
      <c r="B963" s="7" t="s">
        <v>1986</v>
      </c>
      <c r="C963" s="7" t="s">
        <v>1972</v>
      </c>
      <c r="D963" s="7" t="s">
        <v>1984</v>
      </c>
      <c r="E963" s="8">
        <v>33748</v>
      </c>
      <c r="F963" s="10" t="s">
        <v>2279</v>
      </c>
    </row>
    <row r="964" spans="1:6" ht="14.25" x14ac:dyDescent="0.45">
      <c r="A964" s="6" t="str">
        <f ca="1">IFERROR(__xludf.DUMMYFUNCTION("""COMPUTED_VALUE"""),"X298R")</f>
        <v>X298R</v>
      </c>
      <c r="B964" s="7" t="s">
        <v>1986</v>
      </c>
      <c r="C964" s="7" t="s">
        <v>1972</v>
      </c>
      <c r="D964" s="7" t="s">
        <v>1974</v>
      </c>
      <c r="E964" s="8">
        <v>33751</v>
      </c>
      <c r="F964" s="9">
        <v>43961</v>
      </c>
    </row>
    <row r="965" spans="1:6" ht="14.25" x14ac:dyDescent="0.45">
      <c r="A965" s="6" t="str">
        <f ca="1">IFERROR(__xludf.DUMMYFUNCTION("""COMPUTED_VALUE"""),"X2DQP")</f>
        <v>X2DQP</v>
      </c>
      <c r="B965" s="7" t="s">
        <v>1971</v>
      </c>
      <c r="C965" s="7" t="s">
        <v>1972</v>
      </c>
      <c r="D965" s="7" t="s">
        <v>1975</v>
      </c>
      <c r="E965" s="8">
        <v>33762</v>
      </c>
      <c r="F965" s="10" t="s">
        <v>2042</v>
      </c>
    </row>
    <row r="966" spans="1:6" ht="14.25" x14ac:dyDescent="0.45">
      <c r="A966" s="6" t="str">
        <f ca="1">IFERROR(__xludf.DUMMYFUNCTION("""COMPUTED_VALUE"""),"X1X5N")</f>
        <v>X1X5N</v>
      </c>
      <c r="B966" s="7" t="s">
        <v>1971</v>
      </c>
      <c r="C966" s="7" t="s">
        <v>1972</v>
      </c>
      <c r="D966" s="7" t="s">
        <v>2070</v>
      </c>
      <c r="E966" s="8">
        <v>33764</v>
      </c>
      <c r="F966" s="10" t="s">
        <v>2310</v>
      </c>
    </row>
    <row r="967" spans="1:6" ht="14.25" x14ac:dyDescent="0.45">
      <c r="A967" s="6" t="str">
        <f ca="1">IFERROR(__xludf.DUMMYFUNCTION("""COMPUTED_VALUE"""),"XKICCU6")</f>
        <v>XKICCU6</v>
      </c>
      <c r="B967" s="7" t="s">
        <v>1971</v>
      </c>
      <c r="C967" s="7" t="s">
        <v>1972</v>
      </c>
      <c r="D967" s="7" t="s">
        <v>1997</v>
      </c>
      <c r="E967" s="8">
        <v>33772</v>
      </c>
      <c r="F967" s="10" t="s">
        <v>2258</v>
      </c>
    </row>
    <row r="968" spans="1:6" ht="14.25" x14ac:dyDescent="0.45">
      <c r="A968" s="6" t="str">
        <f ca="1">IFERROR(__xludf.DUMMYFUNCTION("""COMPUTED_VALUE"""),"XCP8TKG")</f>
        <v>XCP8TKG</v>
      </c>
      <c r="B968" s="7" t="s">
        <v>1971</v>
      </c>
      <c r="C968" s="7" t="s">
        <v>1972</v>
      </c>
      <c r="D968" s="7" t="s">
        <v>1997</v>
      </c>
      <c r="E968" s="8">
        <v>33773</v>
      </c>
      <c r="F968" s="9">
        <v>44386</v>
      </c>
    </row>
    <row r="969" spans="1:6" ht="14.25" x14ac:dyDescent="0.45">
      <c r="A969" s="6" t="str">
        <f ca="1">IFERROR(__xludf.DUMMYFUNCTION("""COMPUTED_VALUE"""),"XD165GU")</f>
        <v>XD165GU</v>
      </c>
      <c r="B969" s="7" t="s">
        <v>1971</v>
      </c>
      <c r="C969" s="7" t="s">
        <v>1972</v>
      </c>
      <c r="D969" s="7" t="s">
        <v>1990</v>
      </c>
      <c r="E969" s="8">
        <v>33774</v>
      </c>
      <c r="F969" s="10" t="s">
        <v>2305</v>
      </c>
    </row>
    <row r="970" spans="1:6" ht="14.25" x14ac:dyDescent="0.45">
      <c r="A970" s="6" t="str">
        <f ca="1">IFERROR(__xludf.DUMMYFUNCTION("""COMPUTED_VALUE"""),"X2D5L")</f>
        <v>X2D5L</v>
      </c>
      <c r="B970" s="7" t="s">
        <v>1971</v>
      </c>
      <c r="C970" s="7" t="s">
        <v>1972</v>
      </c>
      <c r="D970" s="7" t="s">
        <v>1974</v>
      </c>
      <c r="E970" s="8">
        <v>33776</v>
      </c>
      <c r="F970" s="9">
        <v>44378</v>
      </c>
    </row>
    <row r="971" spans="1:6" ht="14.25" x14ac:dyDescent="0.45">
      <c r="A971" s="6" t="str">
        <f ca="1">IFERROR(__xludf.DUMMYFUNCTION("""COMPUTED_VALUE"""),"XRD2SHX")</f>
        <v>XRD2SHX</v>
      </c>
      <c r="B971" s="7" t="s">
        <v>1971</v>
      </c>
      <c r="C971" s="7" t="s">
        <v>1972</v>
      </c>
      <c r="D971" s="7" t="s">
        <v>2072</v>
      </c>
      <c r="E971" s="8">
        <v>33786</v>
      </c>
      <c r="F971" s="10" t="s">
        <v>2229</v>
      </c>
    </row>
    <row r="972" spans="1:6" ht="14.25" x14ac:dyDescent="0.45">
      <c r="A972" s="6" t="str">
        <f ca="1">IFERROR(__xludf.DUMMYFUNCTION("""COMPUTED_VALUE"""),"XUDB88I")</f>
        <v>XUDB88I</v>
      </c>
      <c r="B972" s="7" t="s">
        <v>1971</v>
      </c>
      <c r="C972" s="7" t="s">
        <v>1996</v>
      </c>
      <c r="D972" s="7" t="s">
        <v>1997</v>
      </c>
      <c r="E972" s="8">
        <v>33787</v>
      </c>
      <c r="F972" s="9">
        <v>44472</v>
      </c>
    </row>
    <row r="973" spans="1:6" ht="14.25" x14ac:dyDescent="0.45">
      <c r="A973" s="6" t="str">
        <f ca="1">IFERROR(__xludf.DUMMYFUNCTION("""COMPUTED_VALUE"""),"XO8B44Y")</f>
        <v>XO8B44Y</v>
      </c>
      <c r="B973" s="7" t="s">
        <v>1971</v>
      </c>
      <c r="C973" s="7" t="s">
        <v>1977</v>
      </c>
      <c r="D973" s="7" t="s">
        <v>1993</v>
      </c>
      <c r="E973" s="8">
        <v>33795</v>
      </c>
      <c r="F973" s="10" t="s">
        <v>2224</v>
      </c>
    </row>
    <row r="974" spans="1:6" ht="14.25" x14ac:dyDescent="0.45">
      <c r="A974" s="6" t="str">
        <f ca="1">IFERROR(__xludf.DUMMYFUNCTION("""COMPUTED_VALUE"""),"X2DG4")</f>
        <v>X2DG4</v>
      </c>
      <c r="B974" s="7" t="s">
        <v>1971</v>
      </c>
      <c r="C974" s="7" t="s">
        <v>1972</v>
      </c>
      <c r="D974" s="7" t="s">
        <v>2072</v>
      </c>
      <c r="E974" s="8">
        <v>33811</v>
      </c>
      <c r="F974" s="10" t="s">
        <v>2046</v>
      </c>
    </row>
    <row r="975" spans="1:6" ht="14.25" x14ac:dyDescent="0.45">
      <c r="A975" s="6" t="str">
        <f ca="1">IFERROR(__xludf.DUMMYFUNCTION("""COMPUTED_VALUE"""),"XL6QQ8R")</f>
        <v>XL6QQ8R</v>
      </c>
      <c r="B975" s="7" t="s">
        <v>1980</v>
      </c>
      <c r="C975" s="7" t="s">
        <v>1977</v>
      </c>
      <c r="D975" s="7" t="s">
        <v>1987</v>
      </c>
      <c r="E975" s="8">
        <v>33811</v>
      </c>
      <c r="F975" s="9">
        <v>44260</v>
      </c>
    </row>
    <row r="976" spans="1:6" ht="14.25" x14ac:dyDescent="0.45">
      <c r="A976" s="6" t="str">
        <f ca="1">IFERROR(__xludf.DUMMYFUNCTION("""COMPUTED_VALUE"""),"X2BWG")</f>
        <v>X2BWG</v>
      </c>
      <c r="B976" s="7" t="s">
        <v>1971</v>
      </c>
      <c r="C976" s="7" t="s">
        <v>1972</v>
      </c>
      <c r="D976" s="7" t="s">
        <v>1974</v>
      </c>
      <c r="E976" s="8">
        <v>33813</v>
      </c>
      <c r="F976" s="9">
        <v>43933</v>
      </c>
    </row>
    <row r="977" spans="1:6" ht="14.25" x14ac:dyDescent="0.45">
      <c r="A977" s="6" t="str">
        <f ca="1">IFERROR(__xludf.DUMMYFUNCTION("""COMPUTED_VALUE"""),"X2CAF")</f>
        <v>X2CAF</v>
      </c>
      <c r="B977" s="7" t="s">
        <v>1986</v>
      </c>
      <c r="C977" s="7" t="s">
        <v>1972</v>
      </c>
      <c r="D977" s="7" t="s">
        <v>1997</v>
      </c>
      <c r="E977" s="8">
        <v>33813</v>
      </c>
      <c r="F977" s="10" t="s">
        <v>2035</v>
      </c>
    </row>
    <row r="978" spans="1:6" ht="14.25" x14ac:dyDescent="0.45">
      <c r="A978" s="6" t="str">
        <f ca="1">IFERROR(__xludf.DUMMYFUNCTION("""COMPUTED_VALUE"""),"X2956")</f>
        <v>X2956</v>
      </c>
      <c r="B978" s="7" t="s">
        <v>1986</v>
      </c>
      <c r="C978" s="7" t="s">
        <v>1972</v>
      </c>
      <c r="D978" s="7" t="s">
        <v>1982</v>
      </c>
      <c r="E978" s="8">
        <v>33824</v>
      </c>
      <c r="F978" s="10" t="s">
        <v>2031</v>
      </c>
    </row>
    <row r="979" spans="1:6" ht="14.25" x14ac:dyDescent="0.45">
      <c r="A979" s="6" t="str">
        <f ca="1">IFERROR(__xludf.DUMMYFUNCTION("""COMPUTED_VALUE"""),"X9I5ZXV")</f>
        <v>X9I5ZXV</v>
      </c>
      <c r="B979" s="7" t="s">
        <v>1971</v>
      </c>
      <c r="C979" s="7" t="s">
        <v>1972</v>
      </c>
      <c r="D979" s="7" t="s">
        <v>1993</v>
      </c>
      <c r="E979" s="8">
        <v>33824</v>
      </c>
      <c r="F979" s="10" t="s">
        <v>2192</v>
      </c>
    </row>
    <row r="980" spans="1:6" ht="14.25" x14ac:dyDescent="0.45">
      <c r="A980" s="6" t="str">
        <f ca="1">IFERROR(__xludf.DUMMYFUNCTION("""COMPUTED_VALUE"""),"X2916U")</f>
        <v>X2916U</v>
      </c>
      <c r="B980" s="7" t="s">
        <v>1971</v>
      </c>
      <c r="C980" s="7" t="s">
        <v>1972</v>
      </c>
      <c r="D980" s="7" t="s">
        <v>1974</v>
      </c>
      <c r="E980" s="8">
        <v>33839</v>
      </c>
      <c r="F980" s="10" t="s">
        <v>1979</v>
      </c>
    </row>
    <row r="981" spans="1:6" ht="14.25" x14ac:dyDescent="0.45">
      <c r="A981" s="6" t="str">
        <f ca="1">IFERROR(__xludf.DUMMYFUNCTION("""COMPUTED_VALUE"""),"XOOKGS6")</f>
        <v>XOOKGS6</v>
      </c>
      <c r="B981" s="7" t="s">
        <v>1971</v>
      </c>
      <c r="C981" s="7" t="s">
        <v>1974</v>
      </c>
      <c r="D981" s="7" t="s">
        <v>1997</v>
      </c>
      <c r="E981" s="8">
        <v>33847</v>
      </c>
      <c r="F981" s="10" t="s">
        <v>2218</v>
      </c>
    </row>
    <row r="982" spans="1:6" ht="14.25" x14ac:dyDescent="0.45">
      <c r="A982" s="6" t="str">
        <f ca="1">IFERROR(__xludf.DUMMYFUNCTION("""COMPUTED_VALUE"""),"XA84CXR")</f>
        <v>XA84CXR</v>
      </c>
      <c r="B982" s="7" t="s">
        <v>1971</v>
      </c>
      <c r="C982" s="7" t="s">
        <v>1996</v>
      </c>
      <c r="D982" s="7" t="s">
        <v>1997</v>
      </c>
      <c r="E982" s="8">
        <v>33850</v>
      </c>
      <c r="F982" s="10" t="s">
        <v>2245</v>
      </c>
    </row>
    <row r="983" spans="1:6" ht="14.25" x14ac:dyDescent="0.45">
      <c r="A983" s="6" t="str">
        <f ca="1">IFERROR(__xludf.DUMMYFUNCTION("""COMPUTED_VALUE"""),"XUCK3OU")</f>
        <v>XUCK3OU</v>
      </c>
      <c r="B983" s="7" t="s">
        <v>1971</v>
      </c>
      <c r="C983" s="7" t="s">
        <v>1972</v>
      </c>
      <c r="D983" s="7" t="s">
        <v>2007</v>
      </c>
      <c r="E983" s="8">
        <v>33852</v>
      </c>
      <c r="F983" s="10" t="s">
        <v>2246</v>
      </c>
    </row>
    <row r="984" spans="1:6" ht="14.25" x14ac:dyDescent="0.45">
      <c r="A984" s="6" t="str">
        <f ca="1">IFERROR(__xludf.DUMMYFUNCTION("""COMPUTED_VALUE"""),"X2DFO")</f>
        <v>X2DFO</v>
      </c>
      <c r="B984" s="7" t="s">
        <v>1980</v>
      </c>
      <c r="C984" s="7" t="s">
        <v>1972</v>
      </c>
      <c r="D984" s="7" t="s">
        <v>2026</v>
      </c>
      <c r="E984" s="8">
        <v>33853</v>
      </c>
      <c r="F984" s="10" t="s">
        <v>2046</v>
      </c>
    </row>
    <row r="985" spans="1:6" ht="14.25" x14ac:dyDescent="0.45">
      <c r="A985" s="6" t="str">
        <f ca="1">IFERROR(__xludf.DUMMYFUNCTION("""COMPUTED_VALUE"""),"XEJESBM")</f>
        <v>XEJESBM</v>
      </c>
      <c r="B985" s="7" t="s">
        <v>1971</v>
      </c>
      <c r="C985" s="7" t="s">
        <v>1981</v>
      </c>
      <c r="D985" s="7" t="s">
        <v>1997</v>
      </c>
      <c r="E985" s="8">
        <v>33859</v>
      </c>
      <c r="F985" s="10" t="s">
        <v>2242</v>
      </c>
    </row>
    <row r="986" spans="1:6" ht="14.25" x14ac:dyDescent="0.45">
      <c r="A986" s="6" t="str">
        <f ca="1">IFERROR(__xludf.DUMMYFUNCTION("""COMPUTED_VALUE"""),"XFTJ7ZH")</f>
        <v>XFTJ7ZH</v>
      </c>
      <c r="B986" s="7" t="s">
        <v>1971</v>
      </c>
      <c r="C986" s="7" t="s">
        <v>1972</v>
      </c>
      <c r="D986" s="7" t="s">
        <v>2088</v>
      </c>
      <c r="E986" s="8">
        <v>33860</v>
      </c>
      <c r="F986" s="10" t="s">
        <v>2246</v>
      </c>
    </row>
    <row r="987" spans="1:6" ht="14.25" x14ac:dyDescent="0.45">
      <c r="A987" s="6" t="str">
        <f ca="1">IFERROR(__xludf.DUMMYFUNCTION("""COMPUTED_VALUE"""),"XA9A35L")</f>
        <v>XA9A35L</v>
      </c>
      <c r="B987" s="7" t="s">
        <v>1971</v>
      </c>
      <c r="C987" s="7" t="s">
        <v>1972</v>
      </c>
      <c r="D987" s="7" t="s">
        <v>1990</v>
      </c>
      <c r="E987" s="8">
        <v>33860</v>
      </c>
      <c r="F987" s="10" t="s">
        <v>2300</v>
      </c>
    </row>
    <row r="988" spans="1:6" ht="14.25" x14ac:dyDescent="0.45">
      <c r="A988" s="6" t="str">
        <f ca="1">IFERROR(__xludf.DUMMYFUNCTION("""COMPUTED_VALUE"""),"XWQMYU6")</f>
        <v>XWQMYU6</v>
      </c>
      <c r="B988" s="7" t="s">
        <v>1971</v>
      </c>
      <c r="C988" s="7" t="s">
        <v>1981</v>
      </c>
      <c r="D988" s="7" t="s">
        <v>2020</v>
      </c>
      <c r="E988" s="8">
        <v>33862</v>
      </c>
      <c r="F988" s="9">
        <v>44355</v>
      </c>
    </row>
    <row r="989" spans="1:6" ht="14.25" x14ac:dyDescent="0.45">
      <c r="A989" s="6" t="str">
        <f ca="1">IFERROR(__xludf.DUMMYFUNCTION("""COMPUTED_VALUE"""),"X2BWB")</f>
        <v>X2BWB</v>
      </c>
      <c r="B989" s="7" t="s">
        <v>1971</v>
      </c>
      <c r="C989" s="7" t="s">
        <v>1974</v>
      </c>
      <c r="D989" s="7" t="s">
        <v>1974</v>
      </c>
      <c r="E989" s="8">
        <v>33864</v>
      </c>
      <c r="F989" s="9">
        <v>43902</v>
      </c>
    </row>
    <row r="990" spans="1:6" ht="14.25" x14ac:dyDescent="0.45">
      <c r="A990" s="6" t="str">
        <f ca="1">IFERROR(__xludf.DUMMYFUNCTION("""COMPUTED_VALUE"""),"X233L")</f>
        <v>X233L</v>
      </c>
      <c r="B990" s="7" t="s">
        <v>1971</v>
      </c>
      <c r="C990" s="7" t="s">
        <v>1977</v>
      </c>
      <c r="D990" s="7" t="s">
        <v>1974</v>
      </c>
      <c r="E990" s="8">
        <v>33876</v>
      </c>
      <c r="F990" s="10" t="s">
        <v>2057</v>
      </c>
    </row>
    <row r="991" spans="1:6" ht="14.25" x14ac:dyDescent="0.45">
      <c r="A991" s="6" t="str">
        <f ca="1">IFERROR(__xludf.DUMMYFUNCTION("""COMPUTED_VALUE"""),"XVV75LB")</f>
        <v>XVV75LB</v>
      </c>
      <c r="B991" s="7" t="s">
        <v>1971</v>
      </c>
      <c r="C991" s="7" t="s">
        <v>1972</v>
      </c>
      <c r="D991" s="7" t="s">
        <v>2007</v>
      </c>
      <c r="E991" s="8">
        <v>33883</v>
      </c>
      <c r="F991" s="9">
        <v>44443</v>
      </c>
    </row>
    <row r="992" spans="1:6" ht="14.25" x14ac:dyDescent="0.45">
      <c r="A992" s="6" t="str">
        <f ca="1">IFERROR(__xludf.DUMMYFUNCTION("""COMPUTED_VALUE"""),"X2565")</f>
        <v>X2565</v>
      </c>
      <c r="B992" s="7" t="s">
        <v>1971</v>
      </c>
      <c r="C992" s="7" t="s">
        <v>1981</v>
      </c>
      <c r="D992" s="7" t="s">
        <v>1975</v>
      </c>
      <c r="E992" s="8">
        <v>33885</v>
      </c>
      <c r="F992" s="9">
        <v>43048</v>
      </c>
    </row>
    <row r="993" spans="1:6" ht="14.25" x14ac:dyDescent="0.45">
      <c r="A993" s="6" t="str">
        <f ca="1">IFERROR(__xludf.DUMMYFUNCTION("""COMPUTED_VALUE"""),"X1ZI2")</f>
        <v>X1ZI2</v>
      </c>
      <c r="B993" s="7" t="s">
        <v>1980</v>
      </c>
      <c r="C993" s="7" t="s">
        <v>1972</v>
      </c>
      <c r="D993" s="7" t="s">
        <v>1982</v>
      </c>
      <c r="E993" s="8">
        <v>33886</v>
      </c>
      <c r="F993" s="10" t="s">
        <v>2240</v>
      </c>
    </row>
    <row r="994" spans="1:6" ht="14.25" x14ac:dyDescent="0.45">
      <c r="A994" s="6" t="str">
        <f ca="1">IFERROR(__xludf.DUMMYFUNCTION("""COMPUTED_VALUE"""),"X21MM")</f>
        <v>X21MM</v>
      </c>
      <c r="B994" s="7" t="s">
        <v>1971</v>
      </c>
      <c r="C994" s="7" t="s">
        <v>1996</v>
      </c>
      <c r="D994" s="7" t="s">
        <v>1997</v>
      </c>
      <c r="E994" s="8">
        <v>33897</v>
      </c>
      <c r="F994" s="10" t="s">
        <v>2174</v>
      </c>
    </row>
    <row r="995" spans="1:6" ht="14.25" x14ac:dyDescent="0.45">
      <c r="A995" s="6" t="str">
        <f ca="1">IFERROR(__xludf.DUMMYFUNCTION("""COMPUTED_VALUE"""),"X3722")</f>
        <v>X3722</v>
      </c>
      <c r="B995" s="7" t="s">
        <v>1980</v>
      </c>
      <c r="C995" s="7" t="s">
        <v>1977</v>
      </c>
      <c r="D995" s="7" t="s">
        <v>1974</v>
      </c>
      <c r="E995" s="8">
        <v>33906</v>
      </c>
      <c r="F995" s="10" t="s">
        <v>2185</v>
      </c>
    </row>
    <row r="996" spans="1:6" ht="14.25" x14ac:dyDescent="0.45">
      <c r="A996" s="6" t="str">
        <f ca="1">IFERROR(__xludf.DUMMYFUNCTION("""COMPUTED_VALUE"""),"X7X5RFD")</f>
        <v>X7X5RFD</v>
      </c>
      <c r="B996" s="7" t="s">
        <v>1971</v>
      </c>
      <c r="C996" s="7" t="s">
        <v>1972</v>
      </c>
      <c r="D996" s="7" t="s">
        <v>1993</v>
      </c>
      <c r="E996" s="8">
        <v>33906</v>
      </c>
      <c r="F996" s="10" t="s">
        <v>2260</v>
      </c>
    </row>
    <row r="997" spans="1:6" ht="14.25" x14ac:dyDescent="0.45">
      <c r="A997" s="6" t="str">
        <f ca="1">IFERROR(__xludf.DUMMYFUNCTION("""COMPUTED_VALUE"""),"X2R58A8")</f>
        <v>X2R58A8</v>
      </c>
      <c r="B997" s="7" t="s">
        <v>1971</v>
      </c>
      <c r="C997" s="7" t="s">
        <v>1972</v>
      </c>
      <c r="D997" s="7" t="s">
        <v>2072</v>
      </c>
      <c r="E997" s="8">
        <v>33910</v>
      </c>
      <c r="F997" s="9">
        <v>44442</v>
      </c>
    </row>
    <row r="998" spans="1:6" ht="14.25" x14ac:dyDescent="0.45">
      <c r="A998" s="6" t="str">
        <f ca="1">IFERROR(__xludf.DUMMYFUNCTION("""COMPUTED_VALUE"""),"XPBQJ33")</f>
        <v>XPBQJ33</v>
      </c>
      <c r="B998" s="7" t="s">
        <v>1971</v>
      </c>
      <c r="C998" s="7" t="s">
        <v>1974</v>
      </c>
      <c r="D998" s="7" t="s">
        <v>1975</v>
      </c>
      <c r="E998" s="8">
        <v>33913</v>
      </c>
      <c r="F998" s="9">
        <v>44267</v>
      </c>
    </row>
    <row r="999" spans="1:6" ht="14.25" x14ac:dyDescent="0.45">
      <c r="A999" s="6" t="str">
        <f ca="1">IFERROR(__xludf.DUMMYFUNCTION("""COMPUTED_VALUE"""),"XQ8KXES")</f>
        <v>XQ8KXES</v>
      </c>
      <c r="B999" s="7" t="s">
        <v>1971</v>
      </c>
      <c r="C999" s="7" t="s">
        <v>1972</v>
      </c>
      <c r="D999" s="7" t="s">
        <v>1974</v>
      </c>
      <c r="E999" s="8">
        <v>33915</v>
      </c>
      <c r="F999" s="10" t="s">
        <v>2242</v>
      </c>
    </row>
    <row r="1000" spans="1:6" ht="14.25" x14ac:dyDescent="0.45">
      <c r="A1000" s="6" t="str">
        <f ca="1">IFERROR(__xludf.DUMMYFUNCTION("""COMPUTED_VALUE"""),"X5CDAVQ")</f>
        <v>X5CDAVQ</v>
      </c>
      <c r="B1000" s="7" t="s">
        <v>1971</v>
      </c>
      <c r="C1000" s="7" t="s">
        <v>1993</v>
      </c>
      <c r="D1000" s="7" t="s">
        <v>1990</v>
      </c>
      <c r="E1000" s="8">
        <v>33920</v>
      </c>
      <c r="F1000" s="10" t="s">
        <v>2258</v>
      </c>
    </row>
    <row r="1001" spans="1:6" ht="14.25" x14ac:dyDescent="0.45">
      <c r="A1001" s="6" t="str">
        <f ca="1">IFERROR(__xludf.DUMMYFUNCTION("""COMPUTED_VALUE"""),"X23QW27")</f>
        <v>X23QW27</v>
      </c>
      <c r="B1001" s="7" t="s">
        <v>1971</v>
      </c>
      <c r="C1001" s="7" t="s">
        <v>1977</v>
      </c>
      <c r="D1001" s="7" t="s">
        <v>1990</v>
      </c>
      <c r="E1001" s="8">
        <v>33922</v>
      </c>
      <c r="F1001" s="9">
        <v>44320</v>
      </c>
    </row>
    <row r="1002" spans="1:6" ht="14.25" x14ac:dyDescent="0.45">
      <c r="A1002" s="6" t="str">
        <f ca="1">IFERROR(__xludf.DUMMYFUNCTION("""COMPUTED_VALUE"""),"XVFMBE6")</f>
        <v>XVFMBE6</v>
      </c>
      <c r="B1002" s="7" t="s">
        <v>1971</v>
      </c>
      <c r="C1002" s="7" t="s">
        <v>1972</v>
      </c>
      <c r="D1002" s="7" t="s">
        <v>2026</v>
      </c>
      <c r="E1002" s="8">
        <v>33927</v>
      </c>
      <c r="F1002" s="10" t="s">
        <v>2242</v>
      </c>
    </row>
    <row r="1003" spans="1:6" ht="14.25" x14ac:dyDescent="0.45">
      <c r="A1003" s="6" t="str">
        <f ca="1">IFERROR(__xludf.DUMMYFUNCTION("""COMPUTED_VALUE"""),"X1SIX")</f>
        <v>X1SIX</v>
      </c>
      <c r="B1003" s="7" t="s">
        <v>1971</v>
      </c>
      <c r="C1003" s="7" t="s">
        <v>1972</v>
      </c>
      <c r="D1003" s="7" t="s">
        <v>1997</v>
      </c>
      <c r="E1003" s="8">
        <v>33928</v>
      </c>
      <c r="F1003" s="10" t="s">
        <v>2065</v>
      </c>
    </row>
    <row r="1004" spans="1:6" ht="14.25" x14ac:dyDescent="0.45">
      <c r="A1004" s="6" t="str">
        <f ca="1">IFERROR(__xludf.DUMMYFUNCTION("""COMPUTED_VALUE"""),"X3WFC23")</f>
        <v>X3WFC23</v>
      </c>
      <c r="B1004" s="7" t="s">
        <v>1971</v>
      </c>
      <c r="C1004" s="7" t="s">
        <v>1972</v>
      </c>
      <c r="D1004" s="7" t="s">
        <v>1993</v>
      </c>
      <c r="E1004" s="8">
        <v>33930</v>
      </c>
      <c r="F1004" s="10" t="s">
        <v>2285</v>
      </c>
    </row>
    <row r="1005" spans="1:6" ht="14.25" x14ac:dyDescent="0.45">
      <c r="A1005" s="6" t="str">
        <f ca="1">IFERROR(__xludf.DUMMYFUNCTION("""COMPUTED_VALUE"""),"X2DEE")</f>
        <v>X2DEE</v>
      </c>
      <c r="B1005" s="7" t="s">
        <v>1971</v>
      </c>
      <c r="C1005" s="7" t="s">
        <v>1972</v>
      </c>
      <c r="D1005" s="7" t="s">
        <v>1974</v>
      </c>
      <c r="E1005" s="8">
        <v>33932</v>
      </c>
      <c r="F1005" s="10" t="s">
        <v>2019</v>
      </c>
    </row>
    <row r="1006" spans="1:6" ht="14.25" x14ac:dyDescent="0.45">
      <c r="A1006" s="6" t="str">
        <f ca="1">IFERROR(__xludf.DUMMYFUNCTION("""COMPUTED_VALUE"""),"X3270")</f>
        <v>X3270</v>
      </c>
      <c r="B1006" s="7" t="s">
        <v>1971</v>
      </c>
      <c r="C1006" s="7" t="s">
        <v>1972</v>
      </c>
      <c r="D1006" s="7" t="s">
        <v>1990</v>
      </c>
      <c r="E1006" s="8">
        <v>33933</v>
      </c>
      <c r="F1006" s="10" t="s">
        <v>2066</v>
      </c>
    </row>
    <row r="1007" spans="1:6" ht="14.25" x14ac:dyDescent="0.45">
      <c r="A1007" s="6" t="str">
        <f ca="1">IFERROR(__xludf.DUMMYFUNCTION("""COMPUTED_VALUE"""),"XBRHJS2")</f>
        <v>XBRHJS2</v>
      </c>
      <c r="B1007" s="7" t="s">
        <v>1980</v>
      </c>
      <c r="C1007" s="7" t="s">
        <v>1977</v>
      </c>
      <c r="D1007" s="7" t="s">
        <v>1993</v>
      </c>
      <c r="E1007" s="8">
        <v>33934</v>
      </c>
      <c r="F1007" s="10" t="s">
        <v>2220</v>
      </c>
    </row>
    <row r="1008" spans="1:6" ht="14.25" x14ac:dyDescent="0.45">
      <c r="A1008" s="6" t="str">
        <f ca="1">IFERROR(__xludf.DUMMYFUNCTION("""COMPUTED_VALUE"""),"X29M2")</f>
        <v>X29M2</v>
      </c>
      <c r="B1008" s="7" t="s">
        <v>1971</v>
      </c>
      <c r="C1008" s="7" t="s">
        <v>1972</v>
      </c>
      <c r="D1008" s="7" t="s">
        <v>1997</v>
      </c>
      <c r="E1008" s="8">
        <v>33936</v>
      </c>
      <c r="F1008" s="9">
        <v>43992</v>
      </c>
    </row>
    <row r="1009" spans="1:6" ht="14.25" x14ac:dyDescent="0.45">
      <c r="A1009" s="6" t="str">
        <f ca="1">IFERROR(__xludf.DUMMYFUNCTION("""COMPUTED_VALUE"""),"XKKQV4L")</f>
        <v>XKKQV4L</v>
      </c>
      <c r="B1009" s="7" t="s">
        <v>1971</v>
      </c>
      <c r="C1009" s="7" t="s">
        <v>1974</v>
      </c>
      <c r="D1009" s="7" t="s">
        <v>2020</v>
      </c>
      <c r="E1009" s="8">
        <v>33938</v>
      </c>
      <c r="F1009" s="9">
        <v>44356</v>
      </c>
    </row>
    <row r="1010" spans="1:6" ht="14.25" x14ac:dyDescent="0.45">
      <c r="A1010" s="6" t="str">
        <f ca="1">IFERROR(__xludf.DUMMYFUNCTION("""COMPUTED_VALUE"""),"X2CM3")</f>
        <v>X2CM3</v>
      </c>
      <c r="B1010" s="7" t="s">
        <v>1971</v>
      </c>
      <c r="C1010" s="7" t="s">
        <v>1972</v>
      </c>
      <c r="D1010" s="7" t="s">
        <v>1973</v>
      </c>
      <c r="E1010" s="8">
        <v>33939</v>
      </c>
      <c r="F1010" s="10" t="s">
        <v>2030</v>
      </c>
    </row>
    <row r="1011" spans="1:6" ht="14.25" x14ac:dyDescent="0.45">
      <c r="A1011" s="6" t="str">
        <f ca="1">IFERROR(__xludf.DUMMYFUNCTION("""COMPUTED_VALUE"""),"XIKIUQW")</f>
        <v>XIKIUQW</v>
      </c>
      <c r="B1011" s="7" t="s">
        <v>1971</v>
      </c>
      <c r="C1011" s="7" t="s">
        <v>1972</v>
      </c>
      <c r="D1011" s="7" t="s">
        <v>1973</v>
      </c>
      <c r="E1011" s="8">
        <v>33940</v>
      </c>
      <c r="F1011" s="10" t="s">
        <v>2291</v>
      </c>
    </row>
    <row r="1012" spans="1:6" ht="14.25" x14ac:dyDescent="0.45">
      <c r="A1012" s="6" t="str">
        <f ca="1">IFERROR(__xludf.DUMMYFUNCTION("""COMPUTED_VALUE"""),"X2AWS")</f>
        <v>X2AWS</v>
      </c>
      <c r="B1012" s="7" t="s">
        <v>1971</v>
      </c>
      <c r="C1012" s="7" t="s">
        <v>1972</v>
      </c>
      <c r="D1012" s="7" t="s">
        <v>2072</v>
      </c>
      <c r="E1012" s="8">
        <v>33943</v>
      </c>
      <c r="F1012" s="9">
        <v>44085</v>
      </c>
    </row>
    <row r="1013" spans="1:6" ht="14.25" x14ac:dyDescent="0.45">
      <c r="A1013" s="6" t="str">
        <f ca="1">IFERROR(__xludf.DUMMYFUNCTION("""COMPUTED_VALUE"""),"XW6TLK2")</f>
        <v>XW6TLK2</v>
      </c>
      <c r="B1013" s="7" t="s">
        <v>1971</v>
      </c>
      <c r="C1013" s="7" t="s">
        <v>1972</v>
      </c>
      <c r="D1013" s="7" t="s">
        <v>1978</v>
      </c>
      <c r="E1013" s="8">
        <v>33950</v>
      </c>
      <c r="F1013" s="10" t="s">
        <v>2261</v>
      </c>
    </row>
    <row r="1014" spans="1:6" ht="14.25" x14ac:dyDescent="0.45">
      <c r="A1014" s="6" t="str">
        <f ca="1">IFERROR(__xludf.DUMMYFUNCTION("""COMPUTED_VALUE"""),"X2757")</f>
        <v>X2757</v>
      </c>
      <c r="B1014" s="7" t="s">
        <v>1980</v>
      </c>
      <c r="C1014" s="7" t="s">
        <v>1972</v>
      </c>
      <c r="D1014" s="7" t="s">
        <v>1993</v>
      </c>
      <c r="E1014" s="8">
        <v>33952</v>
      </c>
      <c r="F1014" s="9">
        <v>43253</v>
      </c>
    </row>
    <row r="1015" spans="1:6" ht="14.25" x14ac:dyDescent="0.45">
      <c r="A1015" s="6" t="str">
        <f ca="1">IFERROR(__xludf.DUMMYFUNCTION("""COMPUTED_VALUE"""),"X2C5R")</f>
        <v>X2C5R</v>
      </c>
      <c r="B1015" s="7" t="s">
        <v>1971</v>
      </c>
      <c r="C1015" s="7" t="s">
        <v>1972</v>
      </c>
      <c r="D1015" s="7" t="s">
        <v>1978</v>
      </c>
      <c r="E1015" s="8">
        <v>33954</v>
      </c>
      <c r="F1015" s="9">
        <v>44086</v>
      </c>
    </row>
    <row r="1016" spans="1:6" ht="14.25" x14ac:dyDescent="0.45">
      <c r="A1016" s="6" t="str">
        <f ca="1">IFERROR(__xludf.DUMMYFUNCTION("""COMPUTED_VALUE"""),"X1X8C")</f>
        <v>X1X8C</v>
      </c>
      <c r="B1016" s="7" t="s">
        <v>1971</v>
      </c>
      <c r="C1016" s="7" t="s">
        <v>1974</v>
      </c>
      <c r="D1016" s="7" t="s">
        <v>1982</v>
      </c>
      <c r="E1016" s="8">
        <v>33954</v>
      </c>
      <c r="F1016" s="9">
        <v>43656</v>
      </c>
    </row>
    <row r="1017" spans="1:6" ht="14.25" x14ac:dyDescent="0.45">
      <c r="A1017" s="6" t="str">
        <f ca="1">IFERROR(__xludf.DUMMYFUNCTION("""COMPUTED_VALUE"""),"XUN9O74")</f>
        <v>XUN9O74</v>
      </c>
      <c r="B1017" s="7" t="s">
        <v>1971</v>
      </c>
      <c r="C1017" s="7" t="s">
        <v>1972</v>
      </c>
      <c r="D1017" s="7" t="s">
        <v>1978</v>
      </c>
      <c r="E1017" s="8">
        <v>33955</v>
      </c>
      <c r="F1017" s="9">
        <v>44205</v>
      </c>
    </row>
    <row r="1018" spans="1:6" ht="14.25" x14ac:dyDescent="0.45">
      <c r="A1018" s="6" t="str">
        <f ca="1">IFERROR(__xludf.DUMMYFUNCTION("""COMPUTED_VALUE"""),"X29CI")</f>
        <v>X29CI</v>
      </c>
      <c r="B1018" s="7" t="s">
        <v>2092</v>
      </c>
      <c r="C1018" s="7" t="s">
        <v>1972</v>
      </c>
      <c r="D1018" s="7" t="s">
        <v>1973</v>
      </c>
      <c r="E1018" s="8">
        <v>33962</v>
      </c>
      <c r="F1018" s="9">
        <v>44053</v>
      </c>
    </row>
    <row r="1019" spans="1:6" ht="14.25" x14ac:dyDescent="0.45">
      <c r="A1019" s="6" t="str">
        <f ca="1">IFERROR(__xludf.DUMMYFUNCTION("""COMPUTED_VALUE"""),"X5IJVO9")</f>
        <v>X5IJVO9</v>
      </c>
      <c r="B1019" s="7" t="s">
        <v>1971</v>
      </c>
      <c r="C1019" s="7" t="s">
        <v>1972</v>
      </c>
      <c r="D1019" s="7" t="s">
        <v>1974</v>
      </c>
      <c r="E1019" s="8">
        <v>33967</v>
      </c>
      <c r="F1019" s="10" t="s">
        <v>2289</v>
      </c>
    </row>
    <row r="1020" spans="1:6" ht="14.25" x14ac:dyDescent="0.45">
      <c r="A1020" s="6" t="str">
        <f ca="1">IFERROR(__xludf.DUMMYFUNCTION("""COMPUTED_VALUE"""),"X2C11V")</f>
        <v>X2C11V</v>
      </c>
      <c r="B1020" s="7" t="s">
        <v>1980</v>
      </c>
      <c r="C1020" s="7" t="s">
        <v>1972</v>
      </c>
      <c r="D1020" s="7" t="s">
        <v>2007</v>
      </c>
      <c r="E1020" s="8">
        <v>33971</v>
      </c>
      <c r="F1020" s="10" t="s">
        <v>2019</v>
      </c>
    </row>
    <row r="1021" spans="1:6" ht="14.25" x14ac:dyDescent="0.45">
      <c r="A1021" s="6" t="str">
        <f ca="1">IFERROR(__xludf.DUMMYFUNCTION("""COMPUTED_VALUE"""),"XGG5JIL")</f>
        <v>XGG5JIL</v>
      </c>
      <c r="B1021" s="7" t="s">
        <v>1971</v>
      </c>
      <c r="C1021" s="7" t="s">
        <v>1972</v>
      </c>
      <c r="D1021" s="7" t="s">
        <v>1995</v>
      </c>
      <c r="E1021" s="8">
        <v>33971</v>
      </c>
      <c r="F1021" s="9">
        <v>44447</v>
      </c>
    </row>
    <row r="1022" spans="1:6" ht="14.25" x14ac:dyDescent="0.45">
      <c r="A1022" s="6" t="str">
        <f ca="1">IFERROR(__xludf.DUMMYFUNCTION("""COMPUTED_VALUE"""),"XQTFVML")</f>
        <v>XQTFVML</v>
      </c>
      <c r="B1022" s="7" t="s">
        <v>1971</v>
      </c>
      <c r="C1022" s="7" t="s">
        <v>1977</v>
      </c>
      <c r="D1022" s="7" t="s">
        <v>1974</v>
      </c>
      <c r="E1022" s="8">
        <v>33974</v>
      </c>
      <c r="F1022" s="9">
        <v>44505</v>
      </c>
    </row>
    <row r="1023" spans="1:6" ht="14.25" x14ac:dyDescent="0.45">
      <c r="A1023" s="6" t="str">
        <f ca="1">IFERROR(__xludf.DUMMYFUNCTION("""COMPUTED_VALUE"""),"X3713")</f>
        <v>X3713</v>
      </c>
      <c r="B1023" s="7" t="s">
        <v>1980</v>
      </c>
      <c r="C1023" s="7" t="s">
        <v>1981</v>
      </c>
      <c r="D1023" s="7" t="s">
        <v>1974</v>
      </c>
      <c r="E1023" s="8">
        <v>33978</v>
      </c>
      <c r="F1023" s="10" t="s">
        <v>2180</v>
      </c>
    </row>
    <row r="1024" spans="1:6" ht="14.25" x14ac:dyDescent="0.45">
      <c r="A1024" s="6" t="str">
        <f ca="1">IFERROR(__xludf.DUMMYFUNCTION("""COMPUTED_VALUE"""),"X20VK")</f>
        <v>X20VK</v>
      </c>
      <c r="B1024" s="7" t="s">
        <v>1971</v>
      </c>
      <c r="C1024" s="7" t="s">
        <v>1972</v>
      </c>
      <c r="D1024" s="7" t="s">
        <v>2007</v>
      </c>
      <c r="E1024" s="8">
        <v>33980</v>
      </c>
      <c r="F1024" s="10" t="s">
        <v>2063</v>
      </c>
    </row>
    <row r="1025" spans="1:6" ht="14.25" x14ac:dyDescent="0.45">
      <c r="A1025" s="6" t="str">
        <f ca="1">IFERROR(__xludf.DUMMYFUNCTION("""COMPUTED_VALUE"""),"X2DUT")</f>
        <v>X2DUT</v>
      </c>
      <c r="B1025" s="7" t="s">
        <v>1980</v>
      </c>
      <c r="C1025" s="7" t="s">
        <v>1972</v>
      </c>
      <c r="D1025" s="7" t="s">
        <v>2007</v>
      </c>
      <c r="E1025" s="8">
        <v>33986</v>
      </c>
      <c r="F1025" s="10" t="s">
        <v>2114</v>
      </c>
    </row>
    <row r="1026" spans="1:6" ht="14.25" x14ac:dyDescent="0.45">
      <c r="A1026" s="6" t="str">
        <f ca="1">IFERROR(__xludf.DUMMYFUNCTION("""COMPUTED_VALUE"""),"X2964")</f>
        <v>X2964</v>
      </c>
      <c r="B1026" s="7" t="s">
        <v>1971</v>
      </c>
      <c r="C1026" s="7" t="s">
        <v>1972</v>
      </c>
      <c r="D1026" s="7" t="s">
        <v>1974</v>
      </c>
      <c r="E1026" s="8">
        <v>34002</v>
      </c>
      <c r="F1026" s="9">
        <v>43194</v>
      </c>
    </row>
    <row r="1027" spans="1:6" ht="14.25" x14ac:dyDescent="0.45">
      <c r="A1027" s="6" t="str">
        <f ca="1">IFERROR(__xludf.DUMMYFUNCTION("""COMPUTED_VALUE"""),"X2AHI")</f>
        <v>X2AHI</v>
      </c>
      <c r="B1027" s="7" t="s">
        <v>1971</v>
      </c>
      <c r="C1027" s="7" t="s">
        <v>1972</v>
      </c>
      <c r="D1027" s="7" t="s">
        <v>1995</v>
      </c>
      <c r="E1027" s="8">
        <v>34014</v>
      </c>
      <c r="F1027" s="10" t="s">
        <v>2040</v>
      </c>
    </row>
    <row r="1028" spans="1:6" ht="14.25" x14ac:dyDescent="0.45">
      <c r="A1028" s="6" t="str">
        <f ca="1">IFERROR(__xludf.DUMMYFUNCTION("""COMPUTED_VALUE"""),"X729C7V")</f>
        <v>X729C7V</v>
      </c>
      <c r="B1028" s="7" t="s">
        <v>1971</v>
      </c>
      <c r="C1028" s="7" t="s">
        <v>1974</v>
      </c>
      <c r="D1028" s="7" t="s">
        <v>1990</v>
      </c>
      <c r="E1028" s="8">
        <v>34015</v>
      </c>
      <c r="F1028" s="10" t="s">
        <v>2257</v>
      </c>
    </row>
    <row r="1029" spans="1:6" ht="14.25" x14ac:dyDescent="0.45">
      <c r="A1029" s="6" t="str">
        <f ca="1">IFERROR(__xludf.DUMMYFUNCTION("""COMPUTED_VALUE"""),"XOPXIGY")</f>
        <v>XOPXIGY</v>
      </c>
      <c r="B1029" s="7" t="s">
        <v>1971</v>
      </c>
      <c r="C1029" s="7" t="s">
        <v>1974</v>
      </c>
      <c r="D1029" s="7" t="s">
        <v>2091</v>
      </c>
      <c r="E1029" s="8">
        <v>34015</v>
      </c>
      <c r="F1029" s="10" t="s">
        <v>2242</v>
      </c>
    </row>
    <row r="1030" spans="1:6" ht="14.25" x14ac:dyDescent="0.45">
      <c r="A1030" s="6" t="str">
        <f ca="1">IFERROR(__xludf.DUMMYFUNCTION("""COMPUTED_VALUE"""),"XWDI5E9")</f>
        <v>XWDI5E9</v>
      </c>
      <c r="B1030" s="7" t="s">
        <v>1971</v>
      </c>
      <c r="C1030" s="7" t="s">
        <v>1972</v>
      </c>
      <c r="D1030" s="7" t="s">
        <v>1987</v>
      </c>
      <c r="E1030" s="8">
        <v>34018</v>
      </c>
      <c r="F1030" s="9">
        <v>44323</v>
      </c>
    </row>
    <row r="1031" spans="1:6" ht="14.25" x14ac:dyDescent="0.45">
      <c r="A1031" s="6" t="str">
        <f ca="1">IFERROR(__xludf.DUMMYFUNCTION("""COMPUTED_VALUE"""),"XPHEA5T")</f>
        <v>XPHEA5T</v>
      </c>
      <c r="B1031" s="7" t="s">
        <v>1971</v>
      </c>
      <c r="C1031" s="7" t="s">
        <v>1972</v>
      </c>
      <c r="D1031" s="7" t="s">
        <v>2007</v>
      </c>
      <c r="E1031" s="8">
        <v>34025</v>
      </c>
      <c r="F1031" s="10" t="s">
        <v>2212</v>
      </c>
    </row>
    <row r="1032" spans="1:6" ht="14.25" x14ac:dyDescent="0.45">
      <c r="A1032" s="6" t="str">
        <f ca="1">IFERROR(__xludf.DUMMYFUNCTION("""COMPUTED_VALUE"""),"X1X73")</f>
        <v>X1X73</v>
      </c>
      <c r="B1032" s="7" t="s">
        <v>1980</v>
      </c>
      <c r="C1032" s="7" t="s">
        <v>1972</v>
      </c>
      <c r="D1032" s="7" t="s">
        <v>2007</v>
      </c>
      <c r="E1032" s="8">
        <v>34027</v>
      </c>
      <c r="F1032" s="9">
        <v>43565</v>
      </c>
    </row>
    <row r="1033" spans="1:6" ht="14.25" x14ac:dyDescent="0.45">
      <c r="A1033" s="6" t="str">
        <f ca="1">IFERROR(__xludf.DUMMYFUNCTION("""COMPUTED_VALUE"""),"X1JG3")</f>
        <v>X1JG3</v>
      </c>
      <c r="B1033" s="7" t="s">
        <v>1971</v>
      </c>
      <c r="C1033" s="7" t="s">
        <v>1972</v>
      </c>
      <c r="D1033" s="7" t="s">
        <v>1990</v>
      </c>
      <c r="E1033" s="8">
        <v>34044</v>
      </c>
      <c r="F1033" s="10" t="s">
        <v>2055</v>
      </c>
    </row>
    <row r="1034" spans="1:6" ht="14.25" x14ac:dyDescent="0.45">
      <c r="A1034" s="6" t="str">
        <f ca="1">IFERROR(__xludf.DUMMYFUNCTION("""COMPUTED_VALUE"""),"X2A6F")</f>
        <v>X2A6F</v>
      </c>
      <c r="B1034" s="7" t="s">
        <v>1986</v>
      </c>
      <c r="C1034" s="7" t="s">
        <v>1972</v>
      </c>
      <c r="D1034" s="7" t="s">
        <v>1984</v>
      </c>
      <c r="E1034" s="8">
        <v>34045</v>
      </c>
      <c r="F1034" s="10" t="s">
        <v>2138</v>
      </c>
    </row>
    <row r="1035" spans="1:6" ht="14.25" x14ac:dyDescent="0.45">
      <c r="A1035" s="6" t="str">
        <f ca="1">IFERROR(__xludf.DUMMYFUNCTION("""COMPUTED_VALUE"""),"X1IPQF4")</f>
        <v>X1IPQF4</v>
      </c>
      <c r="B1035" s="7" t="s">
        <v>1971</v>
      </c>
      <c r="C1035" s="7" t="s">
        <v>1972</v>
      </c>
      <c r="D1035" s="7" t="s">
        <v>1974</v>
      </c>
      <c r="E1035" s="8">
        <v>34046</v>
      </c>
      <c r="F1035" s="10" t="s">
        <v>2193</v>
      </c>
    </row>
    <row r="1036" spans="1:6" ht="14.25" x14ac:dyDescent="0.45">
      <c r="A1036" s="6" t="str">
        <f ca="1">IFERROR(__xludf.DUMMYFUNCTION("""COMPUTED_VALUE"""),"X4JQLX7")</f>
        <v>X4JQLX7</v>
      </c>
      <c r="B1036" s="7" t="s">
        <v>1971</v>
      </c>
      <c r="C1036" s="7" t="s">
        <v>1972</v>
      </c>
      <c r="D1036" s="7" t="s">
        <v>1974</v>
      </c>
      <c r="E1036" s="8">
        <v>34051</v>
      </c>
      <c r="F1036" s="9">
        <v>44445</v>
      </c>
    </row>
    <row r="1037" spans="1:6" ht="14.25" x14ac:dyDescent="0.45">
      <c r="A1037" s="6" t="str">
        <f ca="1">IFERROR(__xludf.DUMMYFUNCTION("""COMPUTED_VALUE"""),"XX329OG")</f>
        <v>XX329OG</v>
      </c>
      <c r="B1037" s="7" t="s">
        <v>1971</v>
      </c>
      <c r="C1037" s="7" t="s">
        <v>1974</v>
      </c>
      <c r="D1037" s="7" t="s">
        <v>1974</v>
      </c>
      <c r="E1037" s="8">
        <v>34056</v>
      </c>
      <c r="F1037" s="10" t="s">
        <v>2229</v>
      </c>
    </row>
    <row r="1038" spans="1:6" ht="14.25" x14ac:dyDescent="0.45">
      <c r="A1038" s="6" t="str">
        <f ca="1">IFERROR(__xludf.DUMMYFUNCTION("""COMPUTED_VALUE"""),"X2C14N")</f>
        <v>X2C14N</v>
      </c>
      <c r="B1038" s="7" t="s">
        <v>1980</v>
      </c>
      <c r="C1038" s="7" t="s">
        <v>1972</v>
      </c>
      <c r="D1038" s="7" t="s">
        <v>1974</v>
      </c>
      <c r="E1038" s="8">
        <v>34058</v>
      </c>
      <c r="F1038" s="10" t="s">
        <v>2046</v>
      </c>
    </row>
    <row r="1039" spans="1:6" ht="14.25" x14ac:dyDescent="0.45">
      <c r="A1039" s="6" t="str">
        <f ca="1">IFERROR(__xludf.DUMMYFUNCTION("""COMPUTED_VALUE"""),"X29VN")</f>
        <v>X29VN</v>
      </c>
      <c r="B1039" s="7" t="s">
        <v>2092</v>
      </c>
      <c r="C1039" s="7" t="s">
        <v>1972</v>
      </c>
      <c r="D1039" s="7" t="s">
        <v>1975</v>
      </c>
      <c r="E1039" s="8">
        <v>34059</v>
      </c>
      <c r="F1039" s="9">
        <v>44175</v>
      </c>
    </row>
    <row r="1040" spans="1:6" ht="14.25" x14ac:dyDescent="0.45">
      <c r="A1040" s="6" t="str">
        <f ca="1">IFERROR(__xludf.DUMMYFUNCTION("""COMPUTED_VALUE"""),"X1XIM")</f>
        <v>X1XIM</v>
      </c>
      <c r="B1040" s="7" t="s">
        <v>1971</v>
      </c>
      <c r="C1040" s="7" t="s">
        <v>1972</v>
      </c>
      <c r="D1040" s="7" t="s">
        <v>2020</v>
      </c>
      <c r="E1040" s="8">
        <v>34061</v>
      </c>
      <c r="F1040" s="9">
        <v>43506</v>
      </c>
    </row>
    <row r="1041" spans="1:6" ht="14.25" x14ac:dyDescent="0.45">
      <c r="A1041" s="6" t="str">
        <f ca="1">IFERROR(__xludf.DUMMYFUNCTION("""COMPUTED_VALUE"""),"X22XF")</f>
        <v>X22XF</v>
      </c>
      <c r="B1041" s="7" t="s">
        <v>1971</v>
      </c>
      <c r="C1041" s="7" t="s">
        <v>1972</v>
      </c>
      <c r="D1041" s="7" t="s">
        <v>1974</v>
      </c>
      <c r="E1041" s="8">
        <v>34064</v>
      </c>
      <c r="F1041" s="10" t="s">
        <v>2214</v>
      </c>
    </row>
    <row r="1042" spans="1:6" ht="14.25" x14ac:dyDescent="0.45">
      <c r="A1042" s="6" t="str">
        <f ca="1">IFERROR(__xludf.DUMMYFUNCTION("""COMPUTED_VALUE"""),"X2JY793")</f>
        <v>X2JY793</v>
      </c>
      <c r="B1042" s="7" t="s">
        <v>1971</v>
      </c>
      <c r="C1042" s="7" t="s">
        <v>1972</v>
      </c>
      <c r="D1042" s="7" t="s">
        <v>1974</v>
      </c>
      <c r="E1042" s="8">
        <v>34077</v>
      </c>
      <c r="F1042" s="9">
        <v>44205</v>
      </c>
    </row>
    <row r="1043" spans="1:6" ht="14.25" x14ac:dyDescent="0.45">
      <c r="A1043" s="6" t="str">
        <f ca="1">IFERROR(__xludf.DUMMYFUNCTION("""COMPUTED_VALUE"""),"X4ZZESJ")</f>
        <v>X4ZZESJ</v>
      </c>
      <c r="B1043" s="7" t="s">
        <v>1971</v>
      </c>
      <c r="C1043" s="7" t="s">
        <v>1977</v>
      </c>
      <c r="D1043" s="7" t="s">
        <v>1974</v>
      </c>
      <c r="E1043" s="8">
        <v>34089</v>
      </c>
      <c r="F1043" s="10" t="s">
        <v>2247</v>
      </c>
    </row>
    <row r="1044" spans="1:6" ht="14.25" x14ac:dyDescent="0.45">
      <c r="A1044" s="6" t="str">
        <f ca="1">IFERROR(__xludf.DUMMYFUNCTION("""COMPUTED_VALUE"""),"XJY8I7M")</f>
        <v>XJY8I7M</v>
      </c>
      <c r="B1044" s="7" t="s">
        <v>1971</v>
      </c>
      <c r="C1044" s="7" t="s">
        <v>1981</v>
      </c>
      <c r="D1044" s="7" t="s">
        <v>1974</v>
      </c>
      <c r="E1044" s="8">
        <v>34093</v>
      </c>
      <c r="F1044" s="10" t="s">
        <v>2306</v>
      </c>
    </row>
    <row r="1045" spans="1:6" ht="14.25" x14ac:dyDescent="0.45">
      <c r="A1045" s="6" t="str">
        <f ca="1">IFERROR(__xludf.DUMMYFUNCTION("""COMPUTED_VALUE"""),"XCPLAFI")</f>
        <v>XCPLAFI</v>
      </c>
      <c r="B1045" s="7" t="s">
        <v>1971</v>
      </c>
      <c r="C1045" s="7" t="s">
        <v>1972</v>
      </c>
      <c r="D1045" s="7" t="s">
        <v>1974</v>
      </c>
      <c r="E1045" s="8">
        <v>34096</v>
      </c>
      <c r="F1045" s="9">
        <v>44355</v>
      </c>
    </row>
    <row r="1046" spans="1:6" ht="14.25" x14ac:dyDescent="0.45">
      <c r="A1046" s="6" t="str">
        <f ca="1">IFERROR(__xludf.DUMMYFUNCTION("""COMPUTED_VALUE"""),"X24CP")</f>
        <v>X24CP</v>
      </c>
      <c r="B1046" s="7" t="s">
        <v>1971</v>
      </c>
      <c r="C1046" s="7" t="s">
        <v>1972</v>
      </c>
      <c r="D1046" s="7" t="s">
        <v>2070</v>
      </c>
      <c r="E1046" s="8">
        <v>34098</v>
      </c>
      <c r="F1046" s="10" t="s">
        <v>2143</v>
      </c>
    </row>
    <row r="1047" spans="1:6" ht="14.25" x14ac:dyDescent="0.45">
      <c r="A1047" s="6" t="str">
        <f ca="1">IFERROR(__xludf.DUMMYFUNCTION("""COMPUTED_VALUE"""),"X21G1")</f>
        <v>X21G1</v>
      </c>
      <c r="B1047" s="7" t="s">
        <v>1971</v>
      </c>
      <c r="C1047" s="7" t="s">
        <v>1972</v>
      </c>
      <c r="D1047" s="7" t="s">
        <v>1973</v>
      </c>
      <c r="E1047" s="8">
        <v>34099</v>
      </c>
      <c r="F1047" s="9">
        <v>44106</v>
      </c>
    </row>
    <row r="1048" spans="1:6" ht="14.25" x14ac:dyDescent="0.45">
      <c r="A1048" s="6" t="str">
        <f ca="1">IFERROR(__xludf.DUMMYFUNCTION("""COMPUTED_VALUE"""),"XPOVP8P")</f>
        <v>XPOVP8P</v>
      </c>
      <c r="B1048" s="7" t="s">
        <v>1971</v>
      </c>
      <c r="C1048" s="7" t="s">
        <v>1972</v>
      </c>
      <c r="D1048" s="7" t="s">
        <v>1974</v>
      </c>
      <c r="E1048" s="8">
        <v>34103</v>
      </c>
      <c r="F1048" s="9">
        <v>44382</v>
      </c>
    </row>
    <row r="1049" spans="1:6" ht="14.25" x14ac:dyDescent="0.45">
      <c r="A1049" s="6" t="str">
        <f ca="1">IFERROR(__xludf.DUMMYFUNCTION("""COMPUTED_VALUE"""),"XX2ZYC7")</f>
        <v>XX2ZYC7</v>
      </c>
      <c r="B1049" s="7" t="s">
        <v>1971</v>
      </c>
      <c r="C1049" s="7" t="s">
        <v>1972</v>
      </c>
      <c r="D1049" s="7" t="s">
        <v>2094</v>
      </c>
      <c r="E1049" s="8">
        <v>34106</v>
      </c>
      <c r="F1049" s="10" t="s">
        <v>2261</v>
      </c>
    </row>
    <row r="1050" spans="1:6" ht="14.25" x14ac:dyDescent="0.45">
      <c r="A1050" s="6" t="str">
        <f ca="1">IFERROR(__xludf.DUMMYFUNCTION("""COMPUTED_VALUE"""),"XDO4IUN")</f>
        <v>XDO4IUN</v>
      </c>
      <c r="B1050" s="7" t="s">
        <v>1971</v>
      </c>
      <c r="C1050" s="7" t="s">
        <v>1981</v>
      </c>
      <c r="D1050" s="7" t="s">
        <v>1974</v>
      </c>
      <c r="E1050" s="8">
        <v>34106</v>
      </c>
      <c r="F1050" s="9">
        <v>44505</v>
      </c>
    </row>
    <row r="1051" spans="1:6" ht="14.25" x14ac:dyDescent="0.45">
      <c r="A1051" s="6" t="str">
        <f ca="1">IFERROR(__xludf.DUMMYFUNCTION("""COMPUTED_VALUE"""),"X2DJP")</f>
        <v>X2DJP</v>
      </c>
      <c r="B1051" s="7" t="s">
        <v>1980</v>
      </c>
      <c r="C1051" s="7" t="s">
        <v>1972</v>
      </c>
      <c r="D1051" s="7" t="s">
        <v>1974</v>
      </c>
      <c r="E1051" s="8">
        <v>34123</v>
      </c>
      <c r="F1051" s="10" t="s">
        <v>2051</v>
      </c>
    </row>
    <row r="1052" spans="1:6" ht="14.25" x14ac:dyDescent="0.45">
      <c r="A1052" s="6" t="str">
        <f ca="1">IFERROR(__xludf.DUMMYFUNCTION("""COMPUTED_VALUE"""),"XAN3Y3U")</f>
        <v>XAN3Y3U</v>
      </c>
      <c r="B1052" s="7" t="s">
        <v>1971</v>
      </c>
      <c r="C1052" s="7" t="s">
        <v>1977</v>
      </c>
      <c r="D1052" s="7" t="s">
        <v>1990</v>
      </c>
      <c r="E1052" s="8">
        <v>34129</v>
      </c>
      <c r="F1052" s="9">
        <v>44507</v>
      </c>
    </row>
    <row r="1053" spans="1:6" ht="14.25" x14ac:dyDescent="0.45">
      <c r="A1053" s="6" t="str">
        <f ca="1">IFERROR(__xludf.DUMMYFUNCTION("""COMPUTED_VALUE"""),"XKLO961")</f>
        <v>XKLO961</v>
      </c>
      <c r="B1053" s="7" t="s">
        <v>1986</v>
      </c>
      <c r="C1053" s="7" t="s">
        <v>1972</v>
      </c>
      <c r="D1053" s="7" t="s">
        <v>1990</v>
      </c>
      <c r="E1053" s="8">
        <v>34131</v>
      </c>
      <c r="F1053" s="10" t="s">
        <v>2326</v>
      </c>
    </row>
    <row r="1054" spans="1:6" ht="14.25" x14ac:dyDescent="0.45">
      <c r="A1054" s="6" t="str">
        <f ca="1">IFERROR(__xludf.DUMMYFUNCTION("""COMPUTED_VALUE"""),"XCIJM3C")</f>
        <v>XCIJM3C</v>
      </c>
      <c r="B1054" s="7" t="s">
        <v>1971</v>
      </c>
      <c r="C1054" s="7" t="s">
        <v>1972</v>
      </c>
      <c r="D1054" s="7" t="s">
        <v>1993</v>
      </c>
      <c r="E1054" s="8">
        <v>34133</v>
      </c>
      <c r="F1054" s="9">
        <v>44290</v>
      </c>
    </row>
    <row r="1055" spans="1:6" ht="14.25" x14ac:dyDescent="0.45">
      <c r="A1055" s="6" t="str">
        <f ca="1">IFERROR(__xludf.DUMMYFUNCTION("""COMPUTED_VALUE"""),"XIW614S")</f>
        <v>XIW614S</v>
      </c>
      <c r="B1055" s="7" t="s">
        <v>1971</v>
      </c>
      <c r="C1055" s="7" t="s">
        <v>1972</v>
      </c>
      <c r="D1055" s="7" t="s">
        <v>1974</v>
      </c>
      <c r="E1055" s="8">
        <v>34135</v>
      </c>
      <c r="F1055" s="10" t="s">
        <v>2258</v>
      </c>
    </row>
    <row r="1056" spans="1:6" ht="14.25" x14ac:dyDescent="0.45">
      <c r="A1056" s="6" t="str">
        <f ca="1">IFERROR(__xludf.DUMMYFUNCTION("""COMPUTED_VALUE"""),"XVVXBT3")</f>
        <v>XVVXBT3</v>
      </c>
      <c r="B1056" s="7" t="s">
        <v>1971</v>
      </c>
      <c r="C1056" s="7" t="s">
        <v>1972</v>
      </c>
      <c r="D1056" s="7" t="s">
        <v>2026</v>
      </c>
      <c r="E1056" s="8">
        <v>34147</v>
      </c>
      <c r="F1056" s="10" t="s">
        <v>2306</v>
      </c>
    </row>
    <row r="1057" spans="1:6" ht="14.25" x14ac:dyDescent="0.45">
      <c r="A1057" s="6" t="str">
        <f ca="1">IFERROR(__xludf.DUMMYFUNCTION("""COMPUTED_VALUE"""),"XZDY55M")</f>
        <v>XZDY55M</v>
      </c>
      <c r="B1057" s="7" t="s">
        <v>1971</v>
      </c>
      <c r="C1057" s="7" t="s">
        <v>1972</v>
      </c>
      <c r="D1057" s="7" t="s">
        <v>2026</v>
      </c>
      <c r="E1057" s="8">
        <v>34149</v>
      </c>
      <c r="F1057" s="10" t="s">
        <v>2242</v>
      </c>
    </row>
    <row r="1058" spans="1:6" ht="14.25" x14ac:dyDescent="0.45">
      <c r="A1058" s="6" t="str">
        <f ca="1">IFERROR(__xludf.DUMMYFUNCTION("""COMPUTED_VALUE"""),"XSNY68Y")</f>
        <v>XSNY68Y</v>
      </c>
      <c r="B1058" s="7" t="s">
        <v>1971</v>
      </c>
      <c r="C1058" s="7" t="s">
        <v>1972</v>
      </c>
      <c r="D1058" s="7" t="s">
        <v>1974</v>
      </c>
      <c r="E1058" s="8">
        <v>34157</v>
      </c>
      <c r="F1058" s="10" t="s">
        <v>2193</v>
      </c>
    </row>
    <row r="1059" spans="1:6" ht="14.25" x14ac:dyDescent="0.45">
      <c r="A1059" s="6" t="str">
        <f ca="1">IFERROR(__xludf.DUMMYFUNCTION("""COMPUTED_VALUE"""),"XAY8X7H")</f>
        <v>XAY8X7H</v>
      </c>
      <c r="B1059" s="7" t="s">
        <v>1971</v>
      </c>
      <c r="C1059" s="7" t="s">
        <v>1996</v>
      </c>
      <c r="D1059" s="7" t="s">
        <v>1974</v>
      </c>
      <c r="E1059" s="8">
        <v>34157</v>
      </c>
      <c r="F1059" s="10" t="s">
        <v>2288</v>
      </c>
    </row>
    <row r="1060" spans="1:6" ht="14.25" x14ac:dyDescent="0.45">
      <c r="A1060" s="6" t="str">
        <f ca="1">IFERROR(__xludf.DUMMYFUNCTION("""COMPUTED_VALUE"""),"X2C12O")</f>
        <v>X2C12O</v>
      </c>
      <c r="B1060" s="7" t="s">
        <v>1971</v>
      </c>
      <c r="C1060" s="7" t="s">
        <v>1972</v>
      </c>
      <c r="D1060" s="7" t="s">
        <v>1974</v>
      </c>
      <c r="E1060" s="8">
        <v>34158</v>
      </c>
      <c r="F1060" s="10" t="s">
        <v>2019</v>
      </c>
    </row>
    <row r="1061" spans="1:6" ht="14.25" x14ac:dyDescent="0.45">
      <c r="A1061" s="6" t="str">
        <f ca="1">IFERROR(__xludf.DUMMYFUNCTION("""COMPUTED_VALUE"""),"X1XD7")</f>
        <v>X1XD7</v>
      </c>
      <c r="B1061" s="7" t="s">
        <v>2092</v>
      </c>
      <c r="C1061" s="7" t="s">
        <v>1981</v>
      </c>
      <c r="D1061" s="7" t="s">
        <v>1982</v>
      </c>
      <c r="E1061" s="8">
        <v>34160</v>
      </c>
      <c r="F1061" s="9">
        <v>43718</v>
      </c>
    </row>
    <row r="1062" spans="1:6" ht="14.25" x14ac:dyDescent="0.45">
      <c r="A1062" s="6" t="str">
        <f ca="1">IFERROR(__xludf.DUMMYFUNCTION("""COMPUTED_VALUE"""),"XFXXUVH")</f>
        <v>XFXXUVH</v>
      </c>
      <c r="B1062" s="7" t="s">
        <v>1971</v>
      </c>
      <c r="C1062" s="7" t="s">
        <v>1974</v>
      </c>
      <c r="D1062" s="7" t="s">
        <v>1974</v>
      </c>
      <c r="E1062" s="8">
        <v>34167</v>
      </c>
      <c r="F1062" s="10" t="s">
        <v>2300</v>
      </c>
    </row>
    <row r="1063" spans="1:6" ht="14.25" x14ac:dyDescent="0.45">
      <c r="A1063" s="6" t="str">
        <f ca="1">IFERROR(__xludf.DUMMYFUNCTION("""COMPUTED_VALUE"""),"X2DVLRE")</f>
        <v>X2DVLRE</v>
      </c>
      <c r="B1063" s="7" t="s">
        <v>1971</v>
      </c>
      <c r="C1063" s="7" t="s">
        <v>1972</v>
      </c>
      <c r="D1063" s="7" t="s">
        <v>1997</v>
      </c>
      <c r="E1063" s="8">
        <v>34168</v>
      </c>
      <c r="F1063" s="10" t="s">
        <v>2289</v>
      </c>
    </row>
    <row r="1064" spans="1:6" ht="14.25" x14ac:dyDescent="0.45">
      <c r="A1064" s="6" t="str">
        <f ca="1">IFERROR(__xludf.DUMMYFUNCTION("""COMPUTED_VALUE"""),"X2AN4")</f>
        <v>X2AN4</v>
      </c>
      <c r="B1064" s="7" t="s">
        <v>1971</v>
      </c>
      <c r="C1064" s="7" t="s">
        <v>1972</v>
      </c>
      <c r="D1064" s="7" t="s">
        <v>1974</v>
      </c>
      <c r="E1064" s="8">
        <v>34169</v>
      </c>
      <c r="F1064" s="9">
        <v>43872</v>
      </c>
    </row>
    <row r="1065" spans="1:6" ht="14.25" x14ac:dyDescent="0.45">
      <c r="A1065" s="6" t="str">
        <f ca="1">IFERROR(__xludf.DUMMYFUNCTION("""COMPUTED_VALUE"""),"X1V130")</f>
        <v>X1V130</v>
      </c>
      <c r="B1065" s="7" t="s">
        <v>1971</v>
      </c>
      <c r="C1065" s="7" t="s">
        <v>1972</v>
      </c>
      <c r="D1065" s="7" t="s">
        <v>1974</v>
      </c>
      <c r="E1065" s="8">
        <v>34174</v>
      </c>
      <c r="F1065" s="10" t="s">
        <v>1991</v>
      </c>
    </row>
    <row r="1066" spans="1:6" ht="14.25" x14ac:dyDescent="0.45">
      <c r="A1066" s="6" t="str">
        <f ca="1">IFERROR(__xludf.DUMMYFUNCTION("""COMPUTED_VALUE"""),"XN32IP1")</f>
        <v>XN32IP1</v>
      </c>
      <c r="B1066" s="7" t="s">
        <v>1971</v>
      </c>
      <c r="C1066" s="7" t="s">
        <v>1972</v>
      </c>
      <c r="D1066" s="7" t="s">
        <v>2026</v>
      </c>
      <c r="E1066" s="8">
        <v>34175</v>
      </c>
      <c r="F1066" s="9">
        <v>44537</v>
      </c>
    </row>
    <row r="1067" spans="1:6" ht="14.25" x14ac:dyDescent="0.45">
      <c r="A1067" s="6" t="str">
        <f ca="1">IFERROR(__xludf.DUMMYFUNCTION("""COMPUTED_VALUE"""),"XH21PLP")</f>
        <v>XH21PLP</v>
      </c>
      <c r="B1067" s="7" t="s">
        <v>1971</v>
      </c>
      <c r="C1067" s="7" t="s">
        <v>1972</v>
      </c>
      <c r="D1067" s="7" t="s">
        <v>1975</v>
      </c>
      <c r="E1067" s="8">
        <v>34183</v>
      </c>
      <c r="F1067" s="9">
        <v>44200</v>
      </c>
    </row>
    <row r="1068" spans="1:6" ht="14.25" x14ac:dyDescent="0.45">
      <c r="A1068" s="6" t="str">
        <f ca="1">IFERROR(__xludf.DUMMYFUNCTION("""COMPUTED_VALUE"""),"XKBT855")</f>
        <v>XKBT855</v>
      </c>
      <c r="B1068" s="7" t="s">
        <v>1971</v>
      </c>
      <c r="C1068" s="7" t="s">
        <v>1972</v>
      </c>
      <c r="D1068" s="7" t="s">
        <v>1993</v>
      </c>
      <c r="E1068" s="8">
        <v>34184</v>
      </c>
      <c r="F1068" s="10" t="s">
        <v>2247</v>
      </c>
    </row>
    <row r="1069" spans="1:6" ht="14.25" x14ac:dyDescent="0.45">
      <c r="A1069" s="6" t="str">
        <f ca="1">IFERROR(__xludf.DUMMYFUNCTION("""COMPUTED_VALUE"""),"X2AOB")</f>
        <v>X2AOB</v>
      </c>
      <c r="B1069" s="7" t="s">
        <v>1971</v>
      </c>
      <c r="C1069" s="7" t="s">
        <v>1981</v>
      </c>
      <c r="D1069" s="7" t="s">
        <v>1975</v>
      </c>
      <c r="E1069" s="8">
        <v>34189</v>
      </c>
      <c r="F1069" s="9">
        <v>43872</v>
      </c>
    </row>
    <row r="1070" spans="1:6" ht="14.25" x14ac:dyDescent="0.45">
      <c r="A1070" s="6" t="str">
        <f ca="1">IFERROR(__xludf.DUMMYFUNCTION("""COMPUTED_VALUE"""),"X2CX4")</f>
        <v>X2CX4</v>
      </c>
      <c r="B1070" s="7" t="s">
        <v>1971</v>
      </c>
      <c r="C1070" s="7" t="s">
        <v>1972</v>
      </c>
      <c r="D1070" s="7" t="s">
        <v>1974</v>
      </c>
      <c r="E1070" s="8">
        <v>34199</v>
      </c>
      <c r="F1070" s="9">
        <v>44287</v>
      </c>
    </row>
    <row r="1071" spans="1:6" ht="14.25" x14ac:dyDescent="0.45">
      <c r="A1071" s="6" t="str">
        <f ca="1">IFERROR(__xludf.DUMMYFUNCTION("""COMPUTED_VALUE"""),"X2DBJ")</f>
        <v>X2DBJ</v>
      </c>
      <c r="B1071" s="7" t="s">
        <v>1980</v>
      </c>
      <c r="C1071" s="7" t="s">
        <v>1972</v>
      </c>
      <c r="D1071" s="7" t="s">
        <v>1982</v>
      </c>
      <c r="E1071" s="8">
        <v>34202</v>
      </c>
      <c r="F1071" s="9">
        <v>44409</v>
      </c>
    </row>
    <row r="1072" spans="1:6" ht="14.25" x14ac:dyDescent="0.45">
      <c r="A1072" s="6" t="str">
        <f ca="1">IFERROR(__xludf.DUMMYFUNCTION("""COMPUTED_VALUE"""),"XTXMTUB")</f>
        <v>XTXMTUB</v>
      </c>
      <c r="B1072" s="7" t="s">
        <v>1971</v>
      </c>
      <c r="C1072" s="7" t="s">
        <v>1972</v>
      </c>
      <c r="D1072" s="7" t="s">
        <v>1997</v>
      </c>
      <c r="E1072" s="8">
        <v>34207</v>
      </c>
      <c r="F1072" s="10" t="s">
        <v>2261</v>
      </c>
    </row>
    <row r="1073" spans="1:6" ht="14.25" x14ac:dyDescent="0.45">
      <c r="A1073" s="6" t="str">
        <f ca="1">IFERROR(__xludf.DUMMYFUNCTION("""COMPUTED_VALUE"""),"XW99E8D")</f>
        <v>XW99E8D</v>
      </c>
      <c r="B1073" s="7" t="s">
        <v>1971</v>
      </c>
      <c r="C1073" s="7" t="s">
        <v>1974</v>
      </c>
      <c r="D1073" s="7" t="s">
        <v>1982</v>
      </c>
      <c r="E1073" s="8">
        <v>34208</v>
      </c>
      <c r="F1073" s="9">
        <v>44294</v>
      </c>
    </row>
    <row r="1074" spans="1:6" ht="14.25" x14ac:dyDescent="0.45">
      <c r="A1074" s="6" t="str">
        <f ca="1">IFERROR(__xludf.DUMMYFUNCTION("""COMPUTED_VALUE"""),"X2R8QV5")</f>
        <v>X2R8QV5</v>
      </c>
      <c r="B1074" s="7" t="s">
        <v>1971</v>
      </c>
      <c r="C1074" s="7" t="s">
        <v>1974</v>
      </c>
      <c r="D1074" s="7" t="s">
        <v>1974</v>
      </c>
      <c r="E1074" s="8">
        <v>34213</v>
      </c>
      <c r="F1074" s="10" t="s">
        <v>2193</v>
      </c>
    </row>
    <row r="1075" spans="1:6" ht="14.25" x14ac:dyDescent="0.45">
      <c r="A1075" s="6" t="str">
        <f ca="1">IFERROR(__xludf.DUMMYFUNCTION("""COMPUTED_VALUE"""),"XG6NPPV")</f>
        <v>XG6NPPV</v>
      </c>
      <c r="B1075" s="7" t="s">
        <v>1971</v>
      </c>
      <c r="C1075" s="7" t="s">
        <v>1972</v>
      </c>
      <c r="D1075" s="7" t="s">
        <v>1974</v>
      </c>
      <c r="E1075" s="8">
        <v>34215</v>
      </c>
      <c r="F1075" s="10" t="s">
        <v>2217</v>
      </c>
    </row>
    <row r="1076" spans="1:6" ht="14.25" x14ac:dyDescent="0.45">
      <c r="A1076" s="6" t="str">
        <f ca="1">IFERROR(__xludf.DUMMYFUNCTION("""COMPUTED_VALUE"""),"XL5EBKM")</f>
        <v>XL5EBKM</v>
      </c>
      <c r="B1076" s="7" t="s">
        <v>1971</v>
      </c>
      <c r="C1076" s="7" t="s">
        <v>1972</v>
      </c>
      <c r="D1076" s="7" t="s">
        <v>1993</v>
      </c>
      <c r="E1076" s="8">
        <v>34216</v>
      </c>
      <c r="F1076" s="10" t="s">
        <v>2220</v>
      </c>
    </row>
    <row r="1077" spans="1:6" ht="14.25" x14ac:dyDescent="0.45">
      <c r="A1077" s="6" t="str">
        <f ca="1">IFERROR(__xludf.DUMMYFUNCTION("""COMPUTED_VALUE"""),"XNWN3S7")</f>
        <v>XNWN3S7</v>
      </c>
      <c r="B1077" s="7" t="s">
        <v>1971</v>
      </c>
      <c r="C1077" s="7" t="s">
        <v>1981</v>
      </c>
      <c r="D1077" s="7" t="s">
        <v>1993</v>
      </c>
      <c r="E1077" s="8">
        <v>34220</v>
      </c>
      <c r="F1077" s="10" t="s">
        <v>2260</v>
      </c>
    </row>
    <row r="1078" spans="1:6" ht="14.25" x14ac:dyDescent="0.45">
      <c r="A1078" s="6" t="str">
        <f ca="1">IFERROR(__xludf.DUMMYFUNCTION("""COMPUTED_VALUE"""),"XD9G2SV")</f>
        <v>XD9G2SV</v>
      </c>
      <c r="B1078" s="7" t="s">
        <v>1971</v>
      </c>
      <c r="C1078" s="7" t="s">
        <v>1972</v>
      </c>
      <c r="D1078" s="7" t="s">
        <v>1984</v>
      </c>
      <c r="E1078" s="8">
        <v>34223</v>
      </c>
      <c r="F1078" s="9">
        <v>44535</v>
      </c>
    </row>
    <row r="1079" spans="1:6" ht="14.25" x14ac:dyDescent="0.45">
      <c r="A1079" s="6" t="str">
        <f ca="1">IFERROR(__xludf.DUMMYFUNCTION("""COMPUTED_VALUE"""),"XIOWBO3")</f>
        <v>XIOWBO3</v>
      </c>
      <c r="B1079" s="7" t="s">
        <v>1971</v>
      </c>
      <c r="C1079" s="7" t="s">
        <v>1972</v>
      </c>
      <c r="D1079" s="7" t="s">
        <v>1974</v>
      </c>
      <c r="E1079" s="8">
        <v>34223</v>
      </c>
      <c r="F1079" s="10" t="s">
        <v>2261</v>
      </c>
    </row>
    <row r="1080" spans="1:6" ht="14.25" x14ac:dyDescent="0.45">
      <c r="A1080" s="6" t="str">
        <f ca="1">IFERROR(__xludf.DUMMYFUNCTION("""COMPUTED_VALUE"""),"X2C1AQ")</f>
        <v>X2C1AQ</v>
      </c>
      <c r="B1080" s="7" t="s">
        <v>1986</v>
      </c>
      <c r="C1080" s="7" t="s">
        <v>1972</v>
      </c>
      <c r="D1080" s="7" t="s">
        <v>1974</v>
      </c>
      <c r="E1080" s="8">
        <v>34224</v>
      </c>
      <c r="F1080" s="10" t="s">
        <v>2151</v>
      </c>
    </row>
    <row r="1081" spans="1:6" ht="14.25" x14ac:dyDescent="0.45">
      <c r="A1081" s="6" t="str">
        <f ca="1">IFERROR(__xludf.DUMMYFUNCTION("""COMPUTED_VALUE"""),"X9IWGK2")</f>
        <v>X9IWGK2</v>
      </c>
      <c r="B1081" s="7" t="s">
        <v>1971</v>
      </c>
      <c r="C1081" s="7" t="s">
        <v>1972</v>
      </c>
      <c r="D1081" s="7" t="s">
        <v>1978</v>
      </c>
      <c r="E1081" s="8">
        <v>34227</v>
      </c>
      <c r="F1081" s="9">
        <v>44263</v>
      </c>
    </row>
    <row r="1082" spans="1:6" ht="14.25" x14ac:dyDescent="0.45">
      <c r="A1082" s="6" t="str">
        <f ca="1">IFERROR(__xludf.DUMMYFUNCTION("""COMPUTED_VALUE"""),"X1W11X")</f>
        <v>X1W11X</v>
      </c>
      <c r="B1082" s="7" t="s">
        <v>1971</v>
      </c>
      <c r="C1082" s="7" t="s">
        <v>1977</v>
      </c>
      <c r="D1082" s="7" t="s">
        <v>1975</v>
      </c>
      <c r="E1082" s="8">
        <v>34229</v>
      </c>
      <c r="F1082" s="10" t="s">
        <v>2122</v>
      </c>
    </row>
    <row r="1083" spans="1:6" ht="14.25" x14ac:dyDescent="0.45">
      <c r="A1083" s="6" t="str">
        <f ca="1">IFERROR(__xludf.DUMMYFUNCTION("""COMPUTED_VALUE"""),"X2CVZ")</f>
        <v>X2CVZ</v>
      </c>
      <c r="B1083" s="7" t="s">
        <v>1986</v>
      </c>
      <c r="C1083" s="7" t="s">
        <v>1996</v>
      </c>
      <c r="D1083" s="7" t="s">
        <v>1993</v>
      </c>
      <c r="E1083" s="8">
        <v>34235</v>
      </c>
      <c r="F1083" s="9">
        <v>44287</v>
      </c>
    </row>
    <row r="1084" spans="1:6" ht="14.25" x14ac:dyDescent="0.45">
      <c r="A1084" s="6" t="str">
        <f ca="1">IFERROR(__xludf.DUMMYFUNCTION("""COMPUTED_VALUE"""),"XWC2RAA")</f>
        <v>XWC2RAA</v>
      </c>
      <c r="B1084" s="7" t="s">
        <v>1971</v>
      </c>
      <c r="C1084" s="7" t="s">
        <v>1972</v>
      </c>
      <c r="D1084" s="7" t="s">
        <v>1997</v>
      </c>
      <c r="E1084" s="8">
        <v>34240</v>
      </c>
      <c r="F1084" s="10" t="s">
        <v>2260</v>
      </c>
    </row>
    <row r="1085" spans="1:6" ht="14.25" x14ac:dyDescent="0.45">
      <c r="A1085" s="6" t="str">
        <f ca="1">IFERROR(__xludf.DUMMYFUNCTION("""COMPUTED_VALUE"""),"X1XU3N7")</f>
        <v>X1XU3N7</v>
      </c>
      <c r="B1085" s="7" t="s">
        <v>1971</v>
      </c>
      <c r="C1085" s="7" t="s">
        <v>1972</v>
      </c>
      <c r="D1085" s="7" t="s">
        <v>1995</v>
      </c>
      <c r="E1085" s="8">
        <v>34242</v>
      </c>
      <c r="F1085" s="10" t="s">
        <v>2288</v>
      </c>
    </row>
    <row r="1086" spans="1:6" ht="14.25" x14ac:dyDescent="0.45">
      <c r="A1086" s="6" t="str">
        <f ca="1">IFERROR(__xludf.DUMMYFUNCTION("""COMPUTED_VALUE"""),"XBE16XZ")</f>
        <v>XBE16XZ</v>
      </c>
      <c r="B1086" s="7" t="s">
        <v>1971</v>
      </c>
      <c r="C1086" s="7" t="s">
        <v>1972</v>
      </c>
      <c r="D1086" s="7" t="s">
        <v>2007</v>
      </c>
      <c r="E1086" s="8">
        <v>34246</v>
      </c>
      <c r="F1086" s="10" t="s">
        <v>2245</v>
      </c>
    </row>
    <row r="1087" spans="1:6" ht="14.25" x14ac:dyDescent="0.45">
      <c r="A1087" s="6" t="str">
        <f ca="1">IFERROR(__xludf.DUMMYFUNCTION("""COMPUTED_VALUE"""),"XZYIS8G")</f>
        <v>XZYIS8G</v>
      </c>
      <c r="B1087" s="7" t="s">
        <v>1971</v>
      </c>
      <c r="C1087" s="7" t="s">
        <v>1977</v>
      </c>
      <c r="D1087" s="7" t="s">
        <v>1974</v>
      </c>
      <c r="E1087" s="8">
        <v>34258</v>
      </c>
      <c r="F1087" s="10" t="s">
        <v>2192</v>
      </c>
    </row>
    <row r="1088" spans="1:6" ht="14.25" x14ac:dyDescent="0.45">
      <c r="A1088" s="6" t="str">
        <f ca="1">IFERROR(__xludf.DUMMYFUNCTION("""COMPUTED_VALUE"""),"X2APU")</f>
        <v>X2APU</v>
      </c>
      <c r="B1088" s="7" t="s">
        <v>1986</v>
      </c>
      <c r="C1088" s="7" t="s">
        <v>1972</v>
      </c>
      <c r="D1088" s="7" t="s">
        <v>1974</v>
      </c>
      <c r="E1088" s="8">
        <v>34265</v>
      </c>
      <c r="F1088" s="9">
        <v>43872</v>
      </c>
    </row>
    <row r="1089" spans="1:6" ht="14.25" x14ac:dyDescent="0.45">
      <c r="A1089" s="6" t="str">
        <f ca="1">IFERROR(__xludf.DUMMYFUNCTION("""COMPUTED_VALUE"""),"XJE4VKH")</f>
        <v>XJE4VKH</v>
      </c>
      <c r="B1089" s="7" t="s">
        <v>1971</v>
      </c>
      <c r="C1089" s="7" t="s">
        <v>1981</v>
      </c>
      <c r="D1089" s="7" t="s">
        <v>1974</v>
      </c>
      <c r="E1089" s="8">
        <v>34275</v>
      </c>
      <c r="F1089" s="9">
        <v>44200</v>
      </c>
    </row>
    <row r="1090" spans="1:6" ht="14.25" x14ac:dyDescent="0.45">
      <c r="A1090" s="6" t="str">
        <f ca="1">IFERROR(__xludf.DUMMYFUNCTION("""COMPUTED_VALUE"""),"XHQ3E1G")</f>
        <v>XHQ3E1G</v>
      </c>
      <c r="B1090" s="7" t="s">
        <v>1971</v>
      </c>
      <c r="C1090" s="7" t="s">
        <v>1977</v>
      </c>
      <c r="D1090" s="7" t="s">
        <v>1978</v>
      </c>
      <c r="E1090" s="8">
        <v>34281</v>
      </c>
      <c r="F1090" s="10" t="s">
        <v>2242</v>
      </c>
    </row>
    <row r="1091" spans="1:6" ht="14.25" x14ac:dyDescent="0.45">
      <c r="A1091" s="6" t="str">
        <f ca="1">IFERROR(__xludf.DUMMYFUNCTION("""COMPUTED_VALUE"""),"XWIMEOK")</f>
        <v>XWIMEOK</v>
      </c>
      <c r="B1091" s="7" t="s">
        <v>1971</v>
      </c>
      <c r="C1091" s="7" t="s">
        <v>1977</v>
      </c>
      <c r="D1091" s="7" t="s">
        <v>1973</v>
      </c>
      <c r="E1091" s="8">
        <v>34281</v>
      </c>
      <c r="F1091" s="9">
        <v>44208</v>
      </c>
    </row>
    <row r="1092" spans="1:6" ht="14.25" x14ac:dyDescent="0.45">
      <c r="A1092" s="6" t="str">
        <f ca="1">IFERROR(__xludf.DUMMYFUNCTION("""COMPUTED_VALUE"""),"X233X")</f>
        <v>X233X</v>
      </c>
      <c r="B1092" s="7" t="s">
        <v>1971</v>
      </c>
      <c r="C1092" s="7" t="s">
        <v>1972</v>
      </c>
      <c r="D1092" s="7" t="s">
        <v>1987</v>
      </c>
      <c r="E1092" s="8">
        <v>34287</v>
      </c>
      <c r="F1092" s="10" t="s">
        <v>2057</v>
      </c>
    </row>
    <row r="1093" spans="1:6" ht="14.25" x14ac:dyDescent="0.45">
      <c r="A1093" s="6" t="str">
        <f ca="1">IFERROR(__xludf.DUMMYFUNCTION("""COMPUTED_VALUE"""),"X28LB")</f>
        <v>X28LB</v>
      </c>
      <c r="B1093" s="7" t="s">
        <v>1986</v>
      </c>
      <c r="C1093" s="7" t="s">
        <v>1972</v>
      </c>
      <c r="D1093" s="7" t="s">
        <v>1993</v>
      </c>
      <c r="E1093" s="8">
        <v>34288</v>
      </c>
      <c r="F1093" s="10" t="s">
        <v>2221</v>
      </c>
    </row>
    <row r="1094" spans="1:6" ht="14.25" x14ac:dyDescent="0.45">
      <c r="A1094" s="6" t="str">
        <f ca="1">IFERROR(__xludf.DUMMYFUNCTION("""COMPUTED_VALUE"""),"XX78R3U")</f>
        <v>XX78R3U</v>
      </c>
      <c r="B1094" s="7" t="s">
        <v>1971</v>
      </c>
      <c r="C1094" s="7" t="s">
        <v>1972</v>
      </c>
      <c r="D1094" s="7" t="s">
        <v>1997</v>
      </c>
      <c r="E1094" s="8">
        <v>34291</v>
      </c>
      <c r="F1094" s="10" t="s">
        <v>2200</v>
      </c>
    </row>
    <row r="1095" spans="1:6" ht="14.25" x14ac:dyDescent="0.45">
      <c r="A1095" s="6" t="str">
        <f ca="1">IFERROR(__xludf.DUMMYFUNCTION("""COMPUTED_VALUE"""),"XLHUQ3T")</f>
        <v>XLHUQ3T</v>
      </c>
      <c r="B1095" s="7" t="s">
        <v>1971</v>
      </c>
      <c r="C1095" s="7" t="s">
        <v>1972</v>
      </c>
      <c r="D1095" s="7" t="s">
        <v>1990</v>
      </c>
      <c r="E1095" s="8">
        <v>34293</v>
      </c>
      <c r="F1095" s="9">
        <v>44505</v>
      </c>
    </row>
    <row r="1096" spans="1:6" ht="14.25" x14ac:dyDescent="0.45">
      <c r="A1096" s="6" t="str">
        <f ca="1">IFERROR(__xludf.DUMMYFUNCTION("""COMPUTED_VALUE"""),"XTANO4K")</f>
        <v>XTANO4K</v>
      </c>
      <c r="B1096" s="7" t="s">
        <v>1971</v>
      </c>
      <c r="C1096" s="7" t="s">
        <v>1972</v>
      </c>
      <c r="D1096" s="7" t="s">
        <v>2007</v>
      </c>
      <c r="E1096" s="8">
        <v>34296</v>
      </c>
      <c r="F1096" s="10" t="s">
        <v>2283</v>
      </c>
    </row>
    <row r="1097" spans="1:6" ht="14.25" x14ac:dyDescent="0.45">
      <c r="A1097" s="6" t="str">
        <f ca="1">IFERROR(__xludf.DUMMYFUNCTION("""COMPUTED_VALUE"""),"X2CG2")</f>
        <v>X2CG2</v>
      </c>
      <c r="B1097" s="7" t="s">
        <v>1971</v>
      </c>
      <c r="C1097" s="7" t="s">
        <v>1972</v>
      </c>
      <c r="D1097" s="7" t="s">
        <v>2020</v>
      </c>
      <c r="E1097" s="8">
        <v>34297</v>
      </c>
      <c r="F1097" s="10" t="s">
        <v>2032</v>
      </c>
    </row>
    <row r="1098" spans="1:6" ht="14.25" x14ac:dyDescent="0.45">
      <c r="A1098" s="6" t="str">
        <f ca="1">IFERROR(__xludf.DUMMYFUNCTION("""COMPUTED_VALUE"""),"X2PNS3Z")</f>
        <v>X2PNS3Z</v>
      </c>
      <c r="B1098" s="7" t="s">
        <v>1980</v>
      </c>
      <c r="C1098" s="7" t="s">
        <v>1972</v>
      </c>
      <c r="D1098" s="7" t="s">
        <v>1974</v>
      </c>
      <c r="E1098" s="8">
        <v>34297</v>
      </c>
      <c r="F1098" s="10" t="s">
        <v>2266</v>
      </c>
    </row>
    <row r="1099" spans="1:6" ht="14.25" x14ac:dyDescent="0.45">
      <c r="A1099" s="6" t="str">
        <f ca="1">IFERROR(__xludf.DUMMYFUNCTION("""COMPUTED_VALUE"""),"X65YBKV")</f>
        <v>X65YBKV</v>
      </c>
      <c r="B1099" s="7" t="s">
        <v>1971</v>
      </c>
      <c r="C1099" s="7" t="s">
        <v>1972</v>
      </c>
      <c r="D1099" s="7" t="s">
        <v>1974</v>
      </c>
      <c r="E1099" s="8">
        <v>34299</v>
      </c>
      <c r="F1099" s="9">
        <v>44418</v>
      </c>
    </row>
    <row r="1100" spans="1:6" ht="14.25" x14ac:dyDescent="0.45">
      <c r="A1100" s="6" t="str">
        <f ca="1">IFERROR(__xludf.DUMMYFUNCTION("""COMPUTED_VALUE"""),"XFSBE9C")</f>
        <v>XFSBE9C</v>
      </c>
      <c r="B1100" s="7" t="s">
        <v>1971</v>
      </c>
      <c r="C1100" s="7" t="s">
        <v>1972</v>
      </c>
      <c r="D1100" s="7" t="s">
        <v>1993</v>
      </c>
      <c r="E1100" s="8">
        <v>34300</v>
      </c>
      <c r="F1100" s="10" t="s">
        <v>2246</v>
      </c>
    </row>
    <row r="1101" spans="1:6" ht="14.25" x14ac:dyDescent="0.45">
      <c r="A1101" s="6" t="str">
        <f ca="1">IFERROR(__xludf.DUMMYFUNCTION("""COMPUTED_VALUE"""),"XXEZ8E7")</f>
        <v>XXEZ8E7</v>
      </c>
      <c r="B1101" s="7" t="s">
        <v>1980</v>
      </c>
      <c r="C1101" s="7" t="s">
        <v>1977</v>
      </c>
      <c r="D1101" s="7" t="s">
        <v>2072</v>
      </c>
      <c r="E1101" s="8">
        <v>34302</v>
      </c>
      <c r="F1101" s="10" t="s">
        <v>2213</v>
      </c>
    </row>
    <row r="1102" spans="1:6" ht="14.25" x14ac:dyDescent="0.45">
      <c r="A1102" s="6" t="str">
        <f ca="1">IFERROR(__xludf.DUMMYFUNCTION("""COMPUTED_VALUE"""),"XN868FS")</f>
        <v>XN868FS</v>
      </c>
      <c r="B1102" s="7" t="s">
        <v>1971</v>
      </c>
      <c r="C1102" s="7" t="s">
        <v>1972</v>
      </c>
      <c r="D1102" s="7" t="s">
        <v>1974</v>
      </c>
      <c r="E1102" s="8">
        <v>34304</v>
      </c>
      <c r="F1102" s="9">
        <v>44533</v>
      </c>
    </row>
    <row r="1103" spans="1:6" ht="14.25" x14ac:dyDescent="0.45">
      <c r="A1103" s="6" t="str">
        <f ca="1">IFERROR(__xludf.DUMMYFUNCTION("""COMPUTED_VALUE"""),"X1BIMQK")</f>
        <v>X1BIMQK</v>
      </c>
      <c r="B1103" s="7" t="s">
        <v>1971</v>
      </c>
      <c r="C1103" s="7" t="s">
        <v>1972</v>
      </c>
      <c r="D1103" s="7" t="s">
        <v>1990</v>
      </c>
      <c r="E1103" s="8">
        <v>34304</v>
      </c>
      <c r="F1103" s="10" t="s">
        <v>2220</v>
      </c>
    </row>
    <row r="1104" spans="1:6" ht="14.25" x14ac:dyDescent="0.45">
      <c r="A1104" s="6" t="str">
        <f ca="1">IFERROR(__xludf.DUMMYFUNCTION("""COMPUTED_VALUE"""),"X22JT")</f>
        <v>X22JT</v>
      </c>
      <c r="B1104" s="7" t="s">
        <v>1971</v>
      </c>
      <c r="C1104" s="7" t="s">
        <v>1996</v>
      </c>
      <c r="D1104" s="7" t="s">
        <v>1997</v>
      </c>
      <c r="E1104" s="8">
        <v>34311</v>
      </c>
      <c r="F1104" s="9">
        <v>44107</v>
      </c>
    </row>
    <row r="1105" spans="1:6" ht="14.25" x14ac:dyDescent="0.45">
      <c r="A1105" s="6" t="str">
        <f ca="1">IFERROR(__xludf.DUMMYFUNCTION("""COMPUTED_VALUE"""),"X644ADW")</f>
        <v>X644ADW</v>
      </c>
      <c r="B1105" s="7" t="s">
        <v>1971</v>
      </c>
      <c r="C1105" s="7" t="s">
        <v>1972</v>
      </c>
      <c r="D1105" s="7" t="s">
        <v>2003</v>
      </c>
      <c r="E1105" s="8">
        <v>34317</v>
      </c>
      <c r="F1105" s="10" t="s">
        <v>2193</v>
      </c>
    </row>
    <row r="1106" spans="1:6" ht="14.25" x14ac:dyDescent="0.45">
      <c r="A1106" s="6" t="str">
        <f ca="1">IFERROR(__xludf.DUMMYFUNCTION("""COMPUTED_VALUE"""),"X1L75GN")</f>
        <v>X1L75GN</v>
      </c>
      <c r="B1106" s="7" t="s">
        <v>1971</v>
      </c>
      <c r="C1106" s="7" t="s">
        <v>1972</v>
      </c>
      <c r="D1106" s="7" t="s">
        <v>1993</v>
      </c>
      <c r="E1106" s="8">
        <v>34323</v>
      </c>
      <c r="F1106" s="10" t="s">
        <v>2258</v>
      </c>
    </row>
    <row r="1107" spans="1:6" ht="14.25" x14ac:dyDescent="0.45">
      <c r="A1107" s="6" t="str">
        <f ca="1">IFERROR(__xludf.DUMMYFUNCTION("""COMPUTED_VALUE"""),"X1YCS")</f>
        <v>X1YCS</v>
      </c>
      <c r="B1107" s="7" t="s">
        <v>1971</v>
      </c>
      <c r="C1107" s="7" t="s">
        <v>1972</v>
      </c>
      <c r="D1107" s="7" t="s">
        <v>1990</v>
      </c>
      <c r="E1107" s="8">
        <v>34345</v>
      </c>
      <c r="F1107" s="9">
        <v>43476</v>
      </c>
    </row>
    <row r="1108" spans="1:6" ht="14.25" x14ac:dyDescent="0.45">
      <c r="A1108" s="6" t="str">
        <f ca="1">IFERROR(__xludf.DUMMYFUNCTION("""COMPUTED_VALUE"""),"X2913Q")</f>
        <v>X2913Q</v>
      </c>
      <c r="B1108" s="7" t="s">
        <v>1971</v>
      </c>
      <c r="C1108" s="7" t="s">
        <v>1974</v>
      </c>
      <c r="D1108" s="7" t="s">
        <v>1993</v>
      </c>
      <c r="E1108" s="8">
        <v>34348</v>
      </c>
      <c r="F1108" s="10" t="s">
        <v>2002</v>
      </c>
    </row>
    <row r="1109" spans="1:6" ht="14.25" x14ac:dyDescent="0.45">
      <c r="A1109" s="6" t="str">
        <f ca="1">IFERROR(__xludf.DUMMYFUNCTION("""COMPUTED_VALUE"""),"XAHGXON")</f>
        <v>XAHGXON</v>
      </c>
      <c r="B1109" s="7" t="s">
        <v>2025</v>
      </c>
      <c r="C1109" s="7" t="s">
        <v>1972</v>
      </c>
      <c r="D1109" s="7" t="s">
        <v>1984</v>
      </c>
      <c r="E1109" s="8">
        <v>34356</v>
      </c>
      <c r="F1109" s="9">
        <v>44202</v>
      </c>
    </row>
    <row r="1110" spans="1:6" ht="14.25" x14ac:dyDescent="0.45">
      <c r="A1110" s="6" t="str">
        <f ca="1">IFERROR(__xludf.DUMMYFUNCTION("""COMPUTED_VALUE"""),"XND7J8Q")</f>
        <v>XND7J8Q</v>
      </c>
      <c r="B1110" s="7" t="s">
        <v>1971</v>
      </c>
      <c r="C1110" s="7" t="s">
        <v>1972</v>
      </c>
      <c r="D1110" s="7" t="s">
        <v>1973</v>
      </c>
      <c r="E1110" s="8">
        <v>34359</v>
      </c>
      <c r="F1110" s="10" t="s">
        <v>2261</v>
      </c>
    </row>
    <row r="1111" spans="1:6" ht="14.25" x14ac:dyDescent="0.45">
      <c r="A1111" s="6" t="str">
        <f ca="1">IFERROR(__xludf.DUMMYFUNCTION("""COMPUTED_VALUE"""),"X2D51")</f>
        <v>X2D51</v>
      </c>
      <c r="B1111" s="7" t="s">
        <v>1986</v>
      </c>
      <c r="C1111" s="7" t="s">
        <v>1972</v>
      </c>
      <c r="D1111" s="7" t="s">
        <v>1995</v>
      </c>
      <c r="E1111" s="8">
        <v>34360</v>
      </c>
      <c r="F1111" s="9">
        <v>44348</v>
      </c>
    </row>
    <row r="1112" spans="1:6" ht="14.25" x14ac:dyDescent="0.45">
      <c r="A1112" s="6" t="str">
        <f ca="1">IFERROR(__xludf.DUMMYFUNCTION("""COMPUTED_VALUE"""),"X299V")</f>
        <v>X299V</v>
      </c>
      <c r="B1112" s="7" t="s">
        <v>2092</v>
      </c>
      <c r="C1112" s="7" t="s">
        <v>1972</v>
      </c>
      <c r="D1112" s="7" t="s">
        <v>1975</v>
      </c>
      <c r="E1112" s="8">
        <v>34362</v>
      </c>
      <c r="F1112" s="9">
        <v>43961</v>
      </c>
    </row>
    <row r="1113" spans="1:6" ht="14.25" x14ac:dyDescent="0.45">
      <c r="A1113" s="6" t="str">
        <f ca="1">IFERROR(__xludf.DUMMYFUNCTION("""COMPUTED_VALUE"""),"XDSXMG5")</f>
        <v>XDSXMG5</v>
      </c>
      <c r="B1113" s="7" t="s">
        <v>1971</v>
      </c>
      <c r="C1113" s="7" t="s">
        <v>1974</v>
      </c>
      <c r="D1113" s="7" t="s">
        <v>1990</v>
      </c>
      <c r="E1113" s="8">
        <v>34365</v>
      </c>
      <c r="F1113" s="9">
        <v>44447</v>
      </c>
    </row>
    <row r="1114" spans="1:6" ht="14.25" x14ac:dyDescent="0.45">
      <c r="A1114" s="6" t="str">
        <f ca="1">IFERROR(__xludf.DUMMYFUNCTION("""COMPUTED_VALUE"""),"XJCE5AF")</f>
        <v>XJCE5AF</v>
      </c>
      <c r="B1114" s="7" t="s">
        <v>1971</v>
      </c>
      <c r="C1114" s="7" t="s">
        <v>1974</v>
      </c>
      <c r="D1114" s="7" t="s">
        <v>1997</v>
      </c>
      <c r="E1114" s="8">
        <v>34373</v>
      </c>
      <c r="F1114" s="9">
        <v>44505</v>
      </c>
    </row>
    <row r="1115" spans="1:6" ht="14.25" x14ac:dyDescent="0.45">
      <c r="A1115" s="6" t="str">
        <f ca="1">IFERROR(__xludf.DUMMYFUNCTION("""COMPUTED_VALUE"""),"XRIY6I2")</f>
        <v>XRIY6I2</v>
      </c>
      <c r="B1115" s="7" t="s">
        <v>1971</v>
      </c>
      <c r="C1115" s="7" t="s">
        <v>1974</v>
      </c>
      <c r="D1115" s="7" t="s">
        <v>1974</v>
      </c>
      <c r="E1115" s="8">
        <v>34374</v>
      </c>
      <c r="F1115" s="10" t="s">
        <v>2331</v>
      </c>
    </row>
    <row r="1116" spans="1:6" ht="14.25" x14ac:dyDescent="0.45">
      <c r="A1116" s="6" t="str">
        <f ca="1">IFERROR(__xludf.DUMMYFUNCTION("""COMPUTED_VALUE"""),"XQOX1BR")</f>
        <v>XQOX1BR</v>
      </c>
      <c r="B1116" s="7" t="s">
        <v>1971</v>
      </c>
      <c r="C1116" s="7" t="s">
        <v>1972</v>
      </c>
      <c r="D1116" s="7" t="s">
        <v>1975</v>
      </c>
      <c r="E1116" s="8">
        <v>34375</v>
      </c>
      <c r="F1116" s="9">
        <v>44323</v>
      </c>
    </row>
    <row r="1117" spans="1:6" ht="14.25" x14ac:dyDescent="0.45">
      <c r="A1117" s="6" t="str">
        <f ca="1">IFERROR(__xludf.DUMMYFUNCTION("""COMPUTED_VALUE"""),"XICEOI8")</f>
        <v>XICEOI8</v>
      </c>
      <c r="B1117" s="7" t="s">
        <v>1971</v>
      </c>
      <c r="C1117" s="7" t="s">
        <v>1981</v>
      </c>
      <c r="D1117" s="7" t="s">
        <v>1983</v>
      </c>
      <c r="E1117" s="8">
        <v>34380</v>
      </c>
      <c r="F1117" s="10" t="s">
        <v>2242</v>
      </c>
    </row>
    <row r="1118" spans="1:6" ht="14.25" x14ac:dyDescent="0.45">
      <c r="A1118" s="6" t="str">
        <f ca="1">IFERROR(__xludf.DUMMYFUNCTION("""COMPUTED_VALUE"""),"XOIJM6S")</f>
        <v>XOIJM6S</v>
      </c>
      <c r="B1118" s="7" t="s">
        <v>1971</v>
      </c>
      <c r="C1118" s="7" t="s">
        <v>1972</v>
      </c>
      <c r="D1118" s="7" t="s">
        <v>2088</v>
      </c>
      <c r="E1118" s="8">
        <v>34382</v>
      </c>
      <c r="F1118" s="10" t="s">
        <v>2212</v>
      </c>
    </row>
    <row r="1119" spans="1:6" ht="14.25" x14ac:dyDescent="0.45">
      <c r="A1119" s="6" t="str">
        <f ca="1">IFERROR(__xludf.DUMMYFUNCTION("""COMPUTED_VALUE"""),"X2D7A")</f>
        <v>X2D7A</v>
      </c>
      <c r="B1119" s="7" t="s">
        <v>1971</v>
      </c>
      <c r="C1119" s="7" t="s">
        <v>1972</v>
      </c>
      <c r="D1119" s="7" t="s">
        <v>1997</v>
      </c>
      <c r="E1119" s="8">
        <v>34384</v>
      </c>
      <c r="F1119" s="9">
        <v>44409</v>
      </c>
    </row>
    <row r="1120" spans="1:6" ht="14.25" x14ac:dyDescent="0.45">
      <c r="A1120" s="6" t="str">
        <f ca="1">IFERROR(__xludf.DUMMYFUNCTION("""COMPUTED_VALUE"""),"X234S")</f>
        <v>X234S</v>
      </c>
      <c r="B1120" s="7" t="s">
        <v>1986</v>
      </c>
      <c r="C1120" s="7" t="s">
        <v>1972</v>
      </c>
      <c r="D1120" s="7" t="s">
        <v>1974</v>
      </c>
      <c r="E1120" s="8">
        <v>34392</v>
      </c>
      <c r="F1120" s="10" t="s">
        <v>2045</v>
      </c>
    </row>
    <row r="1121" spans="1:6" ht="14.25" x14ac:dyDescent="0.45">
      <c r="A1121" s="6" t="str">
        <f ca="1">IFERROR(__xludf.DUMMYFUNCTION("""COMPUTED_VALUE"""),"XNQA76X")</f>
        <v>XNQA76X</v>
      </c>
      <c r="B1121" s="7" t="s">
        <v>1971</v>
      </c>
      <c r="C1121" s="7" t="s">
        <v>1972</v>
      </c>
      <c r="D1121" s="7" t="s">
        <v>1974</v>
      </c>
      <c r="E1121" s="8">
        <v>34392</v>
      </c>
      <c r="F1121" s="9">
        <v>44200</v>
      </c>
    </row>
    <row r="1122" spans="1:6" ht="14.25" x14ac:dyDescent="0.45">
      <c r="A1122" s="6" t="str">
        <f ca="1">IFERROR(__xludf.DUMMYFUNCTION("""COMPUTED_VALUE"""),"X7G4H2Y")</f>
        <v>X7G4H2Y</v>
      </c>
      <c r="B1122" s="7" t="s">
        <v>2092</v>
      </c>
      <c r="C1122" s="7" t="s">
        <v>1977</v>
      </c>
      <c r="D1122" s="7" t="s">
        <v>1987</v>
      </c>
      <c r="E1122" s="8">
        <v>34395</v>
      </c>
      <c r="F1122" s="9">
        <v>44420</v>
      </c>
    </row>
    <row r="1123" spans="1:6" ht="14.25" x14ac:dyDescent="0.45">
      <c r="A1123" s="6" t="str">
        <f ca="1">IFERROR(__xludf.DUMMYFUNCTION("""COMPUTED_VALUE"""),"XFOOAMJ")</f>
        <v>XFOOAMJ</v>
      </c>
      <c r="B1123" s="7" t="s">
        <v>1971</v>
      </c>
      <c r="C1123" s="7" t="s">
        <v>1972</v>
      </c>
      <c r="D1123" s="7" t="s">
        <v>2026</v>
      </c>
      <c r="E1123" s="8">
        <v>34399</v>
      </c>
      <c r="F1123" s="10" t="s">
        <v>2245</v>
      </c>
    </row>
    <row r="1124" spans="1:6" ht="14.25" x14ac:dyDescent="0.45">
      <c r="A1124" s="6" t="str">
        <f ca="1">IFERROR(__xludf.DUMMYFUNCTION("""COMPUTED_VALUE"""),"XWIEY94")</f>
        <v>XWIEY94</v>
      </c>
      <c r="B1124" s="7" t="s">
        <v>1986</v>
      </c>
      <c r="C1124" s="7" t="s">
        <v>1972</v>
      </c>
      <c r="D1124" s="7" t="s">
        <v>2026</v>
      </c>
      <c r="E1124" s="8">
        <v>34400</v>
      </c>
      <c r="F1124" s="9">
        <v>44320</v>
      </c>
    </row>
    <row r="1125" spans="1:6" ht="14.25" x14ac:dyDescent="0.45">
      <c r="A1125" s="6" t="str">
        <f ca="1">IFERROR(__xludf.DUMMYFUNCTION("""COMPUTED_VALUE"""),"X2BIZ")</f>
        <v>X2BIZ</v>
      </c>
      <c r="B1125" s="7" t="s">
        <v>1971</v>
      </c>
      <c r="C1125" s="7" t="s">
        <v>1974</v>
      </c>
      <c r="D1125" s="7" t="s">
        <v>1974</v>
      </c>
      <c r="E1125" s="8">
        <v>34409</v>
      </c>
      <c r="F1125" s="10" t="s">
        <v>2013</v>
      </c>
    </row>
    <row r="1126" spans="1:6" ht="14.25" x14ac:dyDescent="0.45">
      <c r="A1126" s="6" t="str">
        <f ca="1">IFERROR(__xludf.DUMMYFUNCTION("""COMPUTED_VALUE"""),"XGBII3R")</f>
        <v>XGBII3R</v>
      </c>
      <c r="B1126" s="7" t="s">
        <v>1971</v>
      </c>
      <c r="C1126" s="7" t="s">
        <v>1974</v>
      </c>
      <c r="D1126" s="7" t="s">
        <v>1973</v>
      </c>
      <c r="E1126" s="8">
        <v>34409</v>
      </c>
      <c r="F1126" s="10" t="s">
        <v>2291</v>
      </c>
    </row>
    <row r="1127" spans="1:6" ht="14.25" x14ac:dyDescent="0.45">
      <c r="A1127" s="6" t="str">
        <f ca="1">IFERROR(__xludf.DUMMYFUNCTION("""COMPUTED_VALUE"""),"X2DQQ")</f>
        <v>X2DQQ</v>
      </c>
      <c r="B1127" s="7" t="s">
        <v>1971</v>
      </c>
      <c r="C1127" s="7" t="s">
        <v>1981</v>
      </c>
      <c r="D1127" s="7" t="s">
        <v>1974</v>
      </c>
      <c r="E1127" s="8">
        <v>34421</v>
      </c>
      <c r="F1127" s="10" t="s">
        <v>2042</v>
      </c>
    </row>
    <row r="1128" spans="1:6" ht="14.25" x14ac:dyDescent="0.45">
      <c r="A1128" s="6" t="str">
        <f ca="1">IFERROR(__xludf.DUMMYFUNCTION("""COMPUTED_VALUE"""),"X29CU")</f>
        <v>X29CU</v>
      </c>
      <c r="B1128" s="7" t="s">
        <v>1971</v>
      </c>
      <c r="C1128" s="7" t="s">
        <v>1977</v>
      </c>
      <c r="D1128" s="7" t="s">
        <v>1990</v>
      </c>
      <c r="E1128" s="8">
        <v>34428</v>
      </c>
      <c r="F1128" s="9">
        <v>44053</v>
      </c>
    </row>
    <row r="1129" spans="1:6" ht="14.25" x14ac:dyDescent="0.45">
      <c r="A1129" s="6" t="str">
        <f ca="1">IFERROR(__xludf.DUMMYFUNCTION("""COMPUTED_VALUE"""),"X2C6W")</f>
        <v>X2C6W</v>
      </c>
      <c r="B1129" s="7" t="s">
        <v>1971</v>
      </c>
      <c r="C1129" s="7" t="s">
        <v>1972</v>
      </c>
      <c r="D1129" s="7" t="s">
        <v>1997</v>
      </c>
      <c r="E1129" s="8">
        <v>34428</v>
      </c>
      <c r="F1129" s="9">
        <v>44147</v>
      </c>
    </row>
    <row r="1130" spans="1:6" ht="14.25" x14ac:dyDescent="0.45">
      <c r="A1130" s="6" t="str">
        <f ca="1">IFERROR(__xludf.DUMMYFUNCTION("""COMPUTED_VALUE"""),"XECIRKW")</f>
        <v>XECIRKW</v>
      </c>
      <c r="B1130" s="7" t="s">
        <v>1971</v>
      </c>
      <c r="C1130" s="7" t="s">
        <v>1972</v>
      </c>
      <c r="D1130" s="7" t="s">
        <v>2007</v>
      </c>
      <c r="E1130" s="8">
        <v>34428</v>
      </c>
      <c r="F1130" s="10" t="s">
        <v>2261</v>
      </c>
    </row>
    <row r="1131" spans="1:6" ht="14.25" x14ac:dyDescent="0.45">
      <c r="A1131" s="6" t="str">
        <f ca="1">IFERROR(__xludf.DUMMYFUNCTION("""COMPUTED_VALUE"""),"X1T9Z")</f>
        <v>X1T9Z</v>
      </c>
      <c r="B1131" s="7" t="s">
        <v>1971</v>
      </c>
      <c r="C1131" s="7" t="s">
        <v>1972</v>
      </c>
      <c r="D1131" s="7" t="s">
        <v>1973</v>
      </c>
      <c r="E1131" s="8">
        <v>34430</v>
      </c>
      <c r="F1131" s="9">
        <v>43805</v>
      </c>
    </row>
    <row r="1132" spans="1:6" ht="14.25" x14ac:dyDescent="0.45">
      <c r="A1132" s="6" t="str">
        <f ca="1">IFERROR(__xludf.DUMMYFUNCTION("""COMPUTED_VALUE"""),"X2AY9")</f>
        <v>X2AY9</v>
      </c>
      <c r="B1132" s="7" t="s">
        <v>1971</v>
      </c>
      <c r="C1132" s="7" t="s">
        <v>1972</v>
      </c>
      <c r="D1132" s="7" t="s">
        <v>1974</v>
      </c>
      <c r="E1132" s="8">
        <v>34437</v>
      </c>
      <c r="F1132" s="9">
        <v>44176</v>
      </c>
    </row>
    <row r="1133" spans="1:6" ht="14.25" x14ac:dyDescent="0.45">
      <c r="A1133" s="6" t="str">
        <f ca="1">IFERROR(__xludf.DUMMYFUNCTION("""COMPUTED_VALUE"""),"XOZLL49")</f>
        <v>XOZLL49</v>
      </c>
      <c r="B1133" s="7" t="s">
        <v>1980</v>
      </c>
      <c r="C1133" s="7" t="s">
        <v>1972</v>
      </c>
      <c r="D1133" s="7" t="s">
        <v>2007</v>
      </c>
      <c r="E1133" s="8">
        <v>34440</v>
      </c>
      <c r="F1133" s="10" t="s">
        <v>2192</v>
      </c>
    </row>
    <row r="1134" spans="1:6" ht="14.25" x14ac:dyDescent="0.45">
      <c r="A1134" s="6" t="str">
        <f ca="1">IFERROR(__xludf.DUMMYFUNCTION("""COMPUTED_VALUE"""),"XXZUWFO")</f>
        <v>XXZUWFO</v>
      </c>
      <c r="B1134" s="7" t="s">
        <v>1971</v>
      </c>
      <c r="C1134" s="7" t="s">
        <v>1972</v>
      </c>
      <c r="D1134" s="7" t="s">
        <v>1995</v>
      </c>
      <c r="E1134" s="8">
        <v>34441</v>
      </c>
      <c r="F1134" s="10" t="s">
        <v>2306</v>
      </c>
    </row>
    <row r="1135" spans="1:6" ht="14.25" x14ac:dyDescent="0.45">
      <c r="A1135" s="6" t="str">
        <f ca="1">IFERROR(__xludf.DUMMYFUNCTION("""COMPUTED_VALUE"""),"XWW3LOW")</f>
        <v>XWW3LOW</v>
      </c>
      <c r="B1135" s="7" t="s">
        <v>1971</v>
      </c>
      <c r="C1135" s="7" t="s">
        <v>1972</v>
      </c>
      <c r="D1135" s="7" t="s">
        <v>1997</v>
      </c>
      <c r="E1135" s="8">
        <v>34442</v>
      </c>
      <c r="F1135" s="10" t="s">
        <v>2287</v>
      </c>
    </row>
    <row r="1136" spans="1:6" ht="14.25" x14ac:dyDescent="0.45">
      <c r="A1136" s="6" t="str">
        <f ca="1">IFERROR(__xludf.DUMMYFUNCTION("""COMPUTED_VALUE"""),"X5YGZV9")</f>
        <v>X5YGZV9</v>
      </c>
      <c r="B1136" s="7" t="s">
        <v>1971</v>
      </c>
      <c r="C1136" s="7" t="s">
        <v>1981</v>
      </c>
      <c r="D1136" s="7" t="s">
        <v>1983</v>
      </c>
      <c r="E1136" s="8">
        <v>34446</v>
      </c>
      <c r="F1136" s="10" t="s">
        <v>2242</v>
      </c>
    </row>
    <row r="1137" spans="1:6" ht="14.25" x14ac:dyDescent="0.45">
      <c r="A1137" s="6" t="str">
        <f ca="1">IFERROR(__xludf.DUMMYFUNCTION("""COMPUTED_VALUE"""),"X29B9")</f>
        <v>X29B9</v>
      </c>
      <c r="B1137" s="7" t="s">
        <v>1971</v>
      </c>
      <c r="C1137" s="7" t="s">
        <v>1972</v>
      </c>
      <c r="D1137" s="7" t="s">
        <v>1987</v>
      </c>
      <c r="E1137" s="8">
        <v>34448</v>
      </c>
      <c r="F1137" s="9">
        <v>43961</v>
      </c>
    </row>
    <row r="1138" spans="1:6" ht="14.25" x14ac:dyDescent="0.45">
      <c r="A1138" s="6" t="str">
        <f ca="1">IFERROR(__xludf.DUMMYFUNCTION("""COMPUTED_VALUE"""),"X1RAK")</f>
        <v>X1RAK</v>
      </c>
      <c r="B1138" s="7" t="s">
        <v>1971</v>
      </c>
      <c r="C1138" s="7" t="s">
        <v>1981</v>
      </c>
      <c r="D1138" s="7" t="s">
        <v>1975</v>
      </c>
      <c r="E1138" s="8">
        <v>34448</v>
      </c>
      <c r="F1138" s="10" t="s">
        <v>2100</v>
      </c>
    </row>
    <row r="1139" spans="1:6" ht="14.25" x14ac:dyDescent="0.45">
      <c r="A1139" s="6" t="str">
        <f ca="1">IFERROR(__xludf.DUMMYFUNCTION("""COMPUTED_VALUE"""),"XTFGFRW")</f>
        <v>XTFGFRW</v>
      </c>
      <c r="B1139" s="7" t="s">
        <v>1971</v>
      </c>
      <c r="C1139" s="7" t="s">
        <v>1972</v>
      </c>
      <c r="D1139" s="7" t="s">
        <v>1990</v>
      </c>
      <c r="E1139" s="8">
        <v>34452</v>
      </c>
      <c r="F1139" s="10" t="s">
        <v>2217</v>
      </c>
    </row>
    <row r="1140" spans="1:6" ht="14.25" x14ac:dyDescent="0.45">
      <c r="A1140" s="6" t="str">
        <f ca="1">IFERROR(__xludf.DUMMYFUNCTION("""COMPUTED_VALUE"""),"X5RO6IK")</f>
        <v>X5RO6IK</v>
      </c>
      <c r="B1140" s="7" t="s">
        <v>1986</v>
      </c>
      <c r="C1140" s="7" t="s">
        <v>1972</v>
      </c>
      <c r="D1140" s="7" t="s">
        <v>2020</v>
      </c>
      <c r="E1140" s="8">
        <v>34454</v>
      </c>
      <c r="F1140" s="10" t="s">
        <v>2219</v>
      </c>
    </row>
    <row r="1141" spans="1:6" ht="14.25" x14ac:dyDescent="0.45">
      <c r="A1141" s="6" t="str">
        <f ca="1">IFERROR(__xludf.DUMMYFUNCTION("""COMPUTED_VALUE"""),"X2CIN")</f>
        <v>X2CIN</v>
      </c>
      <c r="B1141" s="7" t="s">
        <v>1986</v>
      </c>
      <c r="C1141" s="7" t="s">
        <v>1996</v>
      </c>
      <c r="D1141" s="7" t="s">
        <v>1987</v>
      </c>
      <c r="E1141" s="8">
        <v>34455</v>
      </c>
      <c r="F1141" s="10" t="s">
        <v>2024</v>
      </c>
    </row>
    <row r="1142" spans="1:6" ht="14.25" x14ac:dyDescent="0.45">
      <c r="A1142" s="6" t="str">
        <f ca="1">IFERROR(__xludf.DUMMYFUNCTION("""COMPUTED_VALUE"""),"X2BT7")</f>
        <v>X2BT7</v>
      </c>
      <c r="B1142" s="7" t="s">
        <v>1971</v>
      </c>
      <c r="C1142" s="7" t="s">
        <v>1972</v>
      </c>
      <c r="D1142" s="7" t="s">
        <v>1993</v>
      </c>
      <c r="E1142" s="8">
        <v>34466</v>
      </c>
      <c r="F1142" s="10" t="s">
        <v>2009</v>
      </c>
    </row>
    <row r="1143" spans="1:6" ht="14.25" x14ac:dyDescent="0.45">
      <c r="A1143" s="6" t="str">
        <f ca="1">IFERROR(__xludf.DUMMYFUNCTION("""COMPUTED_VALUE"""),"X2A2M")</f>
        <v>X2A2M</v>
      </c>
      <c r="B1143" s="7" t="s">
        <v>1980</v>
      </c>
      <c r="C1143" s="7" t="s">
        <v>1977</v>
      </c>
      <c r="D1143" s="7" t="s">
        <v>1997</v>
      </c>
      <c r="E1143" s="8">
        <v>34469</v>
      </c>
      <c r="F1143" s="10" t="s">
        <v>2138</v>
      </c>
    </row>
    <row r="1144" spans="1:6" ht="14.25" x14ac:dyDescent="0.45">
      <c r="A1144" s="6" t="str">
        <f ca="1">IFERROR(__xludf.DUMMYFUNCTION("""COMPUTED_VALUE"""),"X1785")</f>
        <v>X1785</v>
      </c>
      <c r="B1144" s="7" t="s">
        <v>1986</v>
      </c>
      <c r="C1144" s="7" t="s">
        <v>1972</v>
      </c>
      <c r="D1144" s="7" t="s">
        <v>2007</v>
      </c>
      <c r="E1144" s="8">
        <v>34474</v>
      </c>
      <c r="F1144" s="9">
        <v>42798</v>
      </c>
    </row>
    <row r="1145" spans="1:6" ht="14.25" x14ac:dyDescent="0.45">
      <c r="A1145" s="6" t="str">
        <f ca="1">IFERROR(__xludf.DUMMYFUNCTION("""COMPUTED_VALUE"""),"X2DFH")</f>
        <v>X2DFH</v>
      </c>
      <c r="B1145" s="7" t="s">
        <v>1986</v>
      </c>
      <c r="C1145" s="7" t="s">
        <v>1972</v>
      </c>
      <c r="D1145" s="7" t="s">
        <v>2026</v>
      </c>
      <c r="E1145" s="8">
        <v>34478</v>
      </c>
      <c r="F1145" s="10" t="s">
        <v>2046</v>
      </c>
    </row>
    <row r="1146" spans="1:6" ht="14.25" x14ac:dyDescent="0.45">
      <c r="A1146" s="6" t="str">
        <f ca="1">IFERROR(__xludf.DUMMYFUNCTION("""COMPUTED_VALUE"""),"X2DPU")</f>
        <v>X2DPU</v>
      </c>
      <c r="B1146" s="7" t="s">
        <v>1971</v>
      </c>
      <c r="C1146" s="7" t="s">
        <v>1972</v>
      </c>
      <c r="D1146" s="7" t="s">
        <v>1993</v>
      </c>
      <c r="E1146" s="8">
        <v>34485</v>
      </c>
      <c r="F1146" s="10" t="s">
        <v>2042</v>
      </c>
    </row>
    <row r="1147" spans="1:6" ht="14.25" x14ac:dyDescent="0.45">
      <c r="A1147" s="6" t="str">
        <f ca="1">IFERROR(__xludf.DUMMYFUNCTION("""COMPUTED_VALUE"""),"X1X92")</f>
        <v>X1X92</v>
      </c>
      <c r="B1147" s="7" t="s">
        <v>1971</v>
      </c>
      <c r="C1147" s="7" t="s">
        <v>1972</v>
      </c>
      <c r="D1147" s="7" t="s">
        <v>1975</v>
      </c>
      <c r="E1147" s="8">
        <v>34486</v>
      </c>
      <c r="F1147" s="9">
        <v>43687</v>
      </c>
    </row>
    <row r="1148" spans="1:6" ht="14.25" x14ac:dyDescent="0.45">
      <c r="A1148" s="6" t="str">
        <f ca="1">IFERROR(__xludf.DUMMYFUNCTION("""COMPUTED_VALUE"""),"X2CHF")</f>
        <v>X2CHF</v>
      </c>
      <c r="B1148" s="7" t="s">
        <v>1971</v>
      </c>
      <c r="C1148" s="7" t="s">
        <v>1972</v>
      </c>
      <c r="D1148" s="7" t="s">
        <v>2026</v>
      </c>
      <c r="E1148" s="8">
        <v>34486</v>
      </c>
      <c r="F1148" s="10" t="s">
        <v>2024</v>
      </c>
    </row>
    <row r="1149" spans="1:6" ht="14.25" x14ac:dyDescent="0.45">
      <c r="A1149" s="6" t="str">
        <f ca="1">IFERROR(__xludf.DUMMYFUNCTION("""COMPUTED_VALUE"""),"X29LP")</f>
        <v>X29LP</v>
      </c>
      <c r="B1149" s="7" t="s">
        <v>1971</v>
      </c>
      <c r="C1149" s="7" t="s">
        <v>1972</v>
      </c>
      <c r="D1149" s="7" t="s">
        <v>1975</v>
      </c>
      <c r="E1149" s="8">
        <v>34488</v>
      </c>
      <c r="F1149" s="9">
        <v>43992</v>
      </c>
    </row>
    <row r="1150" spans="1:6" ht="14.25" x14ac:dyDescent="0.45">
      <c r="A1150" s="6" t="str">
        <f ca="1">IFERROR(__xludf.DUMMYFUNCTION("""COMPUTED_VALUE"""),"X14ZYUT")</f>
        <v>X14ZYUT</v>
      </c>
      <c r="B1150" s="7" t="s">
        <v>1971</v>
      </c>
      <c r="C1150" s="7" t="s">
        <v>1972</v>
      </c>
      <c r="D1150" s="7" t="s">
        <v>1974</v>
      </c>
      <c r="E1150" s="8">
        <v>34491</v>
      </c>
      <c r="F1150" s="10" t="s">
        <v>2298</v>
      </c>
    </row>
    <row r="1151" spans="1:6" ht="14.25" x14ac:dyDescent="0.45">
      <c r="A1151" s="6" t="str">
        <f ca="1">IFERROR(__xludf.DUMMYFUNCTION("""COMPUTED_VALUE"""),"X2BLT")</f>
        <v>X2BLT</v>
      </c>
      <c r="B1151" s="7" t="s">
        <v>1971</v>
      </c>
      <c r="C1151" s="7" t="s">
        <v>1972</v>
      </c>
      <c r="D1151" s="7" t="s">
        <v>2072</v>
      </c>
      <c r="E1151" s="8">
        <v>34501</v>
      </c>
      <c r="F1151" s="10" t="s">
        <v>2005</v>
      </c>
    </row>
    <row r="1152" spans="1:6" ht="14.25" x14ac:dyDescent="0.45">
      <c r="A1152" s="6" t="str">
        <f ca="1">IFERROR(__xludf.DUMMYFUNCTION("""COMPUTED_VALUE"""),"X1QG8L3")</f>
        <v>X1QG8L3</v>
      </c>
      <c r="B1152" s="7" t="s">
        <v>1971</v>
      </c>
      <c r="C1152" s="7" t="s">
        <v>1977</v>
      </c>
      <c r="D1152" s="7" t="s">
        <v>1973</v>
      </c>
      <c r="E1152" s="8">
        <v>34503</v>
      </c>
      <c r="F1152" s="10" t="s">
        <v>2247</v>
      </c>
    </row>
    <row r="1153" spans="1:6" ht="14.25" x14ac:dyDescent="0.45">
      <c r="A1153" s="6" t="str">
        <f ca="1">IFERROR(__xludf.DUMMYFUNCTION("""COMPUTED_VALUE"""),"X2DMV")</f>
        <v>X2DMV</v>
      </c>
      <c r="B1153" s="7" t="s">
        <v>1971</v>
      </c>
      <c r="C1153" s="7" t="s">
        <v>1977</v>
      </c>
      <c r="D1153" s="7" t="s">
        <v>1974</v>
      </c>
      <c r="E1153" s="8">
        <v>34506</v>
      </c>
      <c r="F1153" s="10" t="s">
        <v>2082</v>
      </c>
    </row>
    <row r="1154" spans="1:6" ht="14.25" x14ac:dyDescent="0.45">
      <c r="A1154" s="6" t="str">
        <f ca="1">IFERROR(__xludf.DUMMYFUNCTION("""COMPUTED_VALUE"""),"X2DOV")</f>
        <v>X2DOV</v>
      </c>
      <c r="B1154" s="7" t="s">
        <v>1971</v>
      </c>
      <c r="C1154" s="7" t="s">
        <v>1972</v>
      </c>
      <c r="D1154" s="7" t="s">
        <v>1974</v>
      </c>
      <c r="E1154" s="8">
        <v>34510</v>
      </c>
      <c r="F1154" s="10" t="s">
        <v>2042</v>
      </c>
    </row>
    <row r="1155" spans="1:6" ht="14.25" x14ac:dyDescent="0.45">
      <c r="A1155" s="6" t="str">
        <f ca="1">IFERROR(__xludf.DUMMYFUNCTION("""COMPUTED_VALUE"""),"XS6AEWO")</f>
        <v>XS6AEWO</v>
      </c>
      <c r="B1155" s="7" t="s">
        <v>1971</v>
      </c>
      <c r="C1155" s="7" t="s">
        <v>1972</v>
      </c>
      <c r="D1155" s="7" t="s">
        <v>2007</v>
      </c>
      <c r="E1155" s="8">
        <v>34513</v>
      </c>
      <c r="F1155" s="10" t="s">
        <v>2288</v>
      </c>
    </row>
    <row r="1156" spans="1:6" ht="14.25" x14ac:dyDescent="0.45">
      <c r="A1156" s="6" t="str">
        <f ca="1">IFERROR(__xludf.DUMMYFUNCTION("""COMPUTED_VALUE"""),"X2CJF")</f>
        <v>X2CJF</v>
      </c>
      <c r="B1156" s="7" t="s">
        <v>1986</v>
      </c>
      <c r="C1156" s="7" t="s">
        <v>1981</v>
      </c>
      <c r="D1156" s="7" t="s">
        <v>1974</v>
      </c>
      <c r="E1156" s="8">
        <v>34518</v>
      </c>
      <c r="F1156" s="10" t="s">
        <v>2024</v>
      </c>
    </row>
    <row r="1157" spans="1:6" ht="14.25" x14ac:dyDescent="0.45">
      <c r="A1157" s="6" t="str">
        <f ca="1">IFERROR(__xludf.DUMMYFUNCTION("""COMPUTED_VALUE"""),"XJJG97U")</f>
        <v>XJJG97U</v>
      </c>
      <c r="B1157" s="7" t="s">
        <v>1971</v>
      </c>
      <c r="C1157" s="7" t="s">
        <v>1981</v>
      </c>
      <c r="D1157" s="7" t="s">
        <v>1978</v>
      </c>
      <c r="E1157" s="8">
        <v>34520</v>
      </c>
      <c r="F1157" s="9">
        <v>44320</v>
      </c>
    </row>
    <row r="1158" spans="1:6" ht="14.25" x14ac:dyDescent="0.45">
      <c r="A1158" s="6" t="str">
        <f ca="1">IFERROR(__xludf.DUMMYFUNCTION("""COMPUTED_VALUE"""),"X1ZYD")</f>
        <v>X1ZYD</v>
      </c>
      <c r="B1158" s="7" t="s">
        <v>1971</v>
      </c>
      <c r="C1158" s="7" t="s">
        <v>1972</v>
      </c>
      <c r="D1158" s="7" t="s">
        <v>1995</v>
      </c>
      <c r="E1158" s="8">
        <v>34522</v>
      </c>
      <c r="F1158" s="10" t="s">
        <v>2251</v>
      </c>
    </row>
    <row r="1159" spans="1:6" ht="14.25" x14ac:dyDescent="0.45">
      <c r="A1159" s="6" t="str">
        <f ca="1">IFERROR(__xludf.DUMMYFUNCTION("""COMPUTED_VALUE"""),"X1W14R")</f>
        <v>X1W14R</v>
      </c>
      <c r="B1159" s="7" t="s">
        <v>1971</v>
      </c>
      <c r="C1159" s="7" t="s">
        <v>1977</v>
      </c>
      <c r="D1159" s="7" t="s">
        <v>1974</v>
      </c>
      <c r="E1159" s="8">
        <v>34525</v>
      </c>
      <c r="F1159" s="10" t="s">
        <v>2239</v>
      </c>
    </row>
    <row r="1160" spans="1:6" ht="14.25" x14ac:dyDescent="0.45">
      <c r="A1160" s="6" t="str">
        <f ca="1">IFERROR(__xludf.DUMMYFUNCTION("""COMPUTED_VALUE"""),"XM1NN1S")</f>
        <v>XM1NN1S</v>
      </c>
      <c r="B1160" s="7" t="s">
        <v>1971</v>
      </c>
      <c r="C1160" s="7" t="s">
        <v>1972</v>
      </c>
      <c r="D1160" s="7" t="s">
        <v>2072</v>
      </c>
      <c r="E1160" s="8">
        <v>34531</v>
      </c>
      <c r="F1160" s="10" t="s">
        <v>2247</v>
      </c>
    </row>
    <row r="1161" spans="1:6" ht="14.25" x14ac:dyDescent="0.45">
      <c r="A1161" s="6" t="str">
        <f ca="1">IFERROR(__xludf.DUMMYFUNCTION("""COMPUTED_VALUE"""),"X3719")</f>
        <v>X3719</v>
      </c>
      <c r="B1161" s="7" t="s">
        <v>1980</v>
      </c>
      <c r="C1161" s="7" t="s">
        <v>1996</v>
      </c>
      <c r="D1161" s="7" t="s">
        <v>1982</v>
      </c>
      <c r="E1161" s="8">
        <v>34538</v>
      </c>
      <c r="F1161" s="10" t="s">
        <v>2180</v>
      </c>
    </row>
    <row r="1162" spans="1:6" ht="14.25" x14ac:dyDescent="0.45">
      <c r="A1162" s="6" t="str">
        <f ca="1">IFERROR(__xludf.DUMMYFUNCTION("""COMPUTED_VALUE"""),"XCZYJO4")</f>
        <v>XCZYJO4</v>
      </c>
      <c r="B1162" s="7" t="s">
        <v>1971</v>
      </c>
      <c r="C1162" s="7" t="s">
        <v>1972</v>
      </c>
      <c r="D1162" s="7" t="s">
        <v>1990</v>
      </c>
      <c r="E1162" s="8">
        <v>34546</v>
      </c>
      <c r="F1162" s="10" t="s">
        <v>2258</v>
      </c>
    </row>
    <row r="1163" spans="1:6" ht="14.25" x14ac:dyDescent="0.45">
      <c r="A1163" s="6" t="str">
        <f ca="1">IFERROR(__xludf.DUMMYFUNCTION("""COMPUTED_VALUE"""),"XX4736B")</f>
        <v>XX4736B</v>
      </c>
      <c r="B1163" s="7" t="s">
        <v>1971</v>
      </c>
      <c r="C1163" s="7" t="s">
        <v>1972</v>
      </c>
      <c r="D1163" s="7" t="s">
        <v>1974</v>
      </c>
      <c r="E1163" s="8">
        <v>34551</v>
      </c>
      <c r="F1163" s="10" t="s">
        <v>2193</v>
      </c>
    </row>
    <row r="1164" spans="1:6" ht="14.25" x14ac:dyDescent="0.45">
      <c r="A1164" s="6" t="str">
        <f ca="1">IFERROR(__xludf.DUMMYFUNCTION("""COMPUTED_VALUE"""),"XSJB6J2")</f>
        <v>XSJB6J2</v>
      </c>
      <c r="B1164" s="7" t="s">
        <v>1971</v>
      </c>
      <c r="C1164" s="7" t="s">
        <v>1972</v>
      </c>
      <c r="D1164" s="7" t="s">
        <v>1978</v>
      </c>
      <c r="E1164" s="8">
        <v>34554</v>
      </c>
      <c r="F1164" s="10" t="s">
        <v>2258</v>
      </c>
    </row>
    <row r="1165" spans="1:6" ht="14.25" x14ac:dyDescent="0.45">
      <c r="A1165" s="6" t="str">
        <f ca="1">IFERROR(__xludf.DUMMYFUNCTION("""COMPUTED_VALUE"""),"X298F")</f>
        <v>X298F</v>
      </c>
      <c r="B1165" s="7" t="s">
        <v>1971</v>
      </c>
      <c r="C1165" s="7" t="s">
        <v>1972</v>
      </c>
      <c r="D1165" s="7" t="s">
        <v>1974</v>
      </c>
      <c r="E1165" s="8">
        <v>34561</v>
      </c>
      <c r="F1165" s="9">
        <v>43961</v>
      </c>
    </row>
    <row r="1166" spans="1:6" ht="14.25" x14ac:dyDescent="0.45">
      <c r="A1166" s="6" t="str">
        <f ca="1">IFERROR(__xludf.DUMMYFUNCTION("""COMPUTED_VALUE"""),"X20166")</f>
        <v>X20166</v>
      </c>
      <c r="B1166" s="7" t="s">
        <v>1971</v>
      </c>
      <c r="C1166" s="7" t="s">
        <v>1972</v>
      </c>
      <c r="D1166" s="7" t="s">
        <v>2003</v>
      </c>
      <c r="E1166" s="8">
        <v>34561</v>
      </c>
      <c r="F1166" s="10" t="s">
        <v>2106</v>
      </c>
    </row>
    <row r="1167" spans="1:6" ht="14.25" x14ac:dyDescent="0.45">
      <c r="A1167" s="6" t="str">
        <f ca="1">IFERROR(__xludf.DUMMYFUNCTION("""COMPUTED_VALUE"""),"X23S6Q3")</f>
        <v>X23S6Q3</v>
      </c>
      <c r="B1167" s="7" t="s">
        <v>1986</v>
      </c>
      <c r="C1167" s="7" t="s">
        <v>1972</v>
      </c>
      <c r="D1167" s="7" t="s">
        <v>2007</v>
      </c>
      <c r="E1167" s="8">
        <v>34562</v>
      </c>
      <c r="F1167" s="9">
        <v>44207</v>
      </c>
    </row>
    <row r="1168" spans="1:6" ht="14.25" x14ac:dyDescent="0.45">
      <c r="A1168" s="6" t="str">
        <f ca="1">IFERROR(__xludf.DUMMYFUNCTION("""COMPUTED_VALUE"""),"X2128")</f>
        <v>X2128</v>
      </c>
      <c r="B1168" s="7" t="s">
        <v>1980</v>
      </c>
      <c r="C1168" s="7" t="s">
        <v>1977</v>
      </c>
      <c r="D1168" s="7" t="s">
        <v>1982</v>
      </c>
      <c r="E1168" s="8">
        <v>34563</v>
      </c>
      <c r="F1168" s="9">
        <v>42861</v>
      </c>
    </row>
    <row r="1169" spans="1:6" ht="14.25" x14ac:dyDescent="0.45">
      <c r="A1169" s="6" t="str">
        <f ca="1">IFERROR(__xludf.DUMMYFUNCTION("""COMPUTED_VALUE"""),"XBF46LT")</f>
        <v>XBF46LT</v>
      </c>
      <c r="B1169" s="7" t="s">
        <v>1971</v>
      </c>
      <c r="C1169" s="7" t="s">
        <v>1972</v>
      </c>
      <c r="D1169" s="7" t="s">
        <v>2072</v>
      </c>
      <c r="E1169" s="8">
        <v>34563</v>
      </c>
      <c r="F1169" s="10" t="s">
        <v>2260</v>
      </c>
    </row>
    <row r="1170" spans="1:6" ht="14.25" x14ac:dyDescent="0.45">
      <c r="A1170" s="6" t="str">
        <f ca="1">IFERROR(__xludf.DUMMYFUNCTION("""COMPUTED_VALUE"""),"X3746")</f>
        <v>X3746</v>
      </c>
      <c r="B1170" s="7" t="s">
        <v>1980</v>
      </c>
      <c r="C1170" s="7" t="s">
        <v>1977</v>
      </c>
      <c r="D1170" s="7" t="s">
        <v>1978</v>
      </c>
      <c r="E1170" s="8">
        <v>34566</v>
      </c>
      <c r="F1170" s="10" t="s">
        <v>2185</v>
      </c>
    </row>
    <row r="1171" spans="1:6" ht="14.25" x14ac:dyDescent="0.45">
      <c r="A1171" s="6" t="str">
        <f ca="1">IFERROR(__xludf.DUMMYFUNCTION("""COMPUTED_VALUE"""),"X1X122")</f>
        <v>X1X122</v>
      </c>
      <c r="B1171" s="7" t="s">
        <v>1971</v>
      </c>
      <c r="C1171" s="7" t="s">
        <v>1977</v>
      </c>
      <c r="D1171" s="7" t="s">
        <v>1974</v>
      </c>
      <c r="E1171" s="8">
        <v>34569</v>
      </c>
      <c r="F1171" s="10" t="s">
        <v>2043</v>
      </c>
    </row>
    <row r="1172" spans="1:6" ht="14.25" x14ac:dyDescent="0.45">
      <c r="A1172" s="6" t="str">
        <f ca="1">IFERROR(__xludf.DUMMYFUNCTION("""COMPUTED_VALUE"""),"XG8PB1L")</f>
        <v>XG8PB1L</v>
      </c>
      <c r="B1172" s="7" t="s">
        <v>1971</v>
      </c>
      <c r="C1172" s="7" t="s">
        <v>1977</v>
      </c>
      <c r="D1172" s="7" t="s">
        <v>1990</v>
      </c>
      <c r="E1172" s="8">
        <v>34570</v>
      </c>
      <c r="F1172" s="10" t="s">
        <v>2258</v>
      </c>
    </row>
    <row r="1173" spans="1:6" ht="14.25" x14ac:dyDescent="0.45">
      <c r="A1173" s="6" t="str">
        <f ca="1">IFERROR(__xludf.DUMMYFUNCTION("""COMPUTED_VALUE"""),"XAVOZRD")</f>
        <v>XAVOZRD</v>
      </c>
      <c r="B1173" s="7" t="s">
        <v>1971</v>
      </c>
      <c r="C1173" s="7" t="s">
        <v>1972</v>
      </c>
      <c r="D1173" s="7" t="s">
        <v>1997</v>
      </c>
      <c r="E1173" s="8">
        <v>34570</v>
      </c>
      <c r="F1173" s="10" t="s">
        <v>2245</v>
      </c>
    </row>
    <row r="1174" spans="1:6" ht="14.25" x14ac:dyDescent="0.45">
      <c r="A1174" s="6" t="str">
        <f ca="1">IFERROR(__xludf.DUMMYFUNCTION("""COMPUTED_VALUE"""),"X23JA")</f>
        <v>X23JA</v>
      </c>
      <c r="B1174" s="7" t="s">
        <v>1986</v>
      </c>
      <c r="C1174" s="7" t="s">
        <v>1972</v>
      </c>
      <c r="D1174" s="7" t="s">
        <v>1987</v>
      </c>
      <c r="E1174" s="8">
        <v>34571</v>
      </c>
      <c r="F1174" s="10" t="s">
        <v>1988</v>
      </c>
    </row>
    <row r="1175" spans="1:6" ht="14.25" x14ac:dyDescent="0.45">
      <c r="A1175" s="6" t="str">
        <f ca="1">IFERROR(__xludf.DUMMYFUNCTION("""COMPUTED_VALUE"""),"XXL1G4P")</f>
        <v>XXL1G4P</v>
      </c>
      <c r="B1175" s="7" t="s">
        <v>1971</v>
      </c>
      <c r="C1175" s="7" t="s">
        <v>1972</v>
      </c>
      <c r="D1175" s="7" t="s">
        <v>1987</v>
      </c>
      <c r="E1175" s="8">
        <v>34574</v>
      </c>
      <c r="F1175" s="10" t="s">
        <v>2222</v>
      </c>
    </row>
    <row r="1176" spans="1:6" ht="14.25" x14ac:dyDescent="0.45">
      <c r="A1176" s="6" t="str">
        <f ca="1">IFERROR(__xludf.DUMMYFUNCTION("""COMPUTED_VALUE"""),"X2C73")</f>
        <v>X2C73</v>
      </c>
      <c r="B1176" s="7" t="s">
        <v>1971</v>
      </c>
      <c r="C1176" s="7" t="s">
        <v>1977</v>
      </c>
      <c r="D1176" s="7" t="s">
        <v>1975</v>
      </c>
      <c r="E1176" s="8">
        <v>34575</v>
      </c>
      <c r="F1176" s="9">
        <v>44147</v>
      </c>
    </row>
    <row r="1177" spans="1:6" ht="14.25" x14ac:dyDescent="0.45">
      <c r="A1177" s="6" t="str">
        <f ca="1">IFERROR(__xludf.DUMMYFUNCTION("""COMPUTED_VALUE"""),"XH9FXEX")</f>
        <v>XH9FXEX</v>
      </c>
      <c r="B1177" s="7" t="s">
        <v>1971</v>
      </c>
      <c r="C1177" s="7" t="s">
        <v>1974</v>
      </c>
      <c r="D1177" s="7" t="s">
        <v>2020</v>
      </c>
      <c r="E1177" s="8">
        <v>34581</v>
      </c>
      <c r="F1177" s="9">
        <v>44510</v>
      </c>
    </row>
    <row r="1178" spans="1:6" ht="14.25" x14ac:dyDescent="0.45">
      <c r="A1178" s="6" t="str">
        <f ca="1">IFERROR(__xludf.DUMMYFUNCTION("""COMPUTED_VALUE"""),"XW9I1GT")</f>
        <v>XW9I1GT</v>
      </c>
      <c r="B1178" s="7" t="s">
        <v>1971</v>
      </c>
      <c r="C1178" s="7" t="s">
        <v>1972</v>
      </c>
      <c r="D1178" s="7" t="s">
        <v>1990</v>
      </c>
      <c r="E1178" s="8">
        <v>34585</v>
      </c>
      <c r="F1178" s="10" t="s">
        <v>2261</v>
      </c>
    </row>
    <row r="1179" spans="1:6" ht="14.25" x14ac:dyDescent="0.45">
      <c r="A1179" s="6" t="str">
        <f ca="1">IFERROR(__xludf.DUMMYFUNCTION("""COMPUTED_VALUE"""),"X29A8")</f>
        <v>X29A8</v>
      </c>
      <c r="B1179" s="7" t="s">
        <v>1971</v>
      </c>
      <c r="C1179" s="7" t="s">
        <v>1974</v>
      </c>
      <c r="D1179" s="7" t="s">
        <v>1993</v>
      </c>
      <c r="E1179" s="8">
        <v>34589</v>
      </c>
      <c r="F1179" s="9">
        <v>43961</v>
      </c>
    </row>
    <row r="1180" spans="1:6" ht="14.25" x14ac:dyDescent="0.45">
      <c r="A1180" s="6" t="str">
        <f ca="1">IFERROR(__xludf.DUMMYFUNCTION("""COMPUTED_VALUE"""),"X2DXD")</f>
        <v>X2DXD</v>
      </c>
      <c r="B1180" s="7" t="s">
        <v>1980</v>
      </c>
      <c r="C1180" s="7" t="s">
        <v>1972</v>
      </c>
      <c r="D1180" s="7" t="s">
        <v>1984</v>
      </c>
      <c r="E1180" s="8">
        <v>34595</v>
      </c>
      <c r="F1180" s="10" t="s">
        <v>2152</v>
      </c>
    </row>
    <row r="1181" spans="1:6" ht="14.25" x14ac:dyDescent="0.45">
      <c r="A1181" s="6" t="str">
        <f ca="1">IFERROR(__xludf.DUMMYFUNCTION("""COMPUTED_VALUE"""),"XWBNO9V")</f>
        <v>XWBNO9V</v>
      </c>
      <c r="B1181" s="7" t="s">
        <v>1971</v>
      </c>
      <c r="C1181" s="7" t="s">
        <v>1972</v>
      </c>
      <c r="D1181" s="7" t="s">
        <v>1974</v>
      </c>
      <c r="E1181" s="8">
        <v>34601</v>
      </c>
      <c r="F1181" s="10" t="s">
        <v>2242</v>
      </c>
    </row>
    <row r="1182" spans="1:6" ht="14.25" x14ac:dyDescent="0.45">
      <c r="A1182" s="6" t="str">
        <f ca="1">IFERROR(__xludf.DUMMYFUNCTION("""COMPUTED_VALUE"""),"XL6ID5M")</f>
        <v>XL6ID5M</v>
      </c>
      <c r="B1182" s="7" t="s">
        <v>1971</v>
      </c>
      <c r="C1182" s="7" t="s">
        <v>1972</v>
      </c>
      <c r="D1182" s="7" t="s">
        <v>1993</v>
      </c>
      <c r="E1182" s="8">
        <v>34606</v>
      </c>
      <c r="F1182" s="9">
        <v>44538</v>
      </c>
    </row>
    <row r="1183" spans="1:6" ht="14.25" x14ac:dyDescent="0.45">
      <c r="A1183" s="6" t="str">
        <f ca="1">IFERROR(__xludf.DUMMYFUNCTION("""COMPUTED_VALUE"""),"XSLATFY")</f>
        <v>XSLATFY</v>
      </c>
      <c r="B1183" s="7" t="s">
        <v>1971</v>
      </c>
      <c r="C1183" s="7" t="s">
        <v>1972</v>
      </c>
      <c r="D1183" s="7" t="s">
        <v>1993</v>
      </c>
      <c r="E1183" s="8">
        <v>34612</v>
      </c>
      <c r="F1183" s="10" t="s">
        <v>2246</v>
      </c>
    </row>
    <row r="1184" spans="1:6" ht="14.25" x14ac:dyDescent="0.45">
      <c r="A1184" s="6" t="str">
        <f ca="1">IFERROR(__xludf.DUMMYFUNCTION("""COMPUTED_VALUE"""),"X3H5W6K")</f>
        <v>X3H5W6K</v>
      </c>
      <c r="B1184" s="7" t="s">
        <v>1971</v>
      </c>
      <c r="C1184" s="7" t="s">
        <v>1972</v>
      </c>
      <c r="D1184" s="7" t="s">
        <v>1987</v>
      </c>
      <c r="E1184" s="8">
        <v>34613</v>
      </c>
      <c r="F1184" s="10" t="s">
        <v>2289</v>
      </c>
    </row>
    <row r="1185" spans="1:6" ht="14.25" x14ac:dyDescent="0.45">
      <c r="A1185" s="6" t="str">
        <f ca="1">IFERROR(__xludf.DUMMYFUNCTION("""COMPUTED_VALUE"""),"X2DUVDM")</f>
        <v>X2DUVDM</v>
      </c>
      <c r="B1185" s="7" t="s">
        <v>1971</v>
      </c>
      <c r="C1185" s="7" t="s">
        <v>1972</v>
      </c>
      <c r="D1185" s="7" t="s">
        <v>1990</v>
      </c>
      <c r="E1185" s="8">
        <v>34614</v>
      </c>
      <c r="F1185" s="10" t="s">
        <v>2246</v>
      </c>
    </row>
    <row r="1186" spans="1:6" ht="14.25" x14ac:dyDescent="0.45">
      <c r="A1186" s="6" t="str">
        <f ca="1">IFERROR(__xludf.DUMMYFUNCTION("""COMPUTED_VALUE"""),"XHTCXXZ")</f>
        <v>XHTCXXZ</v>
      </c>
      <c r="B1186" s="7" t="s">
        <v>2092</v>
      </c>
      <c r="C1186" s="7" t="s">
        <v>1972</v>
      </c>
      <c r="D1186" s="7" t="s">
        <v>1973</v>
      </c>
      <c r="E1186" s="8">
        <v>34616</v>
      </c>
      <c r="F1186" s="9">
        <v>44480</v>
      </c>
    </row>
    <row r="1187" spans="1:6" ht="14.25" x14ac:dyDescent="0.45">
      <c r="A1187" s="6" t="str">
        <f ca="1">IFERROR(__xludf.DUMMYFUNCTION("""COMPUTED_VALUE"""),"X822BZU")</f>
        <v>X822BZU</v>
      </c>
      <c r="B1187" s="7" t="s">
        <v>1971</v>
      </c>
      <c r="C1187" s="7" t="s">
        <v>1972</v>
      </c>
      <c r="D1187" s="7" t="s">
        <v>1978</v>
      </c>
      <c r="E1187" s="8">
        <v>34625</v>
      </c>
      <c r="F1187" s="10" t="s">
        <v>2257</v>
      </c>
    </row>
    <row r="1188" spans="1:6" ht="14.25" x14ac:dyDescent="0.45">
      <c r="A1188" s="6" t="str">
        <f ca="1">IFERROR(__xludf.DUMMYFUNCTION("""COMPUTED_VALUE"""),"X2CNK")</f>
        <v>X2CNK</v>
      </c>
      <c r="B1188" s="7" t="s">
        <v>1986</v>
      </c>
      <c r="C1188" s="7" t="s">
        <v>1972</v>
      </c>
      <c r="D1188" s="7" t="s">
        <v>1987</v>
      </c>
      <c r="E1188" s="8">
        <v>34626</v>
      </c>
      <c r="F1188" s="10" t="s">
        <v>2001</v>
      </c>
    </row>
    <row r="1189" spans="1:6" ht="14.25" x14ac:dyDescent="0.45">
      <c r="A1189" s="6" t="str">
        <f ca="1">IFERROR(__xludf.DUMMYFUNCTION("""COMPUTED_VALUE"""),"X1R3Z")</f>
        <v>X1R3Z</v>
      </c>
      <c r="B1189" s="7" t="s">
        <v>1986</v>
      </c>
      <c r="C1189" s="7" t="s">
        <v>1972</v>
      </c>
      <c r="D1189" s="7" t="s">
        <v>1973</v>
      </c>
      <c r="E1189" s="8">
        <v>34628</v>
      </c>
      <c r="F1189" s="9">
        <v>43528</v>
      </c>
    </row>
    <row r="1190" spans="1:6" ht="14.25" x14ac:dyDescent="0.45">
      <c r="A1190" s="6" t="str">
        <f ca="1">IFERROR(__xludf.DUMMYFUNCTION("""COMPUTED_VALUE"""),"XGY98XD")</f>
        <v>XGY98XD</v>
      </c>
      <c r="B1190" s="7" t="s">
        <v>1971</v>
      </c>
      <c r="C1190" s="7" t="s">
        <v>1972</v>
      </c>
      <c r="D1190" s="7" t="s">
        <v>1997</v>
      </c>
      <c r="E1190" s="8">
        <v>34630</v>
      </c>
      <c r="F1190" s="10" t="s">
        <v>2246</v>
      </c>
    </row>
    <row r="1191" spans="1:6" ht="14.25" x14ac:dyDescent="0.45">
      <c r="A1191" s="6" t="str">
        <f ca="1">IFERROR(__xludf.DUMMYFUNCTION("""COMPUTED_VALUE"""),"X2DGQ")</f>
        <v>X2DGQ</v>
      </c>
      <c r="B1191" s="7" t="s">
        <v>1986</v>
      </c>
      <c r="C1191" s="7" t="s">
        <v>1972</v>
      </c>
      <c r="D1191" s="7" t="s">
        <v>1973</v>
      </c>
      <c r="E1191" s="8">
        <v>34632</v>
      </c>
      <c r="F1191" s="10" t="s">
        <v>2061</v>
      </c>
    </row>
    <row r="1192" spans="1:6" ht="14.25" x14ac:dyDescent="0.45">
      <c r="A1192" s="6" t="str">
        <f ca="1">IFERROR(__xludf.DUMMYFUNCTION("""COMPUTED_VALUE"""),"X29ZH")</f>
        <v>X29ZH</v>
      </c>
      <c r="B1192" s="7" t="s">
        <v>1971</v>
      </c>
      <c r="C1192" s="7" t="s">
        <v>1981</v>
      </c>
      <c r="D1192" s="7" t="s">
        <v>1974</v>
      </c>
      <c r="E1192" s="8">
        <v>34634</v>
      </c>
      <c r="F1192" s="10" t="s">
        <v>2023</v>
      </c>
    </row>
    <row r="1193" spans="1:6" ht="14.25" x14ac:dyDescent="0.45">
      <c r="A1193" s="6" t="str">
        <f ca="1">IFERROR(__xludf.DUMMYFUNCTION("""COMPUTED_VALUE"""),"XCBDL7D")</f>
        <v>XCBDL7D</v>
      </c>
      <c r="B1193" s="7" t="s">
        <v>1971</v>
      </c>
      <c r="C1193" s="7" t="s">
        <v>1972</v>
      </c>
      <c r="D1193" s="7" t="s">
        <v>1975</v>
      </c>
      <c r="E1193" s="8">
        <v>34635</v>
      </c>
      <c r="F1193" s="10" t="s">
        <v>2245</v>
      </c>
    </row>
    <row r="1194" spans="1:6" ht="14.25" x14ac:dyDescent="0.45">
      <c r="A1194" s="6" t="str">
        <f ca="1">IFERROR(__xludf.DUMMYFUNCTION("""COMPUTED_VALUE"""),"XGTDI4P")</f>
        <v>XGTDI4P</v>
      </c>
      <c r="B1194" s="7" t="s">
        <v>1971</v>
      </c>
      <c r="C1194" s="7" t="s">
        <v>1972</v>
      </c>
      <c r="D1194" s="7" t="s">
        <v>1975</v>
      </c>
      <c r="E1194" s="8">
        <v>34635</v>
      </c>
      <c r="F1194" s="10" t="s">
        <v>2258</v>
      </c>
    </row>
    <row r="1195" spans="1:6" ht="14.25" x14ac:dyDescent="0.45">
      <c r="A1195" s="6" t="str">
        <f ca="1">IFERROR(__xludf.DUMMYFUNCTION("""COMPUTED_VALUE"""),"X2293")</f>
        <v>X2293</v>
      </c>
      <c r="B1195" s="7" t="s">
        <v>1980</v>
      </c>
      <c r="C1195" s="7" t="s">
        <v>1996</v>
      </c>
      <c r="D1195" s="7" t="s">
        <v>1993</v>
      </c>
      <c r="E1195" s="8">
        <v>34636</v>
      </c>
      <c r="F1195" s="10" t="s">
        <v>2059</v>
      </c>
    </row>
    <row r="1196" spans="1:6" ht="14.25" x14ac:dyDescent="0.45">
      <c r="A1196" s="6" t="str">
        <f ca="1">IFERROR(__xludf.DUMMYFUNCTION("""COMPUTED_VALUE"""),"X2B87")</f>
        <v>X2B87</v>
      </c>
      <c r="B1196" s="7" t="s">
        <v>1980</v>
      </c>
      <c r="C1196" s="7" t="s">
        <v>1972</v>
      </c>
      <c r="D1196" s="7" t="s">
        <v>1974</v>
      </c>
      <c r="E1196" s="8">
        <v>34648</v>
      </c>
      <c r="F1196" s="10" t="s">
        <v>2029</v>
      </c>
    </row>
    <row r="1197" spans="1:6" ht="14.25" x14ac:dyDescent="0.45">
      <c r="A1197" s="6" t="str">
        <f ca="1">IFERROR(__xludf.DUMMYFUNCTION("""COMPUTED_VALUE"""),"X2911Q")</f>
        <v>X2911Q</v>
      </c>
      <c r="B1197" s="7" t="s">
        <v>1971</v>
      </c>
      <c r="C1197" s="7" t="s">
        <v>1972</v>
      </c>
      <c r="D1197" s="7" t="s">
        <v>1975</v>
      </c>
      <c r="E1197" s="8">
        <v>34650</v>
      </c>
      <c r="F1197" s="10" t="s">
        <v>2023</v>
      </c>
    </row>
    <row r="1198" spans="1:6" ht="14.25" x14ac:dyDescent="0.45">
      <c r="A1198" s="6" t="str">
        <f ca="1">IFERROR(__xludf.DUMMYFUNCTION("""COMPUTED_VALUE"""),"XGBC2AX")</f>
        <v>XGBC2AX</v>
      </c>
      <c r="B1198" s="7" t="s">
        <v>1971</v>
      </c>
      <c r="C1198" s="7" t="s">
        <v>1977</v>
      </c>
      <c r="D1198" s="7" t="s">
        <v>1973</v>
      </c>
      <c r="E1198" s="8">
        <v>34650</v>
      </c>
      <c r="F1198" s="10" t="s">
        <v>2193</v>
      </c>
    </row>
    <row r="1199" spans="1:6" ht="14.25" x14ac:dyDescent="0.45">
      <c r="A1199" s="6" t="str">
        <f ca="1">IFERROR(__xludf.DUMMYFUNCTION("""COMPUTED_VALUE"""),"XZ717R7")</f>
        <v>XZ717R7</v>
      </c>
      <c r="B1199" s="7" t="s">
        <v>1971</v>
      </c>
      <c r="C1199" s="7" t="s">
        <v>1972</v>
      </c>
      <c r="D1199" s="7" t="s">
        <v>1990</v>
      </c>
      <c r="E1199" s="8">
        <v>34657</v>
      </c>
      <c r="F1199" s="9">
        <v>44202</v>
      </c>
    </row>
    <row r="1200" spans="1:6" ht="14.25" x14ac:dyDescent="0.45">
      <c r="A1200" s="6" t="str">
        <f ca="1">IFERROR(__xludf.DUMMYFUNCTION("""COMPUTED_VALUE"""),"XJ1HLP4")</f>
        <v>XJ1HLP4</v>
      </c>
      <c r="B1200" s="7" t="s">
        <v>1971</v>
      </c>
      <c r="C1200" s="7" t="s">
        <v>1972</v>
      </c>
      <c r="D1200" s="7" t="s">
        <v>1974</v>
      </c>
      <c r="E1200" s="8">
        <v>34661</v>
      </c>
      <c r="F1200" s="10" t="s">
        <v>2242</v>
      </c>
    </row>
    <row r="1201" spans="1:6" ht="14.25" x14ac:dyDescent="0.45">
      <c r="A1201" s="6" t="str">
        <f ca="1">IFERROR(__xludf.DUMMYFUNCTION("""COMPUTED_VALUE"""),"X2T7HEQ")</f>
        <v>X2T7HEQ</v>
      </c>
      <c r="B1201" s="7" t="s">
        <v>1971</v>
      </c>
      <c r="C1201" s="7" t="s">
        <v>1993</v>
      </c>
      <c r="D1201" s="7" t="s">
        <v>1993</v>
      </c>
      <c r="E1201" s="8">
        <v>34661</v>
      </c>
      <c r="F1201" s="9">
        <v>44538</v>
      </c>
    </row>
    <row r="1202" spans="1:6" ht="14.25" x14ac:dyDescent="0.45">
      <c r="A1202" s="6" t="str">
        <f ca="1">IFERROR(__xludf.DUMMYFUNCTION("""COMPUTED_VALUE"""),"X1NO7")</f>
        <v>X1NO7</v>
      </c>
      <c r="B1202" s="7" t="s">
        <v>1980</v>
      </c>
      <c r="C1202" s="7" t="s">
        <v>1972</v>
      </c>
      <c r="D1202" s="7" t="s">
        <v>2026</v>
      </c>
      <c r="E1202" s="8">
        <v>34673</v>
      </c>
      <c r="F1202" s="10" t="s">
        <v>2206</v>
      </c>
    </row>
    <row r="1203" spans="1:6" ht="14.25" x14ac:dyDescent="0.45">
      <c r="A1203" s="6" t="str">
        <f ca="1">IFERROR(__xludf.DUMMYFUNCTION("""COMPUTED_VALUE"""),"X5VJER5")</f>
        <v>X5VJER5</v>
      </c>
      <c r="B1203" s="7" t="s">
        <v>1971</v>
      </c>
      <c r="C1203" s="7" t="s">
        <v>1972</v>
      </c>
      <c r="D1203" s="7" t="s">
        <v>2072</v>
      </c>
      <c r="E1203" s="8">
        <v>34678</v>
      </c>
      <c r="F1203" s="9">
        <v>44538</v>
      </c>
    </row>
    <row r="1204" spans="1:6" ht="14.25" x14ac:dyDescent="0.45">
      <c r="A1204" s="6" t="str">
        <f ca="1">IFERROR(__xludf.DUMMYFUNCTION("""COMPUTED_VALUE"""),"X2DF4")</f>
        <v>X2DF4</v>
      </c>
      <c r="B1204" s="7" t="s">
        <v>1971</v>
      </c>
      <c r="C1204" s="7" t="s">
        <v>1996</v>
      </c>
      <c r="D1204" s="7" t="s">
        <v>2094</v>
      </c>
      <c r="E1204" s="8">
        <v>34686</v>
      </c>
      <c r="F1204" s="10" t="s">
        <v>2095</v>
      </c>
    </row>
    <row r="1205" spans="1:6" ht="14.25" x14ac:dyDescent="0.45">
      <c r="A1205" s="6" t="str">
        <f ca="1">IFERROR(__xludf.DUMMYFUNCTION("""COMPUTED_VALUE"""),"XZYJ9P7")</f>
        <v>XZYJ9P7</v>
      </c>
      <c r="B1205" s="7" t="s">
        <v>1971</v>
      </c>
      <c r="C1205" s="7" t="s">
        <v>1972</v>
      </c>
      <c r="D1205" s="7" t="s">
        <v>2026</v>
      </c>
      <c r="E1205" s="8">
        <v>34686</v>
      </c>
      <c r="F1205" s="9">
        <v>44535</v>
      </c>
    </row>
    <row r="1206" spans="1:6" ht="14.25" x14ac:dyDescent="0.45">
      <c r="A1206" s="6" t="str">
        <f ca="1">IFERROR(__xludf.DUMMYFUNCTION("""COMPUTED_VALUE"""),"X293A")</f>
        <v>X293A</v>
      </c>
      <c r="B1206" s="7" t="s">
        <v>1971</v>
      </c>
      <c r="C1206" s="7" t="s">
        <v>1972</v>
      </c>
      <c r="D1206" s="7" t="s">
        <v>1993</v>
      </c>
      <c r="E1206" s="8">
        <v>34691</v>
      </c>
      <c r="F1206" s="9">
        <v>43871</v>
      </c>
    </row>
    <row r="1207" spans="1:6" ht="14.25" x14ac:dyDescent="0.45">
      <c r="A1207" s="6" t="str">
        <f ca="1">IFERROR(__xludf.DUMMYFUNCTION("""COMPUTED_VALUE"""),"X2DO6")</f>
        <v>X2DO6</v>
      </c>
      <c r="B1207" s="7" t="s">
        <v>1980</v>
      </c>
      <c r="C1207" s="7" t="s">
        <v>1972</v>
      </c>
      <c r="D1207" s="7" t="s">
        <v>1974</v>
      </c>
      <c r="E1207" s="8">
        <v>34697</v>
      </c>
      <c r="F1207" s="10" t="s">
        <v>2042</v>
      </c>
    </row>
    <row r="1208" spans="1:6" ht="14.25" x14ac:dyDescent="0.45">
      <c r="A1208" s="6" t="str">
        <f ca="1">IFERROR(__xludf.DUMMYFUNCTION("""COMPUTED_VALUE"""),"X2C87")</f>
        <v>X2C87</v>
      </c>
      <c r="B1208" s="7" t="s">
        <v>2092</v>
      </c>
      <c r="C1208" s="7" t="s">
        <v>1972</v>
      </c>
      <c r="D1208" s="7" t="s">
        <v>1974</v>
      </c>
      <c r="E1208" s="8">
        <v>34700</v>
      </c>
      <c r="F1208" s="10" t="s">
        <v>2052</v>
      </c>
    </row>
    <row r="1209" spans="1:6" ht="14.25" x14ac:dyDescent="0.45">
      <c r="A1209" s="6" t="str">
        <f ca="1">IFERROR(__xludf.DUMMYFUNCTION("""COMPUTED_VALUE"""),"X5ZMUW9")</f>
        <v>X5ZMUW9</v>
      </c>
      <c r="B1209" s="7" t="s">
        <v>1971</v>
      </c>
      <c r="C1209" s="7" t="s">
        <v>1972</v>
      </c>
      <c r="D1209" s="7" t="s">
        <v>1973</v>
      </c>
      <c r="E1209" s="8">
        <v>34701</v>
      </c>
      <c r="F1209" s="9">
        <v>44320</v>
      </c>
    </row>
    <row r="1210" spans="1:6" ht="14.25" x14ac:dyDescent="0.45">
      <c r="A1210" s="6" t="str">
        <f ca="1">IFERROR(__xludf.DUMMYFUNCTION("""COMPUTED_VALUE"""),"XDO2RQA")</f>
        <v>XDO2RQA</v>
      </c>
      <c r="B1210" s="7" t="s">
        <v>1971</v>
      </c>
      <c r="C1210" s="7" t="s">
        <v>1996</v>
      </c>
      <c r="D1210" s="7" t="s">
        <v>2007</v>
      </c>
      <c r="E1210" s="8">
        <v>34703</v>
      </c>
      <c r="F1210" s="10" t="s">
        <v>2258</v>
      </c>
    </row>
    <row r="1211" spans="1:6" ht="14.25" x14ac:dyDescent="0.45">
      <c r="A1211" s="6" t="str">
        <f ca="1">IFERROR(__xludf.DUMMYFUNCTION("""COMPUTED_VALUE"""),"XSNC3B3")</f>
        <v>XSNC3B3</v>
      </c>
      <c r="B1211" s="7" t="s">
        <v>1971</v>
      </c>
      <c r="C1211" s="7" t="s">
        <v>1972</v>
      </c>
      <c r="D1211" s="7" t="s">
        <v>2072</v>
      </c>
      <c r="E1211" s="8">
        <v>34703</v>
      </c>
      <c r="F1211" s="10" t="s">
        <v>2261</v>
      </c>
    </row>
    <row r="1212" spans="1:6" ht="14.25" x14ac:dyDescent="0.45">
      <c r="A1212" s="6" t="str">
        <f ca="1">IFERROR(__xludf.DUMMYFUNCTION("""COMPUTED_VALUE"""),"X1641")</f>
        <v>X1641</v>
      </c>
      <c r="B1212" s="7" t="s">
        <v>1980</v>
      </c>
      <c r="C1212" s="7" t="s">
        <v>1977</v>
      </c>
      <c r="D1212" s="7" t="s">
        <v>1993</v>
      </c>
      <c r="E1212" s="8">
        <v>34705</v>
      </c>
      <c r="F1212" s="10" t="s">
        <v>1976</v>
      </c>
    </row>
    <row r="1213" spans="1:6" ht="14.25" x14ac:dyDescent="0.45">
      <c r="A1213" s="6" t="str">
        <f ca="1">IFERROR(__xludf.DUMMYFUNCTION("""COMPUTED_VALUE"""),"XDJLJ33")</f>
        <v>XDJLJ33</v>
      </c>
      <c r="B1213" s="7" t="s">
        <v>1971</v>
      </c>
      <c r="C1213" s="7" t="s">
        <v>1972</v>
      </c>
      <c r="D1213" s="7" t="s">
        <v>1974</v>
      </c>
      <c r="E1213" s="8">
        <v>34713</v>
      </c>
      <c r="F1213" s="9">
        <v>44447</v>
      </c>
    </row>
    <row r="1214" spans="1:6" ht="14.25" x14ac:dyDescent="0.45">
      <c r="A1214" s="6" t="str">
        <f ca="1">IFERROR(__xludf.DUMMYFUNCTION("""COMPUTED_VALUE"""),"X2BRH")</f>
        <v>X2BRH</v>
      </c>
      <c r="B1214" s="7" t="s">
        <v>1971</v>
      </c>
      <c r="C1214" s="7" t="s">
        <v>1972</v>
      </c>
      <c r="D1214" s="7" t="s">
        <v>2007</v>
      </c>
      <c r="E1214" s="8">
        <v>34714</v>
      </c>
      <c r="F1214" s="10" t="s">
        <v>2009</v>
      </c>
    </row>
    <row r="1215" spans="1:6" ht="14.25" x14ac:dyDescent="0.45">
      <c r="A1215" s="6" t="str">
        <f ca="1">IFERROR(__xludf.DUMMYFUNCTION("""COMPUTED_VALUE"""),"XCHQ6Z9")</f>
        <v>XCHQ6Z9</v>
      </c>
      <c r="B1215" s="7" t="s">
        <v>1980</v>
      </c>
      <c r="C1215" s="7" t="s">
        <v>1972</v>
      </c>
      <c r="D1215" s="7" t="s">
        <v>1974</v>
      </c>
      <c r="E1215" s="8">
        <v>34718</v>
      </c>
      <c r="F1215" s="10" t="s">
        <v>2226</v>
      </c>
    </row>
    <row r="1216" spans="1:6" ht="14.25" x14ac:dyDescent="0.45">
      <c r="A1216" s="6" t="str">
        <f ca="1">IFERROR(__xludf.DUMMYFUNCTION("""COMPUTED_VALUE"""),"X9VWXWB")</f>
        <v>X9VWXWB</v>
      </c>
      <c r="B1216" s="7" t="s">
        <v>1971</v>
      </c>
      <c r="C1216" s="7" t="s">
        <v>1972</v>
      </c>
      <c r="D1216" s="7" t="s">
        <v>1978</v>
      </c>
      <c r="E1216" s="8">
        <v>34718</v>
      </c>
      <c r="F1216" s="10" t="s">
        <v>2242</v>
      </c>
    </row>
    <row r="1217" spans="1:6" ht="14.25" x14ac:dyDescent="0.45">
      <c r="A1217" s="6" t="str">
        <f ca="1">IFERROR(__xludf.DUMMYFUNCTION("""COMPUTED_VALUE"""),"XLLE3WC")</f>
        <v>XLLE3WC</v>
      </c>
      <c r="B1217" s="7" t="s">
        <v>1971</v>
      </c>
      <c r="C1217" s="7" t="s">
        <v>1972</v>
      </c>
      <c r="D1217" s="7" t="s">
        <v>1993</v>
      </c>
      <c r="E1217" s="8">
        <v>34724</v>
      </c>
      <c r="F1217" s="10" t="s">
        <v>2285</v>
      </c>
    </row>
    <row r="1218" spans="1:6" ht="14.25" x14ac:dyDescent="0.45">
      <c r="A1218" s="6" t="str">
        <f ca="1">IFERROR(__xludf.DUMMYFUNCTION("""COMPUTED_VALUE"""),"X3CB27C")</f>
        <v>X3CB27C</v>
      </c>
      <c r="B1218" s="7" t="s">
        <v>1971</v>
      </c>
      <c r="C1218" s="7" t="s">
        <v>1972</v>
      </c>
      <c r="D1218" s="7" t="s">
        <v>1993</v>
      </c>
      <c r="E1218" s="8">
        <v>34728</v>
      </c>
      <c r="F1218" s="10" t="s">
        <v>2193</v>
      </c>
    </row>
    <row r="1219" spans="1:6" ht="14.25" x14ac:dyDescent="0.45">
      <c r="A1219" s="6" t="str">
        <f ca="1">IFERROR(__xludf.DUMMYFUNCTION("""COMPUTED_VALUE"""),"X28CS")</f>
        <v>X28CS</v>
      </c>
      <c r="B1219" s="7" t="s">
        <v>1980</v>
      </c>
      <c r="C1219" s="7" t="s">
        <v>1972</v>
      </c>
      <c r="D1219" s="7" t="s">
        <v>1974</v>
      </c>
      <c r="E1219" s="8">
        <v>34731</v>
      </c>
      <c r="F1219" s="10" t="s">
        <v>2125</v>
      </c>
    </row>
    <row r="1220" spans="1:6" ht="14.25" x14ac:dyDescent="0.45">
      <c r="A1220" s="6" t="str">
        <f ca="1">IFERROR(__xludf.DUMMYFUNCTION("""COMPUTED_VALUE"""),"XRW8G7U")</f>
        <v>XRW8G7U</v>
      </c>
      <c r="B1220" s="7" t="s">
        <v>1971</v>
      </c>
      <c r="C1220" s="7" t="s">
        <v>1977</v>
      </c>
      <c r="D1220" s="7" t="s">
        <v>1982</v>
      </c>
      <c r="E1220" s="8">
        <v>34738</v>
      </c>
      <c r="F1220" s="9">
        <v>44414</v>
      </c>
    </row>
    <row r="1221" spans="1:6" ht="14.25" x14ac:dyDescent="0.45">
      <c r="A1221" s="6" t="str">
        <f ca="1">IFERROR(__xludf.DUMMYFUNCTION("""COMPUTED_VALUE"""),"XB393BH")</f>
        <v>XB393BH</v>
      </c>
      <c r="B1221" s="7" t="s">
        <v>1971</v>
      </c>
      <c r="C1221" s="7" t="s">
        <v>1972</v>
      </c>
      <c r="D1221" s="7" t="s">
        <v>1975</v>
      </c>
      <c r="E1221" s="8">
        <v>34740</v>
      </c>
      <c r="F1221" s="10" t="s">
        <v>2246</v>
      </c>
    </row>
    <row r="1222" spans="1:6" ht="14.25" x14ac:dyDescent="0.45">
      <c r="A1222" s="6" t="str">
        <f ca="1">IFERROR(__xludf.DUMMYFUNCTION("""COMPUTED_VALUE"""),"XSML5C6")</f>
        <v>XSML5C6</v>
      </c>
      <c r="B1222" s="7" t="s">
        <v>1971</v>
      </c>
      <c r="C1222" s="7" t="s">
        <v>1972</v>
      </c>
      <c r="D1222" s="7" t="s">
        <v>1974</v>
      </c>
      <c r="E1222" s="8">
        <v>34741</v>
      </c>
      <c r="F1222" s="10" t="s">
        <v>2216</v>
      </c>
    </row>
    <row r="1223" spans="1:6" ht="14.25" x14ac:dyDescent="0.45">
      <c r="A1223" s="6" t="str">
        <f ca="1">IFERROR(__xludf.DUMMYFUNCTION("""COMPUTED_VALUE"""),"X3770")</f>
        <v>X3770</v>
      </c>
      <c r="B1223" s="7" t="s">
        <v>1980</v>
      </c>
      <c r="C1223" s="7" t="s">
        <v>1972</v>
      </c>
      <c r="D1223" s="7" t="s">
        <v>1982</v>
      </c>
      <c r="E1223" s="8">
        <v>34742</v>
      </c>
      <c r="F1223" s="10" t="s">
        <v>2152</v>
      </c>
    </row>
    <row r="1224" spans="1:6" ht="14.25" x14ac:dyDescent="0.45">
      <c r="A1224" s="6" t="str">
        <f ca="1">IFERROR(__xludf.DUMMYFUNCTION("""COMPUTED_VALUE"""),"XDN2YYH")</f>
        <v>XDN2YYH</v>
      </c>
      <c r="B1224" s="7" t="s">
        <v>1971</v>
      </c>
      <c r="C1224" s="7" t="s">
        <v>1972</v>
      </c>
      <c r="D1224" s="7" t="s">
        <v>1974</v>
      </c>
      <c r="E1224" s="8">
        <v>34742</v>
      </c>
      <c r="F1224" s="10" t="s">
        <v>2193</v>
      </c>
    </row>
    <row r="1225" spans="1:6" ht="14.25" x14ac:dyDescent="0.45">
      <c r="A1225" s="6" t="str">
        <f ca="1">IFERROR(__xludf.DUMMYFUNCTION("""COMPUTED_VALUE"""),"XAQSLOO")</f>
        <v>XAQSLOO</v>
      </c>
      <c r="B1225" s="7" t="s">
        <v>1986</v>
      </c>
      <c r="C1225" s="7" t="s">
        <v>1972</v>
      </c>
      <c r="D1225" s="7" t="s">
        <v>2241</v>
      </c>
      <c r="E1225" s="8">
        <v>34757</v>
      </c>
      <c r="F1225" s="10" t="s">
        <v>2191</v>
      </c>
    </row>
    <row r="1226" spans="1:6" ht="14.25" x14ac:dyDescent="0.45">
      <c r="A1226" s="6" t="str">
        <f ca="1">IFERROR(__xludf.DUMMYFUNCTION("""COMPUTED_VALUE"""),"XEI45P8")</f>
        <v>XEI45P8</v>
      </c>
      <c r="B1226" s="7" t="s">
        <v>1986</v>
      </c>
      <c r="C1226" s="7" t="s">
        <v>1972</v>
      </c>
      <c r="D1226" s="7" t="s">
        <v>1974</v>
      </c>
      <c r="E1226" s="8">
        <v>34761</v>
      </c>
      <c r="F1226" s="9">
        <v>44411</v>
      </c>
    </row>
    <row r="1227" spans="1:6" ht="14.25" x14ac:dyDescent="0.45">
      <c r="A1227" s="6" t="str">
        <f ca="1">IFERROR(__xludf.DUMMYFUNCTION("""COMPUTED_VALUE"""),"X3655")</f>
        <v>X3655</v>
      </c>
      <c r="B1227" s="7" t="s">
        <v>1980</v>
      </c>
      <c r="C1227" s="10">
        <v>0</v>
      </c>
      <c r="D1227" s="10">
        <v>0</v>
      </c>
      <c r="E1227" s="8">
        <v>34767</v>
      </c>
      <c r="F1227" s="9">
        <v>44349</v>
      </c>
    </row>
    <row r="1228" spans="1:6" ht="14.25" x14ac:dyDescent="0.45">
      <c r="A1228" s="6" t="str">
        <f ca="1">IFERROR(__xludf.DUMMYFUNCTION("""COMPUTED_VALUE"""),"XMTFRD1")</f>
        <v>XMTFRD1</v>
      </c>
      <c r="B1228" s="7" t="s">
        <v>1971</v>
      </c>
      <c r="C1228" s="7" t="s">
        <v>1977</v>
      </c>
      <c r="D1228" s="7" t="s">
        <v>1975</v>
      </c>
      <c r="E1228" s="8">
        <v>34769</v>
      </c>
      <c r="F1228" s="10" t="s">
        <v>2242</v>
      </c>
    </row>
    <row r="1229" spans="1:6" ht="14.25" x14ac:dyDescent="0.45">
      <c r="A1229" s="6" t="str">
        <f ca="1">IFERROR(__xludf.DUMMYFUNCTION("""COMPUTED_VALUE"""),"XNFGQD8")</f>
        <v>XNFGQD8</v>
      </c>
      <c r="B1229" s="7" t="s">
        <v>1971</v>
      </c>
      <c r="C1229" s="7" t="s">
        <v>1972</v>
      </c>
      <c r="D1229" s="7" t="s">
        <v>1975</v>
      </c>
      <c r="E1229" s="8">
        <v>34770</v>
      </c>
      <c r="F1229" s="9">
        <v>44534</v>
      </c>
    </row>
    <row r="1230" spans="1:6" ht="14.25" x14ac:dyDescent="0.45">
      <c r="A1230" s="6" t="str">
        <f ca="1">IFERROR(__xludf.DUMMYFUNCTION("""COMPUTED_VALUE"""),"XFG1BFW")</f>
        <v>XFG1BFW</v>
      </c>
      <c r="B1230" s="7" t="s">
        <v>1971</v>
      </c>
      <c r="C1230" s="7" t="s">
        <v>1972</v>
      </c>
      <c r="D1230" s="7" t="s">
        <v>1974</v>
      </c>
      <c r="E1230" s="8">
        <v>34785</v>
      </c>
      <c r="F1230" s="9">
        <v>44323</v>
      </c>
    </row>
    <row r="1231" spans="1:6" ht="14.25" x14ac:dyDescent="0.45">
      <c r="A1231" s="6" t="str">
        <f ca="1">IFERROR(__xludf.DUMMYFUNCTION("""COMPUTED_VALUE"""),"X1WIXWX")</f>
        <v>X1WIXWX</v>
      </c>
      <c r="B1231" s="7" t="s">
        <v>1971</v>
      </c>
      <c r="C1231" s="7" t="s">
        <v>1972</v>
      </c>
      <c r="D1231" s="7" t="s">
        <v>1975</v>
      </c>
      <c r="E1231" s="8">
        <v>34786</v>
      </c>
      <c r="F1231" s="10" t="s">
        <v>2288</v>
      </c>
    </row>
    <row r="1232" spans="1:6" ht="14.25" x14ac:dyDescent="0.45">
      <c r="A1232" s="6" t="str">
        <f ca="1">IFERROR(__xludf.DUMMYFUNCTION("""COMPUTED_VALUE"""),"XF5YZ5P")</f>
        <v>XF5YZ5P</v>
      </c>
      <c r="B1232" s="7" t="s">
        <v>1971</v>
      </c>
      <c r="C1232" s="7" t="s">
        <v>1972</v>
      </c>
      <c r="D1232" s="7" t="s">
        <v>1978</v>
      </c>
      <c r="E1232" s="8">
        <v>34793</v>
      </c>
      <c r="F1232" s="10" t="s">
        <v>2213</v>
      </c>
    </row>
    <row r="1233" spans="1:6" ht="14.25" x14ac:dyDescent="0.45">
      <c r="A1233" s="6" t="str">
        <f ca="1">IFERROR(__xludf.DUMMYFUNCTION("""COMPUTED_VALUE"""),"XDQV8A8")</f>
        <v>XDQV8A8</v>
      </c>
      <c r="B1233" s="7" t="s">
        <v>1971</v>
      </c>
      <c r="C1233" s="7" t="s">
        <v>1972</v>
      </c>
      <c r="D1233" s="7" t="s">
        <v>1978</v>
      </c>
      <c r="E1233" s="8">
        <v>34793</v>
      </c>
      <c r="F1233" s="10" t="s">
        <v>2242</v>
      </c>
    </row>
    <row r="1234" spans="1:6" ht="14.25" x14ac:dyDescent="0.45">
      <c r="A1234" s="6" t="str">
        <f ca="1">IFERROR(__xludf.DUMMYFUNCTION("""COMPUTED_VALUE"""),"X1NOBI9")</f>
        <v>X1NOBI9</v>
      </c>
      <c r="B1234" s="7" t="s">
        <v>1971</v>
      </c>
      <c r="C1234" s="7" t="s">
        <v>1981</v>
      </c>
      <c r="D1234" s="7" t="s">
        <v>1990</v>
      </c>
      <c r="E1234" s="8">
        <v>34796</v>
      </c>
      <c r="F1234" s="10" t="s">
        <v>2220</v>
      </c>
    </row>
    <row r="1235" spans="1:6" ht="14.25" x14ac:dyDescent="0.45">
      <c r="A1235" s="6" t="str">
        <f ca="1">IFERROR(__xludf.DUMMYFUNCTION("""COMPUTED_VALUE"""),"X21I1")</f>
        <v>X21I1</v>
      </c>
      <c r="B1235" s="7" t="s">
        <v>2021</v>
      </c>
      <c r="C1235" s="7" t="s">
        <v>1972</v>
      </c>
      <c r="D1235" s="7" t="s">
        <v>1974</v>
      </c>
      <c r="E1235" s="8">
        <v>34797</v>
      </c>
      <c r="F1235" s="10" t="s">
        <v>2135</v>
      </c>
    </row>
    <row r="1236" spans="1:6" ht="14.25" x14ac:dyDescent="0.45">
      <c r="A1236" s="6" t="str">
        <f ca="1">IFERROR(__xludf.DUMMYFUNCTION("""COMPUTED_VALUE"""),"X27QK")</f>
        <v>X27QK</v>
      </c>
      <c r="B1236" s="7" t="s">
        <v>1971</v>
      </c>
      <c r="C1236" s="7" t="s">
        <v>1972</v>
      </c>
      <c r="D1236" s="7" t="s">
        <v>1975</v>
      </c>
      <c r="E1236" s="8">
        <v>34798</v>
      </c>
      <c r="F1236" s="10" t="s">
        <v>2110</v>
      </c>
    </row>
    <row r="1237" spans="1:6" ht="14.25" x14ac:dyDescent="0.45">
      <c r="A1237" s="6" t="str">
        <f ca="1">IFERROR(__xludf.DUMMYFUNCTION("""COMPUTED_VALUE"""),"XQOMA4L")</f>
        <v>XQOMA4L</v>
      </c>
      <c r="B1237" s="7" t="s">
        <v>1971</v>
      </c>
      <c r="C1237" s="7" t="s">
        <v>1972</v>
      </c>
      <c r="D1237" s="7" t="s">
        <v>1997</v>
      </c>
      <c r="E1237" s="8">
        <v>34798</v>
      </c>
      <c r="F1237" s="10" t="s">
        <v>2246</v>
      </c>
    </row>
    <row r="1238" spans="1:6" ht="14.25" x14ac:dyDescent="0.45">
      <c r="A1238" s="6" t="str">
        <f ca="1">IFERROR(__xludf.DUMMYFUNCTION("""COMPUTED_VALUE"""),"X1PTHGK")</f>
        <v>X1PTHGK</v>
      </c>
      <c r="B1238" s="7" t="s">
        <v>1971</v>
      </c>
      <c r="C1238" s="7" t="s">
        <v>1972</v>
      </c>
      <c r="D1238" s="7" t="s">
        <v>1974</v>
      </c>
      <c r="E1238" s="8">
        <v>34810</v>
      </c>
      <c r="F1238" s="10" t="s">
        <v>2258</v>
      </c>
    </row>
    <row r="1239" spans="1:6" ht="14.25" x14ac:dyDescent="0.45">
      <c r="A1239" s="6" t="str">
        <f ca="1">IFERROR(__xludf.DUMMYFUNCTION("""COMPUTED_VALUE"""),"XKZNEWJ")</f>
        <v>XKZNEWJ</v>
      </c>
      <c r="B1239" s="7" t="s">
        <v>1971</v>
      </c>
      <c r="C1239" s="7" t="s">
        <v>1972</v>
      </c>
      <c r="D1239" s="7" t="s">
        <v>1997</v>
      </c>
      <c r="E1239" s="8">
        <v>34816</v>
      </c>
      <c r="F1239" s="9">
        <v>44263</v>
      </c>
    </row>
    <row r="1240" spans="1:6" ht="14.25" x14ac:dyDescent="0.45">
      <c r="A1240" s="6" t="str">
        <f ca="1">IFERROR(__xludf.DUMMYFUNCTION("""COMPUTED_VALUE"""),"X2CA9")</f>
        <v>X2CA9</v>
      </c>
      <c r="B1240" s="7" t="s">
        <v>1980</v>
      </c>
      <c r="C1240" s="7" t="s">
        <v>1972</v>
      </c>
      <c r="D1240" s="7" t="s">
        <v>1975</v>
      </c>
      <c r="E1240" s="8">
        <v>34817</v>
      </c>
      <c r="F1240" s="10" t="s">
        <v>2035</v>
      </c>
    </row>
    <row r="1241" spans="1:6" ht="14.25" x14ac:dyDescent="0.45">
      <c r="A1241" s="6" t="str">
        <f ca="1">IFERROR(__xludf.DUMMYFUNCTION("""COMPUTED_VALUE"""),"XDGG1EY")</f>
        <v>XDGG1EY</v>
      </c>
      <c r="B1241" s="7" t="s">
        <v>1971</v>
      </c>
      <c r="C1241" s="7" t="s">
        <v>1972</v>
      </c>
      <c r="D1241" s="7" t="s">
        <v>1995</v>
      </c>
      <c r="E1241" s="8">
        <v>34818</v>
      </c>
      <c r="F1241" s="9">
        <v>44200</v>
      </c>
    </row>
    <row r="1242" spans="1:6" ht="14.25" x14ac:dyDescent="0.45">
      <c r="A1242" s="6" t="str">
        <f ca="1">IFERROR(__xludf.DUMMYFUNCTION("""COMPUTED_VALUE"""),"XJXZSBV")</f>
        <v>XJXZSBV</v>
      </c>
      <c r="B1242" s="7" t="s">
        <v>1971</v>
      </c>
      <c r="C1242" s="7" t="s">
        <v>1977</v>
      </c>
      <c r="D1242" s="7" t="s">
        <v>1975</v>
      </c>
      <c r="E1242" s="8">
        <v>34819</v>
      </c>
      <c r="F1242" s="10" t="s">
        <v>2246</v>
      </c>
    </row>
    <row r="1243" spans="1:6" ht="14.25" x14ac:dyDescent="0.45">
      <c r="A1243" s="6" t="str">
        <f ca="1">IFERROR(__xludf.DUMMYFUNCTION("""COMPUTED_VALUE"""),"X2E6V")</f>
        <v>X2E6V</v>
      </c>
      <c r="B1243" s="7" t="s">
        <v>1986</v>
      </c>
      <c r="C1243" s="7" t="s">
        <v>1981</v>
      </c>
      <c r="D1243" s="7" t="s">
        <v>1975</v>
      </c>
      <c r="E1243" s="8">
        <v>34838</v>
      </c>
      <c r="F1243" s="10" t="s">
        <v>2196</v>
      </c>
    </row>
    <row r="1244" spans="1:6" ht="14.25" x14ac:dyDescent="0.45">
      <c r="A1244" s="6" t="str">
        <f ca="1">IFERROR(__xludf.DUMMYFUNCTION("""COMPUTED_VALUE"""),"XQCC4HD")</f>
        <v>XQCC4HD</v>
      </c>
      <c r="B1244" s="7" t="s">
        <v>1971</v>
      </c>
      <c r="C1244" s="7" t="s">
        <v>1972</v>
      </c>
      <c r="D1244" s="7" t="s">
        <v>1997</v>
      </c>
      <c r="E1244" s="8">
        <v>34839</v>
      </c>
      <c r="F1244" s="10" t="s">
        <v>2323</v>
      </c>
    </row>
    <row r="1245" spans="1:6" ht="14.25" x14ac:dyDescent="0.45">
      <c r="A1245" s="6" t="str">
        <f ca="1">IFERROR(__xludf.DUMMYFUNCTION("""COMPUTED_VALUE"""),"X1Y5P")</f>
        <v>X1Y5P</v>
      </c>
      <c r="B1245" s="7" t="s">
        <v>1980</v>
      </c>
      <c r="C1245" s="7" t="s">
        <v>1977</v>
      </c>
      <c r="D1245" s="7" t="s">
        <v>2020</v>
      </c>
      <c r="E1245" s="8">
        <v>34843</v>
      </c>
      <c r="F1245" s="10" t="s">
        <v>2078</v>
      </c>
    </row>
    <row r="1246" spans="1:6" ht="14.25" x14ac:dyDescent="0.45">
      <c r="A1246" s="6" t="str">
        <f ca="1">IFERROR(__xludf.DUMMYFUNCTION("""COMPUTED_VALUE"""),"XHX6KAB")</f>
        <v>XHX6KAB</v>
      </c>
      <c r="B1246" s="7" t="s">
        <v>1971</v>
      </c>
      <c r="C1246" s="7" t="s">
        <v>1972</v>
      </c>
      <c r="D1246" s="7" t="s">
        <v>1975</v>
      </c>
      <c r="E1246" s="8">
        <v>34847</v>
      </c>
      <c r="F1246" s="10" t="s">
        <v>2218</v>
      </c>
    </row>
    <row r="1247" spans="1:6" ht="14.25" x14ac:dyDescent="0.45">
      <c r="A1247" s="6" t="str">
        <f ca="1">IFERROR(__xludf.DUMMYFUNCTION("""COMPUTED_VALUE"""),"X3288")</f>
        <v>X3288</v>
      </c>
      <c r="B1247" s="7" t="s">
        <v>1980</v>
      </c>
      <c r="C1247" s="7" t="s">
        <v>1972</v>
      </c>
      <c r="D1247" s="7" t="s">
        <v>1993</v>
      </c>
      <c r="E1247" s="8">
        <v>34848</v>
      </c>
      <c r="F1247" s="10" t="s">
        <v>2066</v>
      </c>
    </row>
    <row r="1248" spans="1:6" ht="14.25" x14ac:dyDescent="0.45">
      <c r="A1248" s="6" t="str">
        <f ca="1">IFERROR(__xludf.DUMMYFUNCTION("""COMPUTED_VALUE"""),"XVGTSVL")</f>
        <v>XVGTSVL</v>
      </c>
      <c r="B1248" s="7" t="s">
        <v>1971</v>
      </c>
      <c r="C1248" s="7" t="s">
        <v>1977</v>
      </c>
      <c r="D1248" s="7" t="s">
        <v>1993</v>
      </c>
      <c r="E1248" s="8">
        <v>34850</v>
      </c>
      <c r="F1248" s="9">
        <v>44535</v>
      </c>
    </row>
    <row r="1249" spans="1:6" ht="14.25" x14ac:dyDescent="0.45">
      <c r="A1249" s="6" t="str">
        <f ca="1">IFERROR(__xludf.DUMMYFUNCTION("""COMPUTED_VALUE"""),"XQUXPTW")</f>
        <v>XQUXPTW</v>
      </c>
      <c r="B1249" s="7" t="s">
        <v>1971</v>
      </c>
      <c r="C1249" s="7" t="s">
        <v>1972</v>
      </c>
      <c r="D1249" s="7" t="s">
        <v>1990</v>
      </c>
      <c r="E1249" s="8">
        <v>34850</v>
      </c>
      <c r="F1249" s="10" t="s">
        <v>2296</v>
      </c>
    </row>
    <row r="1250" spans="1:6" ht="14.25" x14ac:dyDescent="0.45">
      <c r="A1250" s="6" t="str">
        <f ca="1">IFERROR(__xludf.DUMMYFUNCTION("""COMPUTED_VALUE"""),"X2AYY")</f>
        <v>X2AYY</v>
      </c>
      <c r="B1250" s="7" t="s">
        <v>1986</v>
      </c>
      <c r="C1250" s="7" t="s">
        <v>1972</v>
      </c>
      <c r="D1250" s="7" t="s">
        <v>1975</v>
      </c>
      <c r="E1250" s="8">
        <v>34854</v>
      </c>
      <c r="F1250" s="9">
        <v>44176</v>
      </c>
    </row>
    <row r="1251" spans="1:6" ht="14.25" x14ac:dyDescent="0.45">
      <c r="A1251" s="6" t="str">
        <f ca="1">IFERROR(__xludf.DUMMYFUNCTION("""COMPUTED_VALUE"""),"XE3L5QV")</f>
        <v>XE3L5QV</v>
      </c>
      <c r="B1251" s="7" t="s">
        <v>1986</v>
      </c>
      <c r="C1251" s="7" t="s">
        <v>1972</v>
      </c>
      <c r="D1251" s="7" t="s">
        <v>2088</v>
      </c>
      <c r="E1251" s="8">
        <v>34856</v>
      </c>
      <c r="F1251" s="10" t="s">
        <v>2193</v>
      </c>
    </row>
    <row r="1252" spans="1:6" ht="14.25" x14ac:dyDescent="0.45">
      <c r="A1252" s="6" t="str">
        <f ca="1">IFERROR(__xludf.DUMMYFUNCTION("""COMPUTED_VALUE"""),"X2710")</f>
        <v>X2710</v>
      </c>
      <c r="B1252" s="7" t="s">
        <v>2021</v>
      </c>
      <c r="C1252" s="7" t="s">
        <v>1996</v>
      </c>
      <c r="D1252" s="7" t="s">
        <v>1982</v>
      </c>
      <c r="E1252" s="8">
        <v>34861</v>
      </c>
      <c r="F1252" s="9">
        <v>43374</v>
      </c>
    </row>
    <row r="1253" spans="1:6" ht="14.25" x14ac:dyDescent="0.45">
      <c r="A1253" s="6" t="str">
        <f ca="1">IFERROR(__xludf.DUMMYFUNCTION("""COMPUTED_VALUE"""),"X2C9Z")</f>
        <v>X2C9Z</v>
      </c>
      <c r="B1253" s="7" t="s">
        <v>1986</v>
      </c>
      <c r="C1253" s="7" t="s">
        <v>1972</v>
      </c>
      <c r="D1253" s="7" t="s">
        <v>1993</v>
      </c>
      <c r="E1253" s="8">
        <v>34862</v>
      </c>
      <c r="F1253" s="9">
        <v>44024</v>
      </c>
    </row>
    <row r="1254" spans="1:6" ht="14.25" x14ac:dyDescent="0.45">
      <c r="A1254" s="6" t="str">
        <f ca="1">IFERROR(__xludf.DUMMYFUNCTION("""COMPUTED_VALUE"""),"X2BCM")</f>
        <v>X2BCM</v>
      </c>
      <c r="B1254" s="7" t="s">
        <v>1980</v>
      </c>
      <c r="C1254" s="7" t="s">
        <v>1972</v>
      </c>
      <c r="D1254" s="7" t="s">
        <v>1975</v>
      </c>
      <c r="E1254" s="8">
        <v>34869</v>
      </c>
      <c r="F1254" s="10" t="s">
        <v>2029</v>
      </c>
    </row>
    <row r="1255" spans="1:6" ht="14.25" x14ac:dyDescent="0.45">
      <c r="A1255" s="6" t="str">
        <f ca="1">IFERROR(__xludf.DUMMYFUNCTION("""COMPUTED_VALUE"""),"X3JDLJO")</f>
        <v>X3JDLJO</v>
      </c>
      <c r="B1255" s="7" t="s">
        <v>1971</v>
      </c>
      <c r="C1255" s="7" t="s">
        <v>1977</v>
      </c>
      <c r="D1255" s="7" t="s">
        <v>1975</v>
      </c>
      <c r="E1255" s="8">
        <v>34872</v>
      </c>
      <c r="F1255" s="10" t="s">
        <v>2286</v>
      </c>
    </row>
    <row r="1256" spans="1:6" ht="14.25" x14ac:dyDescent="0.45">
      <c r="A1256" s="6" t="str">
        <f ca="1">IFERROR(__xludf.DUMMYFUNCTION("""COMPUTED_VALUE"""),"X3725")</f>
        <v>X3725</v>
      </c>
      <c r="B1256" s="7" t="s">
        <v>1980</v>
      </c>
      <c r="C1256" s="7" t="s">
        <v>1972</v>
      </c>
      <c r="D1256" s="7" t="s">
        <v>1975</v>
      </c>
      <c r="E1256" s="8">
        <v>34875</v>
      </c>
      <c r="F1256" s="10" t="s">
        <v>2185</v>
      </c>
    </row>
    <row r="1257" spans="1:6" ht="14.25" x14ac:dyDescent="0.45">
      <c r="A1257" s="6" t="str">
        <f ca="1">IFERROR(__xludf.DUMMYFUNCTION("""COMPUTED_VALUE"""),"X237Q")</f>
        <v>X237Q</v>
      </c>
      <c r="B1257" s="7" t="s">
        <v>1971</v>
      </c>
      <c r="C1257" s="7" t="s">
        <v>1972</v>
      </c>
      <c r="D1257" s="7" t="s">
        <v>2014</v>
      </c>
      <c r="E1257" s="8">
        <v>34876</v>
      </c>
      <c r="F1257" s="10" t="s">
        <v>2244</v>
      </c>
    </row>
    <row r="1258" spans="1:6" ht="14.25" x14ac:dyDescent="0.45">
      <c r="A1258" s="6" t="str">
        <f ca="1">IFERROR(__xludf.DUMMYFUNCTION("""COMPUTED_VALUE"""),"XANLBDI")</f>
        <v>XANLBDI</v>
      </c>
      <c r="B1258" s="7" t="s">
        <v>1971</v>
      </c>
      <c r="C1258" s="7" t="s">
        <v>1972</v>
      </c>
      <c r="D1258" s="7" t="s">
        <v>1987</v>
      </c>
      <c r="E1258" s="8">
        <v>34876</v>
      </c>
      <c r="F1258" s="10" t="s">
        <v>2285</v>
      </c>
    </row>
    <row r="1259" spans="1:6" ht="14.25" x14ac:dyDescent="0.45">
      <c r="A1259" s="6" t="str">
        <f ca="1">IFERROR(__xludf.DUMMYFUNCTION("""COMPUTED_VALUE"""),"X6GFQGW")</f>
        <v>X6GFQGW</v>
      </c>
      <c r="B1259" s="7" t="s">
        <v>1971</v>
      </c>
      <c r="C1259" s="7" t="s">
        <v>1981</v>
      </c>
      <c r="D1259" s="7" t="s">
        <v>1974</v>
      </c>
      <c r="E1259" s="8">
        <v>34877</v>
      </c>
      <c r="F1259" s="10" t="s">
        <v>2242</v>
      </c>
    </row>
    <row r="1260" spans="1:6" ht="14.25" x14ac:dyDescent="0.45">
      <c r="A1260" s="6" t="str">
        <f ca="1">IFERROR(__xludf.DUMMYFUNCTION("""COMPUTED_VALUE"""),"X3616")</f>
        <v>X3616</v>
      </c>
      <c r="B1260" s="7" t="s">
        <v>1980</v>
      </c>
      <c r="C1260" s="7" t="s">
        <v>1972</v>
      </c>
      <c r="D1260" s="7" t="s">
        <v>1974</v>
      </c>
      <c r="E1260" s="8">
        <v>34879</v>
      </c>
      <c r="F1260" s="10" t="s">
        <v>2112</v>
      </c>
    </row>
    <row r="1261" spans="1:6" ht="14.25" x14ac:dyDescent="0.45">
      <c r="A1261" s="6" t="str">
        <f ca="1">IFERROR(__xludf.DUMMYFUNCTION("""COMPUTED_VALUE"""),"XYIEWLW")</f>
        <v>XYIEWLW</v>
      </c>
      <c r="B1261" s="7" t="s">
        <v>1971</v>
      </c>
      <c r="C1261" s="7" t="s">
        <v>1974</v>
      </c>
      <c r="D1261" s="7" t="s">
        <v>1974</v>
      </c>
      <c r="E1261" s="8">
        <v>34879</v>
      </c>
      <c r="F1261" s="10" t="s">
        <v>2247</v>
      </c>
    </row>
    <row r="1262" spans="1:6" ht="14.25" x14ac:dyDescent="0.45">
      <c r="A1262" s="6" t="str">
        <f ca="1">IFERROR(__xludf.DUMMYFUNCTION("""COMPUTED_VALUE"""),"XZPKS9V")</f>
        <v>XZPKS9V</v>
      </c>
      <c r="B1262" s="7" t="s">
        <v>1986</v>
      </c>
      <c r="C1262" s="7" t="s">
        <v>1972</v>
      </c>
      <c r="D1262" s="7" t="s">
        <v>2124</v>
      </c>
      <c r="E1262" s="8">
        <v>34885</v>
      </c>
      <c r="F1262" s="9">
        <v>44447</v>
      </c>
    </row>
    <row r="1263" spans="1:6" ht="14.25" x14ac:dyDescent="0.45">
      <c r="A1263" s="6" t="str">
        <f ca="1">IFERROR(__xludf.DUMMYFUNCTION("""COMPUTED_VALUE"""),"X1L6O")</f>
        <v>X1L6O</v>
      </c>
      <c r="B1263" s="7" t="s">
        <v>1971</v>
      </c>
      <c r="C1263" s="7" t="s">
        <v>1972</v>
      </c>
      <c r="D1263" s="7" t="s">
        <v>1990</v>
      </c>
      <c r="E1263" s="8">
        <v>34891</v>
      </c>
      <c r="F1263" s="9">
        <v>43200</v>
      </c>
    </row>
    <row r="1264" spans="1:6" ht="14.25" x14ac:dyDescent="0.45">
      <c r="A1264" s="6" t="str">
        <f ca="1">IFERROR(__xludf.DUMMYFUNCTION("""COMPUTED_VALUE"""),"X29UQ")</f>
        <v>X29UQ</v>
      </c>
      <c r="B1264" s="7" t="s">
        <v>2025</v>
      </c>
      <c r="C1264" s="7" t="s">
        <v>1972</v>
      </c>
      <c r="D1264" s="7" t="s">
        <v>1982</v>
      </c>
      <c r="E1264" s="8">
        <v>34895</v>
      </c>
      <c r="F1264" s="9">
        <v>44175</v>
      </c>
    </row>
    <row r="1265" spans="1:6" ht="14.25" x14ac:dyDescent="0.45">
      <c r="A1265" s="6" t="str">
        <f ca="1">IFERROR(__xludf.DUMMYFUNCTION("""COMPUTED_VALUE"""),"X36THVG")</f>
        <v>X36THVG</v>
      </c>
      <c r="B1265" s="7" t="s">
        <v>2025</v>
      </c>
      <c r="C1265" s="7" t="s">
        <v>1977</v>
      </c>
      <c r="D1265" s="7" t="s">
        <v>1978</v>
      </c>
      <c r="E1265" s="8">
        <v>34895</v>
      </c>
      <c r="F1265" s="10" t="s">
        <v>2330</v>
      </c>
    </row>
    <row r="1266" spans="1:6" ht="14.25" x14ac:dyDescent="0.45">
      <c r="A1266" s="6" t="str">
        <f ca="1">IFERROR(__xludf.DUMMYFUNCTION("""COMPUTED_VALUE"""),"XBCPJ1I")</f>
        <v>XBCPJ1I</v>
      </c>
      <c r="B1266" s="7" t="s">
        <v>1971</v>
      </c>
      <c r="C1266" s="7" t="s">
        <v>1972</v>
      </c>
      <c r="D1266" s="7" t="s">
        <v>2026</v>
      </c>
      <c r="E1266" s="8">
        <v>34902</v>
      </c>
      <c r="F1266" s="10" t="s">
        <v>2242</v>
      </c>
    </row>
    <row r="1267" spans="1:6" ht="14.25" x14ac:dyDescent="0.45">
      <c r="A1267" s="6" t="str">
        <f ca="1">IFERROR(__xludf.DUMMYFUNCTION("""COMPUTED_VALUE"""),"XBLEMKF")</f>
        <v>XBLEMKF</v>
      </c>
      <c r="B1267" s="7" t="s">
        <v>1971</v>
      </c>
      <c r="C1267" s="7" t="s">
        <v>1974</v>
      </c>
      <c r="D1267" s="7" t="s">
        <v>1974</v>
      </c>
      <c r="E1267" s="8">
        <v>34905</v>
      </c>
      <c r="F1267" s="10" t="s">
        <v>2305</v>
      </c>
    </row>
    <row r="1268" spans="1:6" ht="14.25" x14ac:dyDescent="0.45">
      <c r="A1268" s="6" t="str">
        <f ca="1">IFERROR(__xludf.DUMMYFUNCTION("""COMPUTED_VALUE"""),"X2BAF")</f>
        <v>X2BAF</v>
      </c>
      <c r="B1268" s="7" t="s">
        <v>1971</v>
      </c>
      <c r="C1268" s="7" t="s">
        <v>1972</v>
      </c>
      <c r="D1268" s="7" t="s">
        <v>1990</v>
      </c>
      <c r="E1268" s="8">
        <v>34906</v>
      </c>
      <c r="F1268" s="10" t="s">
        <v>2029</v>
      </c>
    </row>
    <row r="1269" spans="1:6" ht="14.25" x14ac:dyDescent="0.45">
      <c r="A1269" s="6" t="str">
        <f ca="1">IFERROR(__xludf.DUMMYFUNCTION("""COMPUTED_VALUE"""),"X3668")</f>
        <v>X3668</v>
      </c>
      <c r="B1269" s="7" t="s">
        <v>1980</v>
      </c>
      <c r="C1269" s="7" t="s">
        <v>1972</v>
      </c>
      <c r="D1269" s="7" t="s">
        <v>1974</v>
      </c>
      <c r="E1269" s="8">
        <v>34906</v>
      </c>
      <c r="F1269" s="10" t="s">
        <v>2180</v>
      </c>
    </row>
    <row r="1270" spans="1:6" ht="14.25" x14ac:dyDescent="0.45">
      <c r="A1270" s="6" t="str">
        <f ca="1">IFERROR(__xludf.DUMMYFUNCTION("""COMPUTED_VALUE"""),"X4AQCPV")</f>
        <v>X4AQCPV</v>
      </c>
      <c r="B1270" s="7" t="s">
        <v>1971</v>
      </c>
      <c r="C1270" s="7" t="s">
        <v>1972</v>
      </c>
      <c r="D1270" s="7" t="s">
        <v>1993</v>
      </c>
      <c r="E1270" s="8">
        <v>34908</v>
      </c>
      <c r="F1270" s="10" t="s">
        <v>2326</v>
      </c>
    </row>
    <row r="1271" spans="1:6" ht="14.25" x14ac:dyDescent="0.45">
      <c r="A1271" s="6" t="str">
        <f ca="1">IFERROR(__xludf.DUMMYFUNCTION("""COMPUTED_VALUE"""),"X2YK6CH")</f>
        <v>X2YK6CH</v>
      </c>
      <c r="B1271" s="7" t="s">
        <v>1971</v>
      </c>
      <c r="C1271" s="7" t="s">
        <v>1972</v>
      </c>
      <c r="D1271" s="7" t="s">
        <v>1997</v>
      </c>
      <c r="E1271" s="8">
        <v>34913</v>
      </c>
      <c r="F1271" s="10" t="s">
        <v>2258</v>
      </c>
    </row>
    <row r="1272" spans="1:6" ht="14.25" x14ac:dyDescent="0.45">
      <c r="A1272" s="6" t="str">
        <f ca="1">IFERROR(__xludf.DUMMYFUNCTION("""COMPUTED_VALUE"""),"XVUSVUI")</f>
        <v>XVUSVUI</v>
      </c>
      <c r="B1272" s="7" t="s">
        <v>1971</v>
      </c>
      <c r="C1272" s="7" t="s">
        <v>1972</v>
      </c>
      <c r="D1272" s="7" t="s">
        <v>1975</v>
      </c>
      <c r="E1272" s="8">
        <v>34916</v>
      </c>
      <c r="F1272" s="10" t="s">
        <v>2242</v>
      </c>
    </row>
    <row r="1273" spans="1:6" ht="14.25" x14ac:dyDescent="0.45">
      <c r="A1273" s="6" t="str">
        <f ca="1">IFERROR(__xludf.DUMMYFUNCTION("""COMPUTED_VALUE"""),"XI5AQ55")</f>
        <v>XI5AQ55</v>
      </c>
      <c r="B1273" s="7" t="s">
        <v>1971</v>
      </c>
      <c r="C1273" s="7" t="s">
        <v>1977</v>
      </c>
      <c r="D1273" s="7" t="s">
        <v>1995</v>
      </c>
      <c r="E1273" s="8">
        <v>34916</v>
      </c>
      <c r="F1273" s="10" t="s">
        <v>2245</v>
      </c>
    </row>
    <row r="1274" spans="1:6" ht="14.25" x14ac:dyDescent="0.45">
      <c r="A1274" s="6" t="str">
        <f ca="1">IFERROR(__xludf.DUMMYFUNCTION("""COMPUTED_VALUE"""),"X1SZO")</f>
        <v>X1SZO</v>
      </c>
      <c r="B1274" s="7" t="s">
        <v>1980</v>
      </c>
      <c r="C1274" s="7" t="s">
        <v>1972</v>
      </c>
      <c r="D1274" s="7" t="s">
        <v>1995</v>
      </c>
      <c r="E1274" s="8">
        <v>34920</v>
      </c>
      <c r="F1274" s="10" t="s">
        <v>2259</v>
      </c>
    </row>
    <row r="1275" spans="1:6" ht="14.25" x14ac:dyDescent="0.45">
      <c r="A1275" s="6" t="str">
        <f ca="1">IFERROR(__xludf.DUMMYFUNCTION("""COMPUTED_VALUE"""),"XZD175G")</f>
        <v>XZD175G</v>
      </c>
      <c r="B1275" s="7" t="s">
        <v>1971</v>
      </c>
      <c r="C1275" s="7" t="s">
        <v>1972</v>
      </c>
      <c r="D1275" s="7" t="s">
        <v>2012</v>
      </c>
      <c r="E1275" s="8">
        <v>34920</v>
      </c>
      <c r="F1275" s="10" t="s">
        <v>2242</v>
      </c>
    </row>
    <row r="1276" spans="1:6" ht="14.25" x14ac:dyDescent="0.45">
      <c r="A1276" s="6" t="str">
        <f ca="1">IFERROR(__xludf.DUMMYFUNCTION("""COMPUTED_VALUE"""),"XWWHR9N")</f>
        <v>XWWHR9N</v>
      </c>
      <c r="B1276" s="7" t="s">
        <v>1971</v>
      </c>
      <c r="C1276" s="7" t="s">
        <v>1972</v>
      </c>
      <c r="D1276" s="7" t="s">
        <v>1975</v>
      </c>
      <c r="E1276" s="8">
        <v>34923</v>
      </c>
      <c r="F1276" s="10" t="s">
        <v>2294</v>
      </c>
    </row>
    <row r="1277" spans="1:6" ht="14.25" x14ac:dyDescent="0.45">
      <c r="A1277" s="6" t="str">
        <f ca="1">IFERROR(__xludf.DUMMYFUNCTION("""COMPUTED_VALUE"""),"XPYC2SL")</f>
        <v>XPYC2SL</v>
      </c>
      <c r="B1277" s="7" t="s">
        <v>1980</v>
      </c>
      <c r="C1277" s="7" t="s">
        <v>1972</v>
      </c>
      <c r="D1277" s="7" t="s">
        <v>1993</v>
      </c>
      <c r="E1277" s="8">
        <v>34924</v>
      </c>
      <c r="F1277" s="10" t="s">
        <v>2216</v>
      </c>
    </row>
    <row r="1278" spans="1:6" ht="14.25" x14ac:dyDescent="0.45">
      <c r="A1278" s="6" t="str">
        <f ca="1">IFERROR(__xludf.DUMMYFUNCTION("""COMPUTED_VALUE"""),"X29P7")</f>
        <v>X29P7</v>
      </c>
      <c r="B1278" s="7" t="s">
        <v>1971</v>
      </c>
      <c r="C1278" s="7" t="s">
        <v>1972</v>
      </c>
      <c r="D1278" s="7" t="s">
        <v>2007</v>
      </c>
      <c r="E1278" s="8">
        <v>34929</v>
      </c>
      <c r="F1278" s="10" t="s">
        <v>2207</v>
      </c>
    </row>
    <row r="1279" spans="1:6" ht="14.25" x14ac:dyDescent="0.45">
      <c r="A1279" s="6" t="str">
        <f ca="1">IFERROR(__xludf.DUMMYFUNCTION("""COMPUTED_VALUE"""),"X2C6Q")</f>
        <v>X2C6Q</v>
      </c>
      <c r="B1279" s="7" t="s">
        <v>1986</v>
      </c>
      <c r="C1279" s="7" t="s">
        <v>1981</v>
      </c>
      <c r="D1279" s="7" t="s">
        <v>2020</v>
      </c>
      <c r="E1279" s="8">
        <v>34931</v>
      </c>
      <c r="F1279" s="9">
        <v>44147</v>
      </c>
    </row>
    <row r="1280" spans="1:6" ht="14.25" x14ac:dyDescent="0.45">
      <c r="A1280" s="6" t="str">
        <f ca="1">IFERROR(__xludf.DUMMYFUNCTION("""COMPUTED_VALUE"""),"XX6B4IQ")</f>
        <v>XX6B4IQ</v>
      </c>
      <c r="B1280" s="7" t="s">
        <v>2092</v>
      </c>
      <c r="C1280" s="7" t="s">
        <v>1972</v>
      </c>
      <c r="D1280" s="7" t="s">
        <v>2012</v>
      </c>
      <c r="E1280" s="8">
        <v>34933</v>
      </c>
      <c r="F1280" s="10" t="s">
        <v>2226</v>
      </c>
    </row>
    <row r="1281" spans="1:6" ht="14.25" x14ac:dyDescent="0.45">
      <c r="A1281" s="6" t="str">
        <f ca="1">IFERROR(__xludf.DUMMYFUNCTION("""COMPUTED_VALUE"""),"X1X9C")</f>
        <v>X1X9C</v>
      </c>
      <c r="B1281" s="7" t="s">
        <v>1980</v>
      </c>
      <c r="C1281" s="7" t="s">
        <v>1972</v>
      </c>
      <c r="D1281" s="7" t="s">
        <v>1993</v>
      </c>
      <c r="E1281" s="8">
        <v>34934</v>
      </c>
      <c r="F1281" s="9">
        <v>43656</v>
      </c>
    </row>
    <row r="1282" spans="1:6" ht="14.25" x14ac:dyDescent="0.45">
      <c r="A1282" s="6" t="str">
        <f ca="1">IFERROR(__xludf.DUMMYFUNCTION("""COMPUTED_VALUE"""),"XZKHCQA")</f>
        <v>XZKHCQA</v>
      </c>
      <c r="B1282" s="7" t="s">
        <v>1971</v>
      </c>
      <c r="C1282" s="7" t="s">
        <v>1972</v>
      </c>
      <c r="D1282" s="7" t="s">
        <v>1993</v>
      </c>
      <c r="E1282" s="8">
        <v>34937</v>
      </c>
      <c r="F1282" s="9">
        <v>44357</v>
      </c>
    </row>
    <row r="1283" spans="1:6" ht="14.25" x14ac:dyDescent="0.45">
      <c r="A1283" s="6" t="str">
        <f ca="1">IFERROR(__xludf.DUMMYFUNCTION("""COMPUTED_VALUE"""),"XY3BVCN")</f>
        <v>XY3BVCN</v>
      </c>
      <c r="B1283" s="7" t="s">
        <v>1971</v>
      </c>
      <c r="C1283" s="7" t="s">
        <v>1972</v>
      </c>
      <c r="D1283" s="7" t="s">
        <v>1975</v>
      </c>
      <c r="E1283" s="8">
        <v>34938</v>
      </c>
      <c r="F1283" s="10" t="s">
        <v>2245</v>
      </c>
    </row>
    <row r="1284" spans="1:6" ht="14.25" x14ac:dyDescent="0.45">
      <c r="A1284" s="6" t="str">
        <f ca="1">IFERROR(__xludf.DUMMYFUNCTION("""COMPUTED_VALUE"""),"X2C3Y")</f>
        <v>X2C3Y</v>
      </c>
      <c r="B1284" s="7" t="s">
        <v>1971</v>
      </c>
      <c r="C1284" s="7" t="s">
        <v>1972</v>
      </c>
      <c r="D1284" s="7" t="s">
        <v>1975</v>
      </c>
      <c r="E1284" s="8">
        <v>34939</v>
      </c>
      <c r="F1284" s="9">
        <v>44055</v>
      </c>
    </row>
    <row r="1285" spans="1:6" ht="14.25" x14ac:dyDescent="0.45">
      <c r="A1285" s="6" t="str">
        <f ca="1">IFERROR(__xludf.DUMMYFUNCTION("""COMPUTED_VALUE"""),"X1X55")</f>
        <v>X1X55</v>
      </c>
      <c r="B1285" s="7" t="s">
        <v>1980</v>
      </c>
      <c r="C1285" s="7" t="s">
        <v>1972</v>
      </c>
      <c r="D1285" s="7" t="s">
        <v>1974</v>
      </c>
      <c r="E1285" s="8">
        <v>34940</v>
      </c>
      <c r="F1285" s="10" t="s">
        <v>2188</v>
      </c>
    </row>
    <row r="1286" spans="1:6" ht="14.25" x14ac:dyDescent="0.45">
      <c r="A1286" s="6" t="str">
        <f ca="1">IFERROR(__xludf.DUMMYFUNCTION("""COMPUTED_VALUE"""),"X2AJX")</f>
        <v>X2AJX</v>
      </c>
      <c r="B1286" s="7" t="s">
        <v>1986</v>
      </c>
      <c r="C1286" s="7" t="s">
        <v>1972</v>
      </c>
      <c r="D1286" s="7" t="s">
        <v>1993</v>
      </c>
      <c r="E1286" s="8">
        <v>34944</v>
      </c>
      <c r="F1286" s="10" t="s">
        <v>2040</v>
      </c>
    </row>
    <row r="1287" spans="1:6" ht="14.25" x14ac:dyDescent="0.45">
      <c r="A1287" s="6" t="str">
        <f ca="1">IFERROR(__xludf.DUMMYFUNCTION("""COMPUTED_VALUE"""),"X73JXTT")</f>
        <v>X73JXTT</v>
      </c>
      <c r="B1287" s="7" t="s">
        <v>1980</v>
      </c>
      <c r="C1287" s="7" t="s">
        <v>1972</v>
      </c>
      <c r="D1287" s="7" t="s">
        <v>1982</v>
      </c>
      <c r="E1287" s="8">
        <v>34944</v>
      </c>
      <c r="F1287" s="10" t="s">
        <v>2291</v>
      </c>
    </row>
    <row r="1288" spans="1:6" ht="14.25" x14ac:dyDescent="0.45">
      <c r="A1288" s="6" t="str">
        <f ca="1">IFERROR(__xludf.DUMMYFUNCTION("""COMPUTED_VALUE"""),"X1YO6")</f>
        <v>X1YO6</v>
      </c>
      <c r="B1288" s="7" t="s">
        <v>1986</v>
      </c>
      <c r="C1288" s="7" t="s">
        <v>1972</v>
      </c>
      <c r="D1288" s="7" t="s">
        <v>1997</v>
      </c>
      <c r="E1288" s="8">
        <v>34945</v>
      </c>
      <c r="F1288" s="9">
        <v>43810</v>
      </c>
    </row>
    <row r="1289" spans="1:6" ht="14.25" x14ac:dyDescent="0.45">
      <c r="A1289" s="6" t="str">
        <f ca="1">IFERROR(__xludf.DUMMYFUNCTION("""COMPUTED_VALUE"""),"X22JH")</f>
        <v>X22JH</v>
      </c>
      <c r="B1289" s="7" t="s">
        <v>2025</v>
      </c>
      <c r="C1289" s="7" t="s">
        <v>1972</v>
      </c>
      <c r="D1289" s="7" t="s">
        <v>1975</v>
      </c>
      <c r="E1289" s="8">
        <v>34946</v>
      </c>
      <c r="F1289" s="9">
        <v>44107</v>
      </c>
    </row>
    <row r="1290" spans="1:6" ht="14.25" x14ac:dyDescent="0.45">
      <c r="A1290" s="6" t="str">
        <f ca="1">IFERROR(__xludf.DUMMYFUNCTION("""COMPUTED_VALUE"""),"X41Y4TM")</f>
        <v>X41Y4TM</v>
      </c>
      <c r="B1290" s="7" t="s">
        <v>1971</v>
      </c>
      <c r="C1290" s="7" t="s">
        <v>1972</v>
      </c>
      <c r="D1290" s="7" t="s">
        <v>1993</v>
      </c>
      <c r="E1290" s="8">
        <v>34946</v>
      </c>
      <c r="F1290" s="10" t="s">
        <v>2247</v>
      </c>
    </row>
    <row r="1291" spans="1:6" ht="14.25" x14ac:dyDescent="0.45">
      <c r="A1291" s="6" t="str">
        <f ca="1">IFERROR(__xludf.DUMMYFUNCTION("""COMPUTED_VALUE"""),"XI82SOA")</f>
        <v>XI82SOA</v>
      </c>
      <c r="B1291" s="7" t="s">
        <v>1971</v>
      </c>
      <c r="C1291" s="7" t="s">
        <v>1972</v>
      </c>
      <c r="D1291" s="7" t="s">
        <v>1974</v>
      </c>
      <c r="E1291" s="8">
        <v>34947</v>
      </c>
      <c r="F1291" s="10" t="s">
        <v>2247</v>
      </c>
    </row>
    <row r="1292" spans="1:6" ht="14.25" x14ac:dyDescent="0.45">
      <c r="A1292" s="6" t="str">
        <f ca="1">IFERROR(__xludf.DUMMYFUNCTION("""COMPUTED_VALUE"""),"XHG3MQI")</f>
        <v>XHG3MQI</v>
      </c>
      <c r="B1292" s="7" t="s">
        <v>1971</v>
      </c>
      <c r="C1292" s="7" t="s">
        <v>1972</v>
      </c>
      <c r="D1292" s="7" t="s">
        <v>1975</v>
      </c>
      <c r="E1292" s="8">
        <v>34950</v>
      </c>
      <c r="F1292" s="9">
        <v>44442</v>
      </c>
    </row>
    <row r="1293" spans="1:6" ht="14.25" x14ac:dyDescent="0.45">
      <c r="A1293" s="6" t="str">
        <f ca="1">IFERROR(__xludf.DUMMYFUNCTION("""COMPUTED_VALUE"""),"XJKVJKL")</f>
        <v>XJKVJKL</v>
      </c>
      <c r="B1293" s="7" t="s">
        <v>1971</v>
      </c>
      <c r="C1293" s="7" t="s">
        <v>1972</v>
      </c>
      <c r="D1293" s="7" t="s">
        <v>2026</v>
      </c>
      <c r="E1293" s="8">
        <v>34955</v>
      </c>
      <c r="F1293" s="9">
        <v>44443</v>
      </c>
    </row>
    <row r="1294" spans="1:6" ht="14.25" x14ac:dyDescent="0.45">
      <c r="A1294" s="6" t="str">
        <f ca="1">IFERROR(__xludf.DUMMYFUNCTION("""COMPUTED_VALUE"""),"XK7EP99")</f>
        <v>XK7EP99</v>
      </c>
      <c r="B1294" s="7" t="s">
        <v>1971</v>
      </c>
      <c r="C1294" s="7" t="s">
        <v>1972</v>
      </c>
      <c r="D1294" s="7" t="s">
        <v>1975</v>
      </c>
      <c r="E1294" s="8">
        <v>34955</v>
      </c>
      <c r="F1294" s="10" t="s">
        <v>2261</v>
      </c>
    </row>
    <row r="1295" spans="1:6" ht="14.25" x14ac:dyDescent="0.45">
      <c r="A1295" s="6" t="str">
        <f ca="1">IFERROR(__xludf.DUMMYFUNCTION("""COMPUTED_VALUE"""),"X2D7N")</f>
        <v>X2D7N</v>
      </c>
      <c r="B1295" s="7" t="s">
        <v>1971</v>
      </c>
      <c r="C1295" s="7" t="s">
        <v>1972</v>
      </c>
      <c r="D1295" s="7" t="s">
        <v>2014</v>
      </c>
      <c r="E1295" s="8">
        <v>34958</v>
      </c>
      <c r="F1295" s="9">
        <v>44409</v>
      </c>
    </row>
    <row r="1296" spans="1:6" ht="14.25" x14ac:dyDescent="0.45">
      <c r="A1296" s="6" t="str">
        <f ca="1">IFERROR(__xludf.DUMMYFUNCTION("""COMPUTED_VALUE"""),"X448QLT")</f>
        <v>X448QLT</v>
      </c>
      <c r="B1296" s="7" t="s">
        <v>1971</v>
      </c>
      <c r="C1296" s="7" t="s">
        <v>1972</v>
      </c>
      <c r="D1296" s="7" t="s">
        <v>1975</v>
      </c>
      <c r="E1296" s="8">
        <v>34960</v>
      </c>
      <c r="F1296" s="10" t="s">
        <v>2193</v>
      </c>
    </row>
    <row r="1297" spans="1:6" ht="14.25" x14ac:dyDescent="0.45">
      <c r="A1297" s="6" t="str">
        <f ca="1">IFERROR(__xludf.DUMMYFUNCTION("""COMPUTED_VALUE"""),"XTTQ8LH")</f>
        <v>XTTQ8LH</v>
      </c>
      <c r="B1297" s="7" t="s">
        <v>1971</v>
      </c>
      <c r="C1297" s="7" t="s">
        <v>1972</v>
      </c>
      <c r="D1297" s="7" t="s">
        <v>1995</v>
      </c>
      <c r="E1297" s="8">
        <v>34962</v>
      </c>
      <c r="F1297" s="9">
        <v>44505</v>
      </c>
    </row>
    <row r="1298" spans="1:6" ht="14.25" x14ac:dyDescent="0.45">
      <c r="A1298" s="6" t="str">
        <f ca="1">IFERROR(__xludf.DUMMYFUNCTION("""COMPUTED_VALUE"""),"X2A17L")</f>
        <v>X2A17L</v>
      </c>
      <c r="B1298" s="7" t="s">
        <v>1971</v>
      </c>
      <c r="C1298" s="7" t="s">
        <v>1972</v>
      </c>
      <c r="D1298" s="7" t="s">
        <v>1974</v>
      </c>
      <c r="E1298" s="8">
        <v>34963</v>
      </c>
      <c r="F1298" s="10" t="s">
        <v>2071</v>
      </c>
    </row>
    <row r="1299" spans="1:6" ht="14.25" x14ac:dyDescent="0.45">
      <c r="A1299" s="6" t="str">
        <f ca="1">IFERROR(__xludf.DUMMYFUNCTION("""COMPUTED_VALUE"""),"XBNX915")</f>
        <v>XBNX915</v>
      </c>
      <c r="B1299" s="7" t="s">
        <v>1971</v>
      </c>
      <c r="C1299" s="7" t="s">
        <v>1972</v>
      </c>
      <c r="D1299" s="7" t="s">
        <v>1997</v>
      </c>
      <c r="E1299" s="8">
        <v>34964</v>
      </c>
      <c r="F1299" s="9">
        <v>44474</v>
      </c>
    </row>
    <row r="1300" spans="1:6" ht="14.25" x14ac:dyDescent="0.45">
      <c r="A1300" s="6" t="str">
        <f ca="1">IFERROR(__xludf.DUMMYFUNCTION("""COMPUTED_VALUE"""),"X2DAT")</f>
        <v>X2DAT</v>
      </c>
      <c r="B1300" s="7" t="s">
        <v>1986</v>
      </c>
      <c r="C1300" s="7" t="s">
        <v>1977</v>
      </c>
      <c r="D1300" s="7" t="s">
        <v>2026</v>
      </c>
      <c r="E1300" s="8">
        <v>34970</v>
      </c>
      <c r="F1300" s="9">
        <v>44378</v>
      </c>
    </row>
    <row r="1301" spans="1:6" ht="14.25" x14ac:dyDescent="0.45">
      <c r="A1301" s="6" t="str">
        <f ca="1">IFERROR(__xludf.DUMMYFUNCTION("""COMPUTED_VALUE"""),"XOV43QP")</f>
        <v>XOV43QP</v>
      </c>
      <c r="B1301" s="7" t="s">
        <v>1971</v>
      </c>
      <c r="C1301" s="7" t="s">
        <v>1974</v>
      </c>
      <c r="D1301" s="7" t="s">
        <v>1983</v>
      </c>
      <c r="E1301" s="8">
        <v>34975</v>
      </c>
      <c r="F1301" s="10" t="s">
        <v>2247</v>
      </c>
    </row>
    <row r="1302" spans="1:6" ht="14.25" x14ac:dyDescent="0.45">
      <c r="A1302" s="6" t="str">
        <f ca="1">IFERROR(__xludf.DUMMYFUNCTION("""COMPUTED_VALUE"""),"X2CRZ")</f>
        <v>X2CRZ</v>
      </c>
      <c r="B1302" s="7" t="s">
        <v>1971</v>
      </c>
      <c r="C1302" s="7" t="s">
        <v>1974</v>
      </c>
      <c r="D1302" s="7" t="s">
        <v>1982</v>
      </c>
      <c r="E1302" s="8">
        <v>34977</v>
      </c>
      <c r="F1302" s="10" t="s">
        <v>2096</v>
      </c>
    </row>
    <row r="1303" spans="1:6" ht="14.25" x14ac:dyDescent="0.45">
      <c r="A1303" s="6" t="str">
        <f ca="1">IFERROR(__xludf.DUMMYFUNCTION("""COMPUTED_VALUE"""),"XQ47IPB")</f>
        <v>XQ47IPB</v>
      </c>
      <c r="B1303" s="7" t="s">
        <v>1971</v>
      </c>
      <c r="C1303" s="7" t="s">
        <v>1974</v>
      </c>
      <c r="D1303" s="7" t="s">
        <v>1993</v>
      </c>
      <c r="E1303" s="8">
        <v>34983</v>
      </c>
      <c r="F1303" s="10" t="s">
        <v>2245</v>
      </c>
    </row>
    <row r="1304" spans="1:6" ht="14.25" x14ac:dyDescent="0.45">
      <c r="A1304" s="6" t="str">
        <f ca="1">IFERROR(__xludf.DUMMYFUNCTION("""COMPUTED_VALUE"""),"X2C2Y")</f>
        <v>X2C2Y</v>
      </c>
      <c r="B1304" s="7" t="s">
        <v>1971</v>
      </c>
      <c r="C1304" s="7" t="s">
        <v>1972</v>
      </c>
      <c r="D1304" s="7" t="s">
        <v>1978</v>
      </c>
      <c r="E1304" s="8">
        <v>34984</v>
      </c>
      <c r="F1304" s="9">
        <v>44055</v>
      </c>
    </row>
    <row r="1305" spans="1:6" ht="14.25" x14ac:dyDescent="0.45">
      <c r="A1305" s="6" t="str">
        <f ca="1">IFERROR(__xludf.DUMMYFUNCTION("""COMPUTED_VALUE"""),"X2DNT")</f>
        <v>X2DNT</v>
      </c>
      <c r="B1305" s="7" t="s">
        <v>1971</v>
      </c>
      <c r="C1305" s="7" t="s">
        <v>1972</v>
      </c>
      <c r="D1305" s="7" t="s">
        <v>1975</v>
      </c>
      <c r="E1305" s="8">
        <v>34984</v>
      </c>
      <c r="F1305" s="10" t="s">
        <v>2042</v>
      </c>
    </row>
    <row r="1306" spans="1:6" ht="14.25" x14ac:dyDescent="0.45">
      <c r="A1306" s="6" t="str">
        <f ca="1">IFERROR(__xludf.DUMMYFUNCTION("""COMPUTED_VALUE"""),"XADRPVV")</f>
        <v>XADRPVV</v>
      </c>
      <c r="B1306" s="7" t="s">
        <v>1971</v>
      </c>
      <c r="C1306" s="7" t="s">
        <v>1972</v>
      </c>
      <c r="D1306" s="7" t="s">
        <v>2088</v>
      </c>
      <c r="E1306" s="8">
        <v>34992</v>
      </c>
      <c r="F1306" s="10" t="s">
        <v>2247</v>
      </c>
    </row>
    <row r="1307" spans="1:6" ht="14.25" x14ac:dyDescent="0.45">
      <c r="A1307" s="6" t="str">
        <f ca="1">IFERROR(__xludf.DUMMYFUNCTION("""COMPUTED_VALUE"""),"XHTKNQP")</f>
        <v>XHTKNQP</v>
      </c>
      <c r="B1307" s="7" t="s">
        <v>1971</v>
      </c>
      <c r="C1307" s="7" t="s">
        <v>1972</v>
      </c>
      <c r="D1307" s="7" t="s">
        <v>1997</v>
      </c>
      <c r="E1307" s="8">
        <v>34999</v>
      </c>
      <c r="F1307" s="10" t="s">
        <v>2191</v>
      </c>
    </row>
    <row r="1308" spans="1:6" ht="14.25" x14ac:dyDescent="0.45">
      <c r="A1308" s="6" t="str">
        <f ca="1">IFERROR(__xludf.DUMMYFUNCTION("""COMPUTED_VALUE"""),"X7IF5BC")</f>
        <v>X7IF5BC</v>
      </c>
      <c r="B1308" s="7" t="s">
        <v>1971</v>
      </c>
      <c r="C1308" s="7" t="s">
        <v>1972</v>
      </c>
      <c r="D1308" s="7" t="s">
        <v>1990</v>
      </c>
      <c r="E1308" s="8">
        <v>35003</v>
      </c>
      <c r="F1308" s="10" t="s">
        <v>2287</v>
      </c>
    </row>
    <row r="1309" spans="1:6" ht="14.25" x14ac:dyDescent="0.45">
      <c r="A1309" s="6" t="str">
        <f ca="1">IFERROR(__xludf.DUMMYFUNCTION("""COMPUTED_VALUE"""),"XU8JK3P")</f>
        <v>XU8JK3P</v>
      </c>
      <c r="B1309" s="7" t="s">
        <v>1971</v>
      </c>
      <c r="C1309" s="7" t="s">
        <v>1972</v>
      </c>
      <c r="D1309" s="7" t="s">
        <v>1975</v>
      </c>
      <c r="E1309" s="8">
        <v>35009</v>
      </c>
      <c r="F1309" s="10" t="s">
        <v>2218</v>
      </c>
    </row>
    <row r="1310" spans="1:6" ht="14.25" x14ac:dyDescent="0.45">
      <c r="A1310" s="6" t="str">
        <f ca="1">IFERROR(__xludf.DUMMYFUNCTION("""COMPUTED_VALUE"""),"X20BD")</f>
        <v>X20BD</v>
      </c>
      <c r="B1310" s="7" t="s">
        <v>1971</v>
      </c>
      <c r="C1310" s="7" t="s">
        <v>1972</v>
      </c>
      <c r="D1310" s="7" t="s">
        <v>1990</v>
      </c>
      <c r="E1310" s="8">
        <v>35020</v>
      </c>
      <c r="F1310" s="9">
        <v>44013</v>
      </c>
    </row>
    <row r="1311" spans="1:6" ht="14.25" x14ac:dyDescent="0.45">
      <c r="A1311" s="6" t="str">
        <f ca="1">IFERROR(__xludf.DUMMYFUNCTION("""COMPUTED_VALUE"""),"XNNO3V9")</f>
        <v>XNNO3V9</v>
      </c>
      <c r="B1311" s="7" t="s">
        <v>1971</v>
      </c>
      <c r="C1311" s="7" t="s">
        <v>1972</v>
      </c>
      <c r="D1311" s="7" t="s">
        <v>2007</v>
      </c>
      <c r="E1311" s="8">
        <v>35025</v>
      </c>
      <c r="F1311" s="10" t="s">
        <v>2192</v>
      </c>
    </row>
    <row r="1312" spans="1:6" ht="14.25" x14ac:dyDescent="0.45">
      <c r="A1312" s="6" t="str">
        <f ca="1">IFERROR(__xludf.DUMMYFUNCTION("""COMPUTED_VALUE"""),"X2BXD")</f>
        <v>X2BXD</v>
      </c>
      <c r="B1312" s="7" t="s">
        <v>1971</v>
      </c>
      <c r="C1312" s="7" t="s">
        <v>1972</v>
      </c>
      <c r="D1312" s="7" t="s">
        <v>1993</v>
      </c>
      <c r="E1312" s="8">
        <v>35027</v>
      </c>
      <c r="F1312" s="9">
        <v>43933</v>
      </c>
    </row>
    <row r="1313" spans="1:6" ht="14.25" x14ac:dyDescent="0.45">
      <c r="A1313" s="6" t="str">
        <f ca="1">IFERROR(__xludf.DUMMYFUNCTION("""COMPUTED_VALUE"""),"XXLSJP8")</f>
        <v>XXLSJP8</v>
      </c>
      <c r="B1313" s="7" t="s">
        <v>1971</v>
      </c>
      <c r="C1313" s="7" t="s">
        <v>1972</v>
      </c>
      <c r="D1313" s="7" t="s">
        <v>1974</v>
      </c>
      <c r="E1313" s="8">
        <v>35034</v>
      </c>
      <c r="F1313" s="10" t="s">
        <v>2245</v>
      </c>
    </row>
    <row r="1314" spans="1:6" ht="14.25" x14ac:dyDescent="0.45">
      <c r="A1314" s="6" t="str">
        <f ca="1">IFERROR(__xludf.DUMMYFUNCTION("""COMPUTED_VALUE"""),"X3494")</f>
        <v>X3494</v>
      </c>
      <c r="B1314" s="7" t="s">
        <v>1980</v>
      </c>
      <c r="C1314" s="7" t="s">
        <v>1972</v>
      </c>
      <c r="D1314" s="7" t="s">
        <v>1974</v>
      </c>
      <c r="E1314" s="8">
        <v>35039</v>
      </c>
      <c r="F1314" s="9">
        <v>43289</v>
      </c>
    </row>
    <row r="1315" spans="1:6" ht="14.25" x14ac:dyDescent="0.45">
      <c r="A1315" s="6" t="str">
        <f ca="1">IFERROR(__xludf.DUMMYFUNCTION("""COMPUTED_VALUE"""),"XGLXXG3")</f>
        <v>XGLXXG3</v>
      </c>
      <c r="B1315" s="7" t="s">
        <v>1971</v>
      </c>
      <c r="C1315" s="7" t="s">
        <v>1974</v>
      </c>
      <c r="D1315" s="7" t="s">
        <v>1982</v>
      </c>
      <c r="E1315" s="8">
        <v>35040</v>
      </c>
      <c r="F1315" s="9">
        <v>44537</v>
      </c>
    </row>
    <row r="1316" spans="1:6" ht="14.25" x14ac:dyDescent="0.45">
      <c r="A1316" s="6" t="str">
        <f ca="1">IFERROR(__xludf.DUMMYFUNCTION("""COMPUTED_VALUE"""),"X3687")</f>
        <v>X3687</v>
      </c>
      <c r="B1316" s="7" t="s">
        <v>1980</v>
      </c>
      <c r="C1316" s="7" t="s">
        <v>1977</v>
      </c>
      <c r="D1316" s="7" t="s">
        <v>1995</v>
      </c>
      <c r="E1316" s="8">
        <v>35041</v>
      </c>
      <c r="F1316" s="10" t="s">
        <v>2180</v>
      </c>
    </row>
    <row r="1317" spans="1:6" ht="14.25" x14ac:dyDescent="0.45">
      <c r="A1317" s="6" t="str">
        <f ca="1">IFERROR(__xludf.DUMMYFUNCTION("""COMPUTED_VALUE"""),"X2911A")</f>
        <v>X2911A</v>
      </c>
      <c r="B1317" s="7" t="s">
        <v>1980</v>
      </c>
      <c r="C1317" s="7" t="s">
        <v>1972</v>
      </c>
      <c r="D1317" s="7" t="s">
        <v>1993</v>
      </c>
      <c r="E1317" s="8">
        <v>35044</v>
      </c>
      <c r="F1317" s="10" t="s">
        <v>2023</v>
      </c>
    </row>
    <row r="1318" spans="1:6" ht="14.25" x14ac:dyDescent="0.45">
      <c r="A1318" s="6" t="str">
        <f ca="1">IFERROR(__xludf.DUMMYFUNCTION("""COMPUTED_VALUE"""),"X27K0")</f>
        <v>X27K0</v>
      </c>
      <c r="B1318" s="7" t="s">
        <v>1986</v>
      </c>
      <c r="C1318" s="7" t="s">
        <v>1972</v>
      </c>
      <c r="D1318" s="7" t="s">
        <v>1997</v>
      </c>
      <c r="E1318" s="8">
        <v>35047</v>
      </c>
      <c r="F1318" s="10" t="s">
        <v>2022</v>
      </c>
    </row>
    <row r="1319" spans="1:6" ht="14.25" x14ac:dyDescent="0.45">
      <c r="A1319" s="6" t="str">
        <f ca="1">IFERROR(__xludf.DUMMYFUNCTION("""COMPUTED_VALUE"""),"XGD7EFP")</f>
        <v>XGD7EFP</v>
      </c>
      <c r="B1319" s="7" t="s">
        <v>1971</v>
      </c>
      <c r="C1319" s="7" t="s">
        <v>1972</v>
      </c>
      <c r="D1319" s="7" t="s">
        <v>2007</v>
      </c>
      <c r="E1319" s="8">
        <v>35048</v>
      </c>
      <c r="F1319" s="9">
        <v>44442</v>
      </c>
    </row>
    <row r="1320" spans="1:6" ht="14.25" x14ac:dyDescent="0.45">
      <c r="A1320" s="6" t="str">
        <f ca="1">IFERROR(__xludf.DUMMYFUNCTION("""COMPUTED_VALUE"""),"XIK51AQ")</f>
        <v>XIK51AQ</v>
      </c>
      <c r="B1320" s="7" t="s">
        <v>1971</v>
      </c>
      <c r="C1320" s="7" t="s">
        <v>1972</v>
      </c>
      <c r="D1320" s="7" t="s">
        <v>1974</v>
      </c>
      <c r="E1320" s="8">
        <v>35048</v>
      </c>
      <c r="F1320" s="10" t="s">
        <v>2258</v>
      </c>
    </row>
    <row r="1321" spans="1:6" ht="14.25" x14ac:dyDescent="0.45">
      <c r="A1321" s="6" t="str">
        <f ca="1">IFERROR(__xludf.DUMMYFUNCTION("""COMPUTED_VALUE"""),"XELHCJC")</f>
        <v>XELHCJC</v>
      </c>
      <c r="B1321" s="7" t="s">
        <v>1971</v>
      </c>
      <c r="C1321" s="7" t="s">
        <v>1972</v>
      </c>
      <c r="D1321" s="7" t="s">
        <v>1975</v>
      </c>
      <c r="E1321" s="8">
        <v>35050</v>
      </c>
      <c r="F1321" s="9">
        <v>44200</v>
      </c>
    </row>
    <row r="1322" spans="1:6" ht="14.25" x14ac:dyDescent="0.45">
      <c r="A1322" s="6" t="str">
        <f ca="1">IFERROR(__xludf.DUMMYFUNCTION("""COMPUTED_VALUE"""),"XWSHCM8")</f>
        <v>XWSHCM8</v>
      </c>
      <c r="B1322" s="7" t="s">
        <v>1971</v>
      </c>
      <c r="C1322" s="7" t="s">
        <v>1977</v>
      </c>
      <c r="D1322" s="7" t="s">
        <v>1990</v>
      </c>
      <c r="E1322" s="8">
        <v>35055</v>
      </c>
      <c r="F1322" s="10" t="s">
        <v>2245</v>
      </c>
    </row>
    <row r="1323" spans="1:6" ht="14.25" x14ac:dyDescent="0.45">
      <c r="A1323" s="6" t="str">
        <f ca="1">IFERROR(__xludf.DUMMYFUNCTION("""COMPUTED_VALUE"""),"X27K1")</f>
        <v>X27K1</v>
      </c>
      <c r="B1323" s="7" t="s">
        <v>2021</v>
      </c>
      <c r="C1323" s="7" t="s">
        <v>1972</v>
      </c>
      <c r="D1323" s="7" t="s">
        <v>1987</v>
      </c>
      <c r="E1323" s="8">
        <v>35065</v>
      </c>
      <c r="F1323" s="10" t="s">
        <v>2022</v>
      </c>
    </row>
    <row r="1324" spans="1:6" ht="14.25" x14ac:dyDescent="0.45">
      <c r="A1324" s="6" t="str">
        <f ca="1">IFERROR(__xludf.DUMMYFUNCTION("""COMPUTED_VALUE"""),"X2874")</f>
        <v>X2874</v>
      </c>
      <c r="B1324" s="7" t="s">
        <v>1980</v>
      </c>
      <c r="C1324" s="7" t="s">
        <v>1972</v>
      </c>
      <c r="D1324" s="7" t="s">
        <v>1975</v>
      </c>
      <c r="E1324" s="8">
        <v>35065</v>
      </c>
      <c r="F1324" s="9">
        <v>43134</v>
      </c>
    </row>
    <row r="1325" spans="1:6" ht="14.25" x14ac:dyDescent="0.45">
      <c r="A1325" s="6" t="str">
        <f ca="1">IFERROR(__xludf.DUMMYFUNCTION("""COMPUTED_VALUE"""),"X8S9CQX")</f>
        <v>X8S9CQX</v>
      </c>
      <c r="B1325" s="7" t="s">
        <v>1980</v>
      </c>
      <c r="C1325" s="7" t="s">
        <v>1972</v>
      </c>
      <c r="D1325" s="7" t="s">
        <v>1974</v>
      </c>
      <c r="E1325" s="8">
        <v>35069</v>
      </c>
      <c r="F1325" s="9">
        <v>44320</v>
      </c>
    </row>
    <row r="1326" spans="1:6" ht="14.25" x14ac:dyDescent="0.45">
      <c r="A1326" s="6" t="str">
        <f ca="1">IFERROR(__xludf.DUMMYFUNCTION("""COMPUTED_VALUE"""),"X3529")</f>
        <v>X3529</v>
      </c>
      <c r="B1326" s="7" t="s">
        <v>1971</v>
      </c>
      <c r="C1326" s="7" t="s">
        <v>1972</v>
      </c>
      <c r="D1326" s="7" t="s">
        <v>1982</v>
      </c>
      <c r="E1326" s="8">
        <v>35070</v>
      </c>
      <c r="F1326" s="10" t="s">
        <v>2083</v>
      </c>
    </row>
    <row r="1327" spans="1:6" ht="14.25" x14ac:dyDescent="0.45">
      <c r="A1327" s="6" t="str">
        <f ca="1">IFERROR(__xludf.DUMMYFUNCTION("""COMPUTED_VALUE"""),"XAG5OKX")</f>
        <v>XAG5OKX</v>
      </c>
      <c r="B1327" s="7" t="s">
        <v>1971</v>
      </c>
      <c r="C1327" s="7" t="s">
        <v>1972</v>
      </c>
      <c r="D1327" s="7" t="s">
        <v>1995</v>
      </c>
      <c r="E1327" s="8">
        <v>35079</v>
      </c>
      <c r="F1327" s="10" t="s">
        <v>2192</v>
      </c>
    </row>
    <row r="1328" spans="1:6" ht="14.25" x14ac:dyDescent="0.45">
      <c r="A1328" s="6" t="str">
        <f ca="1">IFERROR(__xludf.DUMMYFUNCTION("""COMPUTED_VALUE"""),"X519A6S")</f>
        <v>X519A6S</v>
      </c>
      <c r="B1328" s="7" t="s">
        <v>1971</v>
      </c>
      <c r="C1328" s="7" t="s">
        <v>1972</v>
      </c>
      <c r="D1328" s="7" t="s">
        <v>2072</v>
      </c>
      <c r="E1328" s="8">
        <v>35079</v>
      </c>
      <c r="F1328" s="10" t="s">
        <v>2247</v>
      </c>
    </row>
    <row r="1329" spans="1:6" ht="14.25" x14ac:dyDescent="0.45">
      <c r="A1329" s="6" t="str">
        <f ca="1">IFERROR(__xludf.DUMMYFUNCTION("""COMPUTED_VALUE"""),"XRE26RN")</f>
        <v>XRE26RN</v>
      </c>
      <c r="B1329" s="7" t="s">
        <v>1971</v>
      </c>
      <c r="C1329" s="7" t="s">
        <v>1972</v>
      </c>
      <c r="D1329" s="7" t="s">
        <v>1975</v>
      </c>
      <c r="E1329" s="8">
        <v>35089</v>
      </c>
      <c r="F1329" s="10" t="s">
        <v>2285</v>
      </c>
    </row>
    <row r="1330" spans="1:6" ht="14.25" x14ac:dyDescent="0.45">
      <c r="A1330" s="6" t="str">
        <f ca="1">IFERROR(__xludf.DUMMYFUNCTION("""COMPUTED_VALUE"""),"X8S9XJJ")</f>
        <v>X8S9XJJ</v>
      </c>
      <c r="B1330" s="7" t="s">
        <v>1971</v>
      </c>
      <c r="C1330" s="7" t="s">
        <v>1972</v>
      </c>
      <c r="D1330" s="7" t="s">
        <v>1997</v>
      </c>
      <c r="E1330" s="8">
        <v>35093</v>
      </c>
      <c r="F1330" s="10" t="s">
        <v>2266</v>
      </c>
    </row>
    <row r="1331" spans="1:6" ht="14.25" x14ac:dyDescent="0.45">
      <c r="A1331" s="6" t="str">
        <f ca="1">IFERROR(__xludf.DUMMYFUNCTION("""COMPUTED_VALUE"""),"X296P")</f>
        <v>X296P</v>
      </c>
      <c r="B1331" s="7" t="s">
        <v>2025</v>
      </c>
      <c r="C1331" s="7" t="s">
        <v>1972</v>
      </c>
      <c r="D1331" s="7" t="s">
        <v>1990</v>
      </c>
      <c r="E1331" s="8">
        <v>35094</v>
      </c>
      <c r="F1331" s="9">
        <v>43961</v>
      </c>
    </row>
    <row r="1332" spans="1:6" ht="14.25" x14ac:dyDescent="0.45">
      <c r="A1332" s="6" t="str">
        <f ca="1">IFERROR(__xludf.DUMMYFUNCTION("""COMPUTED_VALUE"""),"X1Y4U")</f>
        <v>X1Y4U</v>
      </c>
      <c r="B1332" s="7" t="s">
        <v>1971</v>
      </c>
      <c r="C1332" s="7" t="s">
        <v>1974</v>
      </c>
      <c r="D1332" s="7" t="s">
        <v>1974</v>
      </c>
      <c r="E1332" s="8">
        <v>35096</v>
      </c>
      <c r="F1332" s="10" t="s">
        <v>2113</v>
      </c>
    </row>
    <row r="1333" spans="1:6" ht="14.25" x14ac:dyDescent="0.45">
      <c r="A1333" s="6" t="str">
        <f ca="1">IFERROR(__xludf.DUMMYFUNCTION("""COMPUTED_VALUE"""),"XF8SMMB")</f>
        <v>XF8SMMB</v>
      </c>
      <c r="B1333" s="7" t="s">
        <v>1971</v>
      </c>
      <c r="C1333" s="7" t="s">
        <v>1972</v>
      </c>
      <c r="D1333" s="7" t="s">
        <v>1982</v>
      </c>
      <c r="E1333" s="8">
        <v>35097</v>
      </c>
      <c r="F1333" s="9">
        <v>44320</v>
      </c>
    </row>
    <row r="1334" spans="1:6" ht="14.25" x14ac:dyDescent="0.45">
      <c r="A1334" s="6" t="str">
        <f ca="1">IFERROR(__xludf.DUMMYFUNCTION("""COMPUTED_VALUE"""),"X24OH")</f>
        <v>X24OH</v>
      </c>
      <c r="B1334" s="7" t="s">
        <v>1986</v>
      </c>
      <c r="C1334" s="7" t="s">
        <v>1981</v>
      </c>
      <c r="D1334" s="7" t="s">
        <v>1982</v>
      </c>
      <c r="E1334" s="8">
        <v>35101</v>
      </c>
      <c r="F1334" s="10" t="s">
        <v>2127</v>
      </c>
    </row>
    <row r="1335" spans="1:6" ht="14.25" x14ac:dyDescent="0.45">
      <c r="A1335" s="6" t="str">
        <f ca="1">IFERROR(__xludf.DUMMYFUNCTION("""COMPUTED_VALUE"""),"X29158")</f>
        <v>X29158</v>
      </c>
      <c r="B1335" s="7" t="s">
        <v>2184</v>
      </c>
      <c r="C1335" s="7" t="s">
        <v>1972</v>
      </c>
      <c r="D1335" s="7" t="s">
        <v>1974</v>
      </c>
      <c r="E1335" s="8">
        <v>35103</v>
      </c>
      <c r="F1335" s="10" t="s">
        <v>2002</v>
      </c>
    </row>
    <row r="1336" spans="1:6" ht="14.25" x14ac:dyDescent="0.45">
      <c r="A1336" s="6" t="str">
        <f ca="1">IFERROR(__xludf.DUMMYFUNCTION("""COMPUTED_VALUE"""),"X3693")</f>
        <v>X3693</v>
      </c>
      <c r="B1336" s="7" t="s">
        <v>1980</v>
      </c>
      <c r="C1336" s="7" t="s">
        <v>1977</v>
      </c>
      <c r="D1336" s="7" t="s">
        <v>1993</v>
      </c>
      <c r="E1336" s="8">
        <v>35107</v>
      </c>
      <c r="F1336" s="10" t="s">
        <v>2180</v>
      </c>
    </row>
    <row r="1337" spans="1:6" ht="14.25" x14ac:dyDescent="0.45">
      <c r="A1337" s="6" t="str">
        <f ca="1">IFERROR(__xludf.DUMMYFUNCTION("""COMPUTED_VALUE"""),"XKED1FR")</f>
        <v>XKED1FR</v>
      </c>
      <c r="B1337" s="7" t="s">
        <v>1971</v>
      </c>
      <c r="C1337" s="7" t="s">
        <v>1974</v>
      </c>
      <c r="D1337" s="7" t="s">
        <v>1997</v>
      </c>
      <c r="E1337" s="8">
        <v>35115</v>
      </c>
      <c r="F1337" s="10" t="s">
        <v>2192</v>
      </c>
    </row>
    <row r="1338" spans="1:6" ht="14.25" x14ac:dyDescent="0.45">
      <c r="A1338" s="6" t="str">
        <f ca="1">IFERROR(__xludf.DUMMYFUNCTION("""COMPUTED_VALUE"""),"XUFOKYG")</f>
        <v>XUFOKYG</v>
      </c>
      <c r="B1338" s="7" t="s">
        <v>1971</v>
      </c>
      <c r="C1338" s="7" t="s">
        <v>1981</v>
      </c>
      <c r="D1338" s="7" t="s">
        <v>1974</v>
      </c>
      <c r="E1338" s="8">
        <v>35117</v>
      </c>
      <c r="F1338" s="10" t="s">
        <v>2193</v>
      </c>
    </row>
    <row r="1339" spans="1:6" ht="14.25" x14ac:dyDescent="0.45">
      <c r="A1339" s="6" t="str">
        <f ca="1">IFERROR(__xludf.DUMMYFUNCTION("""COMPUTED_VALUE"""),"XAD239G")</f>
        <v>XAD239G</v>
      </c>
      <c r="B1339" s="7" t="s">
        <v>1971</v>
      </c>
      <c r="C1339" s="7" t="s">
        <v>1972</v>
      </c>
      <c r="D1339" s="7" t="s">
        <v>1975</v>
      </c>
      <c r="E1339" s="8">
        <v>35118</v>
      </c>
      <c r="F1339" s="10" t="s">
        <v>2246</v>
      </c>
    </row>
    <row r="1340" spans="1:6" ht="14.25" x14ac:dyDescent="0.45">
      <c r="A1340" s="6" t="str">
        <f ca="1">IFERROR(__xludf.DUMMYFUNCTION("""COMPUTED_VALUE"""),"X2197")</f>
        <v>X2197</v>
      </c>
      <c r="B1340" s="7" t="s">
        <v>1980</v>
      </c>
      <c r="C1340" s="7" t="s">
        <v>1977</v>
      </c>
      <c r="D1340" s="7" t="s">
        <v>1982</v>
      </c>
      <c r="E1340" s="8">
        <v>35120</v>
      </c>
      <c r="F1340" s="10" t="s">
        <v>2202</v>
      </c>
    </row>
    <row r="1341" spans="1:6" ht="14.25" x14ac:dyDescent="0.45">
      <c r="A1341" s="6" t="str">
        <f ca="1">IFERROR(__xludf.DUMMYFUNCTION("""COMPUTED_VALUE"""),"X3739")</f>
        <v>X3739</v>
      </c>
      <c r="B1341" s="7" t="s">
        <v>1980</v>
      </c>
      <c r="C1341" s="7" t="s">
        <v>1977</v>
      </c>
      <c r="D1341" s="7" t="s">
        <v>1982</v>
      </c>
      <c r="E1341" s="8">
        <v>35124</v>
      </c>
      <c r="F1341" s="10" t="s">
        <v>2152</v>
      </c>
    </row>
    <row r="1342" spans="1:6" ht="14.25" x14ac:dyDescent="0.45">
      <c r="A1342" s="6" t="str">
        <f ca="1">IFERROR(__xludf.DUMMYFUNCTION("""COMPUTED_VALUE"""),"XLIKTQL")</f>
        <v>XLIKTQL</v>
      </c>
      <c r="B1342" s="7" t="s">
        <v>1971</v>
      </c>
      <c r="C1342" s="7" t="s">
        <v>1972</v>
      </c>
      <c r="D1342" s="7" t="s">
        <v>1997</v>
      </c>
      <c r="E1342" s="8">
        <v>35134</v>
      </c>
      <c r="F1342" s="9">
        <v>44323</v>
      </c>
    </row>
    <row r="1343" spans="1:6" ht="14.25" x14ac:dyDescent="0.45">
      <c r="A1343" s="6" t="str">
        <f ca="1">IFERROR(__xludf.DUMMYFUNCTION("""COMPUTED_VALUE"""),"X2CAX")</f>
        <v>X2CAX</v>
      </c>
      <c r="B1343" s="7" t="s">
        <v>2025</v>
      </c>
      <c r="C1343" s="7" t="s">
        <v>1977</v>
      </c>
      <c r="D1343" s="7" t="s">
        <v>1982</v>
      </c>
      <c r="E1343" s="8">
        <v>35147</v>
      </c>
      <c r="F1343" s="10" t="s">
        <v>2035</v>
      </c>
    </row>
    <row r="1344" spans="1:6" ht="14.25" x14ac:dyDescent="0.45">
      <c r="A1344" s="6" t="str">
        <f ca="1">IFERROR(__xludf.DUMMYFUNCTION("""COMPUTED_VALUE"""),"X1ZHQ")</f>
        <v>X1ZHQ</v>
      </c>
      <c r="B1344" s="7" t="s">
        <v>2021</v>
      </c>
      <c r="C1344" s="7" t="s">
        <v>1972</v>
      </c>
      <c r="D1344" s="7" t="s">
        <v>1982</v>
      </c>
      <c r="E1344" s="8">
        <v>35148</v>
      </c>
      <c r="F1344" s="10" t="s">
        <v>2181</v>
      </c>
    </row>
    <row r="1345" spans="1:6" ht="14.25" x14ac:dyDescent="0.45">
      <c r="A1345" s="6" t="str">
        <f ca="1">IFERROR(__xludf.DUMMYFUNCTION("""COMPUTED_VALUE"""),"X1X7D")</f>
        <v>X1X7D</v>
      </c>
      <c r="B1345" s="7" t="s">
        <v>1980</v>
      </c>
      <c r="C1345" s="7" t="s">
        <v>1972</v>
      </c>
      <c r="D1345" s="7" t="s">
        <v>1982</v>
      </c>
      <c r="E1345" s="8">
        <v>35160</v>
      </c>
      <c r="F1345" s="9">
        <v>43565</v>
      </c>
    </row>
    <row r="1346" spans="1:6" ht="14.25" x14ac:dyDescent="0.45">
      <c r="A1346" s="6" t="str">
        <f ca="1">IFERROR(__xludf.DUMMYFUNCTION("""COMPUTED_VALUE"""),"X2C16H")</f>
        <v>X2C16H</v>
      </c>
      <c r="B1346" s="7" t="s">
        <v>1980</v>
      </c>
      <c r="C1346" s="7" t="s">
        <v>1996</v>
      </c>
      <c r="D1346" s="7" t="s">
        <v>2070</v>
      </c>
      <c r="E1346" s="8">
        <v>35161</v>
      </c>
      <c r="F1346" s="10" t="s">
        <v>2086</v>
      </c>
    </row>
    <row r="1347" spans="1:6" ht="14.25" x14ac:dyDescent="0.45">
      <c r="A1347" s="6" t="str">
        <f ca="1">IFERROR(__xludf.DUMMYFUNCTION("""COMPUTED_VALUE"""),"X2914J")</f>
        <v>X2914J</v>
      </c>
      <c r="B1347" s="7" t="s">
        <v>1971</v>
      </c>
      <c r="C1347" s="7" t="s">
        <v>1972</v>
      </c>
      <c r="D1347" s="7" t="s">
        <v>1993</v>
      </c>
      <c r="E1347" s="8">
        <v>35170</v>
      </c>
      <c r="F1347" s="10" t="s">
        <v>2002</v>
      </c>
    </row>
    <row r="1348" spans="1:6" ht="14.25" x14ac:dyDescent="0.45">
      <c r="A1348" s="6" t="str">
        <f ca="1">IFERROR(__xludf.DUMMYFUNCTION("""COMPUTED_VALUE"""),"X2A6S")</f>
        <v>X2A6S</v>
      </c>
      <c r="B1348" s="7" t="s">
        <v>1971</v>
      </c>
      <c r="C1348" s="7" t="s">
        <v>1972</v>
      </c>
      <c r="D1348" s="7" t="s">
        <v>1974</v>
      </c>
      <c r="E1348" s="8">
        <v>35174</v>
      </c>
      <c r="F1348" s="10" t="s">
        <v>2109</v>
      </c>
    </row>
    <row r="1349" spans="1:6" ht="14.25" x14ac:dyDescent="0.45">
      <c r="A1349" s="6" t="str">
        <f ca="1">IFERROR(__xludf.DUMMYFUNCTION("""COMPUTED_VALUE"""),"X2CIO")</f>
        <v>X2CIO</v>
      </c>
      <c r="B1349" s="7" t="s">
        <v>2021</v>
      </c>
      <c r="C1349" s="7" t="s">
        <v>1981</v>
      </c>
      <c r="D1349" s="7" t="s">
        <v>1982</v>
      </c>
      <c r="E1349" s="8">
        <v>35175</v>
      </c>
      <c r="F1349" s="10" t="s">
        <v>2024</v>
      </c>
    </row>
    <row r="1350" spans="1:6" ht="14.25" x14ac:dyDescent="0.45">
      <c r="A1350" s="6" t="str">
        <f ca="1">IFERROR(__xludf.DUMMYFUNCTION("""COMPUTED_VALUE"""),"X2AV9")</f>
        <v>X2AV9</v>
      </c>
      <c r="B1350" s="7" t="s">
        <v>1980</v>
      </c>
      <c r="C1350" s="7" t="s">
        <v>1972</v>
      </c>
      <c r="D1350" s="7" t="s">
        <v>2026</v>
      </c>
      <c r="E1350" s="8">
        <v>35185</v>
      </c>
      <c r="F1350" s="9">
        <v>44085</v>
      </c>
    </row>
    <row r="1351" spans="1:6" ht="14.25" x14ac:dyDescent="0.45">
      <c r="A1351" s="6" t="str">
        <f ca="1">IFERROR(__xludf.DUMMYFUNCTION("""COMPUTED_VALUE"""),"XFAVHSF")</f>
        <v>XFAVHSF</v>
      </c>
      <c r="B1351" s="7" t="s">
        <v>1971</v>
      </c>
      <c r="C1351" s="7" t="s">
        <v>1972</v>
      </c>
      <c r="D1351" s="7" t="s">
        <v>2238</v>
      </c>
      <c r="E1351" s="8">
        <v>35185</v>
      </c>
      <c r="F1351" s="10" t="s">
        <v>2217</v>
      </c>
    </row>
    <row r="1352" spans="1:6" ht="14.25" x14ac:dyDescent="0.45">
      <c r="A1352" s="6" t="str">
        <f ca="1">IFERROR(__xludf.DUMMYFUNCTION("""COMPUTED_VALUE"""),"XPI23CN")</f>
        <v>XPI23CN</v>
      </c>
      <c r="B1352" s="7" t="s">
        <v>1971</v>
      </c>
      <c r="C1352" s="7" t="s">
        <v>1972</v>
      </c>
      <c r="D1352" s="7" t="s">
        <v>1974</v>
      </c>
      <c r="E1352" s="8">
        <v>35192</v>
      </c>
      <c r="F1352" s="9">
        <v>44508</v>
      </c>
    </row>
    <row r="1353" spans="1:6" ht="14.25" x14ac:dyDescent="0.45">
      <c r="A1353" s="6" t="str">
        <f ca="1">IFERROR(__xludf.DUMMYFUNCTION("""COMPUTED_VALUE"""),"X29LD")</f>
        <v>X29LD</v>
      </c>
      <c r="B1353" s="7" t="s">
        <v>1986</v>
      </c>
      <c r="C1353" s="7" t="s">
        <v>1972</v>
      </c>
      <c r="D1353" s="7" t="s">
        <v>2026</v>
      </c>
      <c r="E1353" s="8">
        <v>35193</v>
      </c>
      <c r="F1353" s="9">
        <v>43992</v>
      </c>
    </row>
    <row r="1354" spans="1:6" ht="14.25" x14ac:dyDescent="0.45">
      <c r="A1354" s="6" t="str">
        <f ca="1">IFERROR(__xludf.DUMMYFUNCTION("""COMPUTED_VALUE"""),"X1X7E")</f>
        <v>X1X7E</v>
      </c>
      <c r="B1354" s="7" t="s">
        <v>1980</v>
      </c>
      <c r="C1354" s="7" t="s">
        <v>1981</v>
      </c>
      <c r="D1354" s="7" t="s">
        <v>1982</v>
      </c>
      <c r="E1354" s="8">
        <v>35195</v>
      </c>
      <c r="F1354" s="9">
        <v>43565</v>
      </c>
    </row>
    <row r="1355" spans="1:6" ht="14.25" x14ac:dyDescent="0.45">
      <c r="A1355" s="6" t="str">
        <f ca="1">IFERROR(__xludf.DUMMYFUNCTION("""COMPUTED_VALUE"""),"XZBUZW7")</f>
        <v>XZBUZW7</v>
      </c>
      <c r="B1355" s="7" t="s">
        <v>1980</v>
      </c>
      <c r="C1355" s="7" t="s">
        <v>1977</v>
      </c>
      <c r="D1355" s="7" t="s">
        <v>1978</v>
      </c>
      <c r="E1355" s="8">
        <v>35202</v>
      </c>
      <c r="F1355" s="9">
        <v>44321</v>
      </c>
    </row>
    <row r="1356" spans="1:6" ht="14.25" x14ac:dyDescent="0.45">
      <c r="A1356" s="6" t="str">
        <f ca="1">IFERROR(__xludf.DUMMYFUNCTION("""COMPUTED_VALUE"""),"X2COO")</f>
        <v>X2COO</v>
      </c>
      <c r="B1356" s="7" t="s">
        <v>1971</v>
      </c>
      <c r="C1356" s="7" t="s">
        <v>1972</v>
      </c>
      <c r="D1356" s="7" t="s">
        <v>1975</v>
      </c>
      <c r="E1356" s="8">
        <v>35210</v>
      </c>
      <c r="F1356" s="10" t="s">
        <v>2001</v>
      </c>
    </row>
    <row r="1357" spans="1:6" ht="14.25" x14ac:dyDescent="0.45">
      <c r="A1357" s="6" t="str">
        <f ca="1">IFERROR(__xludf.DUMMYFUNCTION("""COMPUTED_VALUE"""),"X1NA9")</f>
        <v>X1NA9</v>
      </c>
      <c r="B1357" s="7" t="s">
        <v>1980</v>
      </c>
      <c r="C1357" s="7" t="s">
        <v>1972</v>
      </c>
      <c r="D1357" s="7" t="s">
        <v>1993</v>
      </c>
      <c r="E1357" s="8">
        <v>35213</v>
      </c>
      <c r="F1357" s="9">
        <v>43385</v>
      </c>
    </row>
    <row r="1358" spans="1:6" ht="14.25" x14ac:dyDescent="0.45">
      <c r="A1358" s="6" t="str">
        <f ca="1">IFERROR(__xludf.DUMMYFUNCTION("""COMPUTED_VALUE"""),"X29JT")</f>
        <v>X29JT</v>
      </c>
      <c r="B1358" s="7" t="s">
        <v>1971</v>
      </c>
      <c r="C1358" s="7" t="s">
        <v>1981</v>
      </c>
      <c r="D1358" s="7" t="s">
        <v>1974</v>
      </c>
      <c r="E1358" s="8">
        <v>35219</v>
      </c>
      <c r="F1358" s="9">
        <v>43992</v>
      </c>
    </row>
    <row r="1359" spans="1:6" ht="14.25" x14ac:dyDescent="0.45">
      <c r="A1359" s="6" t="str">
        <f ca="1">IFERROR(__xludf.DUMMYFUNCTION("""COMPUTED_VALUE"""),"XATC8H9")</f>
        <v>XATC8H9</v>
      </c>
      <c r="B1359" s="7" t="s">
        <v>2025</v>
      </c>
      <c r="C1359" s="7" t="s">
        <v>1972</v>
      </c>
      <c r="D1359" s="7" t="s">
        <v>1978</v>
      </c>
      <c r="E1359" s="8">
        <v>35226</v>
      </c>
      <c r="F1359" s="9">
        <v>44381</v>
      </c>
    </row>
    <row r="1360" spans="1:6" ht="14.25" x14ac:dyDescent="0.45">
      <c r="A1360" s="6" t="str">
        <f ca="1">IFERROR(__xludf.DUMMYFUNCTION("""COMPUTED_VALUE"""),"X1Q79")</f>
        <v>X1Q79</v>
      </c>
      <c r="B1360" s="7" t="s">
        <v>1980</v>
      </c>
      <c r="C1360" s="7" t="s">
        <v>1972</v>
      </c>
      <c r="D1360" s="7" t="s">
        <v>1978</v>
      </c>
      <c r="E1360" s="8">
        <v>35229</v>
      </c>
      <c r="F1360" s="9">
        <v>43649</v>
      </c>
    </row>
    <row r="1361" spans="1:6" ht="14.25" x14ac:dyDescent="0.45">
      <c r="A1361" s="6" t="str">
        <f ca="1">IFERROR(__xludf.DUMMYFUNCTION("""COMPUTED_VALUE"""),"XC8UHA2")</f>
        <v>XC8UHA2</v>
      </c>
      <c r="B1361" s="7" t="s">
        <v>1971</v>
      </c>
      <c r="C1361" s="7" t="s">
        <v>1972</v>
      </c>
      <c r="D1361" s="7" t="s">
        <v>1974</v>
      </c>
      <c r="E1361" s="8">
        <v>35236</v>
      </c>
      <c r="F1361" s="10" t="s">
        <v>2245</v>
      </c>
    </row>
    <row r="1362" spans="1:6" ht="14.25" x14ac:dyDescent="0.45">
      <c r="A1362" s="6" t="str">
        <f ca="1">IFERROR(__xludf.DUMMYFUNCTION("""COMPUTED_VALUE"""),"XGJ6VON")</f>
        <v>XGJ6VON</v>
      </c>
      <c r="B1362" s="7" t="s">
        <v>1971</v>
      </c>
      <c r="C1362" s="7" t="s">
        <v>1972</v>
      </c>
      <c r="D1362" s="7" t="s">
        <v>1974</v>
      </c>
      <c r="E1362" s="8">
        <v>35236</v>
      </c>
      <c r="F1362" s="10" t="s">
        <v>2245</v>
      </c>
    </row>
    <row r="1363" spans="1:6" ht="14.25" x14ac:dyDescent="0.45">
      <c r="A1363" s="6" t="str">
        <f ca="1">IFERROR(__xludf.DUMMYFUNCTION("""COMPUTED_VALUE"""),"X2DVH")</f>
        <v>X2DVH</v>
      </c>
      <c r="B1363" s="7" t="s">
        <v>1980</v>
      </c>
      <c r="C1363" s="7" t="s">
        <v>1972</v>
      </c>
      <c r="D1363" s="7" t="s">
        <v>1982</v>
      </c>
      <c r="E1363" s="8">
        <v>35238</v>
      </c>
      <c r="F1363" s="10" t="s">
        <v>2152</v>
      </c>
    </row>
    <row r="1364" spans="1:6" ht="14.25" x14ac:dyDescent="0.45">
      <c r="A1364" s="6" t="str">
        <f ca="1">IFERROR(__xludf.DUMMYFUNCTION("""COMPUTED_VALUE"""),"X2D3J")</f>
        <v>X2D3J</v>
      </c>
      <c r="B1364" s="7" t="s">
        <v>2092</v>
      </c>
      <c r="C1364" s="7" t="s">
        <v>1972</v>
      </c>
      <c r="D1364" s="7" t="s">
        <v>1974</v>
      </c>
      <c r="E1364" s="8">
        <v>35244</v>
      </c>
      <c r="F1364" s="9">
        <v>44317</v>
      </c>
    </row>
    <row r="1365" spans="1:6" ht="14.25" x14ac:dyDescent="0.45">
      <c r="A1365" s="6" t="str">
        <f ca="1">IFERROR(__xludf.DUMMYFUNCTION("""COMPUTED_VALUE"""),"X2C4A")</f>
        <v>X2C4A</v>
      </c>
      <c r="B1365" s="7" t="s">
        <v>1980</v>
      </c>
      <c r="C1365" s="7" t="s">
        <v>1972</v>
      </c>
      <c r="D1365" s="7" t="s">
        <v>1987</v>
      </c>
      <c r="E1365" s="8">
        <v>35246</v>
      </c>
      <c r="F1365" s="9">
        <v>43933</v>
      </c>
    </row>
    <row r="1366" spans="1:6" ht="14.25" x14ac:dyDescent="0.45">
      <c r="A1366" s="6" t="str">
        <f ca="1">IFERROR(__xludf.DUMMYFUNCTION("""COMPUTED_VALUE"""),"XV4K6JU")</f>
        <v>XV4K6JU</v>
      </c>
      <c r="B1366" s="7" t="s">
        <v>1971</v>
      </c>
      <c r="C1366" s="7" t="s">
        <v>1972</v>
      </c>
      <c r="D1366" s="7" t="s">
        <v>1997</v>
      </c>
      <c r="E1366" s="8">
        <v>35248</v>
      </c>
      <c r="F1366" s="10" t="s">
        <v>2258</v>
      </c>
    </row>
    <row r="1367" spans="1:6" ht="14.25" x14ac:dyDescent="0.45">
      <c r="A1367" s="6" t="str">
        <f ca="1">IFERROR(__xludf.DUMMYFUNCTION("""COMPUTED_VALUE"""),"X9BO4YQ")</f>
        <v>X9BO4YQ</v>
      </c>
      <c r="B1367" s="7" t="s">
        <v>1971</v>
      </c>
      <c r="C1367" s="7" t="s">
        <v>1972</v>
      </c>
      <c r="D1367" s="7" t="s">
        <v>1997</v>
      </c>
      <c r="E1367" s="8">
        <v>35250</v>
      </c>
      <c r="F1367" s="10" t="s">
        <v>2320</v>
      </c>
    </row>
    <row r="1368" spans="1:6" ht="14.25" x14ac:dyDescent="0.45">
      <c r="A1368" s="6" t="str">
        <f ca="1">IFERROR(__xludf.DUMMYFUNCTION("""COMPUTED_VALUE"""),"X2BSN")</f>
        <v>X2BSN</v>
      </c>
      <c r="B1368" s="7" t="s">
        <v>1971</v>
      </c>
      <c r="C1368" s="7" t="s">
        <v>1972</v>
      </c>
      <c r="D1368" s="7" t="s">
        <v>1974</v>
      </c>
      <c r="E1368" s="8">
        <v>35251</v>
      </c>
      <c r="F1368" s="10" t="s">
        <v>2009</v>
      </c>
    </row>
    <row r="1369" spans="1:6" ht="14.25" x14ac:dyDescent="0.45">
      <c r="A1369" s="6" t="str">
        <f ca="1">IFERROR(__xludf.DUMMYFUNCTION("""COMPUTED_VALUE"""),"XK8TXCX")</f>
        <v>XK8TXCX</v>
      </c>
      <c r="B1369" s="7" t="s">
        <v>1971</v>
      </c>
      <c r="C1369" s="7" t="s">
        <v>1972</v>
      </c>
      <c r="D1369" s="7" t="s">
        <v>1974</v>
      </c>
      <c r="E1369" s="8">
        <v>35261</v>
      </c>
      <c r="F1369" s="10" t="s">
        <v>2246</v>
      </c>
    </row>
    <row r="1370" spans="1:6" ht="14.25" x14ac:dyDescent="0.45">
      <c r="A1370" s="6" t="str">
        <f ca="1">IFERROR(__xludf.DUMMYFUNCTION("""COMPUTED_VALUE"""),"XKFHODB")</f>
        <v>XKFHODB</v>
      </c>
      <c r="B1370" s="7" t="s">
        <v>1971</v>
      </c>
      <c r="C1370" s="7" t="s">
        <v>1972</v>
      </c>
      <c r="D1370" s="7" t="s">
        <v>1990</v>
      </c>
      <c r="E1370" s="8">
        <v>35265</v>
      </c>
      <c r="F1370" s="10" t="s">
        <v>2225</v>
      </c>
    </row>
    <row r="1371" spans="1:6" ht="14.25" x14ac:dyDescent="0.45">
      <c r="A1371" s="6" t="str">
        <f ca="1">IFERROR(__xludf.DUMMYFUNCTION("""COMPUTED_VALUE"""),"X3665")</f>
        <v>X3665</v>
      </c>
      <c r="B1371" s="7" t="s">
        <v>1980</v>
      </c>
      <c r="C1371" s="7" t="s">
        <v>1972</v>
      </c>
      <c r="D1371" s="7" t="s">
        <v>1982</v>
      </c>
      <c r="E1371" s="8">
        <v>35269</v>
      </c>
      <c r="F1371" s="10" t="s">
        <v>2180</v>
      </c>
    </row>
    <row r="1372" spans="1:6" ht="14.25" x14ac:dyDescent="0.45">
      <c r="A1372" s="6" t="str">
        <f ca="1">IFERROR(__xludf.DUMMYFUNCTION("""COMPUTED_VALUE"""),"XKJSMRE")</f>
        <v>XKJSMRE</v>
      </c>
      <c r="B1372" s="7" t="s">
        <v>1980</v>
      </c>
      <c r="C1372" s="7" t="s">
        <v>1996</v>
      </c>
      <c r="D1372" s="7" t="s">
        <v>1993</v>
      </c>
      <c r="E1372" s="8">
        <v>35288</v>
      </c>
      <c r="F1372" s="10" t="s">
        <v>2218</v>
      </c>
    </row>
    <row r="1373" spans="1:6" ht="14.25" x14ac:dyDescent="0.45">
      <c r="A1373" s="6" t="str">
        <f ca="1">IFERROR(__xludf.DUMMYFUNCTION("""COMPUTED_VALUE"""),"XU1C75O")</f>
        <v>XU1C75O</v>
      </c>
      <c r="B1373" s="7" t="s">
        <v>1971</v>
      </c>
      <c r="C1373" s="7" t="s">
        <v>1972</v>
      </c>
      <c r="D1373" s="7" t="s">
        <v>1974</v>
      </c>
      <c r="E1373" s="8">
        <v>35291</v>
      </c>
      <c r="F1373" s="9">
        <v>44533</v>
      </c>
    </row>
    <row r="1374" spans="1:6" ht="14.25" x14ac:dyDescent="0.45">
      <c r="A1374" s="6" t="str">
        <f ca="1">IFERROR(__xludf.DUMMYFUNCTION("""COMPUTED_VALUE"""),"X1UGS")</f>
        <v>X1UGS</v>
      </c>
      <c r="B1374" s="7" t="s">
        <v>1971</v>
      </c>
      <c r="C1374" s="7" t="s">
        <v>1972</v>
      </c>
      <c r="D1374" s="7" t="s">
        <v>1993</v>
      </c>
      <c r="E1374" s="8">
        <v>35293</v>
      </c>
      <c r="F1374" s="9">
        <v>43562</v>
      </c>
    </row>
    <row r="1375" spans="1:6" ht="14.25" x14ac:dyDescent="0.45">
      <c r="A1375" s="6" t="str">
        <f ca="1">IFERROR(__xludf.DUMMYFUNCTION("""COMPUTED_VALUE"""),"XE3IOHR")</f>
        <v>XE3IOHR</v>
      </c>
      <c r="B1375" s="7" t="s">
        <v>1971</v>
      </c>
      <c r="C1375" s="7" t="s">
        <v>1974</v>
      </c>
      <c r="D1375" s="7" t="s">
        <v>1974</v>
      </c>
      <c r="E1375" s="8">
        <v>35296</v>
      </c>
      <c r="F1375" s="10" t="s">
        <v>2257</v>
      </c>
    </row>
    <row r="1376" spans="1:6" ht="14.25" x14ac:dyDescent="0.45">
      <c r="A1376" s="6" t="str">
        <f ca="1">IFERROR(__xludf.DUMMYFUNCTION("""COMPUTED_VALUE"""),"XQY7ZO7")</f>
        <v>XQY7ZO7</v>
      </c>
      <c r="B1376" s="7" t="s">
        <v>1971</v>
      </c>
      <c r="C1376" s="7" t="s">
        <v>1972</v>
      </c>
      <c r="D1376" s="7" t="s">
        <v>1993</v>
      </c>
      <c r="E1376" s="8">
        <v>35297</v>
      </c>
      <c r="F1376" s="10" t="s">
        <v>2245</v>
      </c>
    </row>
    <row r="1377" spans="1:6" ht="14.25" x14ac:dyDescent="0.45">
      <c r="A1377" s="6" t="str">
        <f ca="1">IFERROR(__xludf.DUMMYFUNCTION("""COMPUTED_VALUE"""),"X2DPP")</f>
        <v>X2DPP</v>
      </c>
      <c r="B1377" s="7" t="s">
        <v>1971</v>
      </c>
      <c r="C1377" s="7" t="s">
        <v>1972</v>
      </c>
      <c r="D1377" s="7" t="s">
        <v>1990</v>
      </c>
      <c r="E1377" s="8">
        <v>35300</v>
      </c>
      <c r="F1377" s="10" t="s">
        <v>2042</v>
      </c>
    </row>
    <row r="1378" spans="1:6" ht="14.25" x14ac:dyDescent="0.45">
      <c r="A1378" s="6" t="str">
        <f ca="1">IFERROR(__xludf.DUMMYFUNCTION("""COMPUTED_VALUE"""),"X1XVC")</f>
        <v>X1XVC</v>
      </c>
      <c r="B1378" s="7" t="s">
        <v>1980</v>
      </c>
      <c r="C1378" s="7" t="s">
        <v>1972</v>
      </c>
      <c r="D1378" s="7" t="s">
        <v>1987</v>
      </c>
      <c r="E1378" s="8">
        <v>35308</v>
      </c>
      <c r="F1378" s="10" t="s">
        <v>2236</v>
      </c>
    </row>
    <row r="1379" spans="1:6" ht="14.25" x14ac:dyDescent="0.45">
      <c r="A1379" s="6" t="str">
        <f ca="1">IFERROR(__xludf.DUMMYFUNCTION("""COMPUTED_VALUE"""),"XR23R58")</f>
        <v>XR23R58</v>
      </c>
      <c r="B1379" s="7" t="s">
        <v>1971</v>
      </c>
      <c r="C1379" s="7" t="s">
        <v>1972</v>
      </c>
      <c r="D1379" s="7" t="s">
        <v>1974</v>
      </c>
      <c r="E1379" s="8">
        <v>35310</v>
      </c>
      <c r="F1379" s="10" t="s">
        <v>2258</v>
      </c>
    </row>
    <row r="1380" spans="1:6" ht="14.25" x14ac:dyDescent="0.45">
      <c r="A1380" s="6" t="str">
        <f ca="1">IFERROR(__xludf.DUMMYFUNCTION("""COMPUTED_VALUE"""),"X2A88")</f>
        <v>X2A88</v>
      </c>
      <c r="B1380" s="7" t="s">
        <v>1980</v>
      </c>
      <c r="C1380" s="7" t="s">
        <v>1972</v>
      </c>
      <c r="D1380" s="7" t="s">
        <v>1974</v>
      </c>
      <c r="E1380" s="8">
        <v>35310</v>
      </c>
      <c r="F1380" s="10" t="s">
        <v>2138</v>
      </c>
    </row>
    <row r="1381" spans="1:6" ht="14.25" x14ac:dyDescent="0.45">
      <c r="A1381" s="6" t="str">
        <f ca="1">IFERROR(__xludf.DUMMYFUNCTION("""COMPUTED_VALUE"""),"X1YCD")</f>
        <v>X1YCD</v>
      </c>
      <c r="B1381" s="7" t="s">
        <v>1971</v>
      </c>
      <c r="C1381" s="7" t="s">
        <v>1974</v>
      </c>
      <c r="D1381" s="7" t="s">
        <v>1975</v>
      </c>
      <c r="E1381" s="8">
        <v>35312</v>
      </c>
      <c r="F1381" s="9">
        <v>43596</v>
      </c>
    </row>
    <row r="1382" spans="1:6" ht="14.25" x14ac:dyDescent="0.45">
      <c r="A1382" s="6" t="str">
        <f ca="1">IFERROR(__xludf.DUMMYFUNCTION("""COMPUTED_VALUE"""),"X1X8Y")</f>
        <v>X1X8Y</v>
      </c>
      <c r="B1382" s="7" t="s">
        <v>1980</v>
      </c>
      <c r="C1382" s="7" t="s">
        <v>1972</v>
      </c>
      <c r="D1382" s="7" t="s">
        <v>1974</v>
      </c>
      <c r="E1382" s="8">
        <v>35313</v>
      </c>
      <c r="F1382" s="9">
        <v>43687</v>
      </c>
    </row>
    <row r="1383" spans="1:6" ht="14.25" x14ac:dyDescent="0.45">
      <c r="A1383" s="6" t="str">
        <f ca="1">IFERROR(__xludf.DUMMYFUNCTION("""COMPUTED_VALUE"""),"XNZ73SK")</f>
        <v>XNZ73SK</v>
      </c>
      <c r="B1383" s="7" t="s">
        <v>1971</v>
      </c>
      <c r="C1383" s="7" t="s">
        <v>1972</v>
      </c>
      <c r="D1383" s="7" t="s">
        <v>1993</v>
      </c>
      <c r="E1383" s="8">
        <v>35313</v>
      </c>
      <c r="F1383" s="10" t="s">
        <v>2245</v>
      </c>
    </row>
    <row r="1384" spans="1:6" ht="14.25" x14ac:dyDescent="0.45">
      <c r="A1384" s="6" t="str">
        <f ca="1">IFERROR(__xludf.DUMMYFUNCTION("""COMPUTED_VALUE"""),"X1JHU")</f>
        <v>X1JHU</v>
      </c>
      <c r="B1384" s="7" t="s">
        <v>1980</v>
      </c>
      <c r="C1384" s="7" t="s">
        <v>1972</v>
      </c>
      <c r="D1384" s="7" t="s">
        <v>1995</v>
      </c>
      <c r="E1384" s="8">
        <v>35315</v>
      </c>
      <c r="F1384" s="10" t="s">
        <v>2097</v>
      </c>
    </row>
    <row r="1385" spans="1:6" ht="14.25" x14ac:dyDescent="0.45">
      <c r="A1385" s="6" t="str">
        <f ca="1">IFERROR(__xludf.DUMMYFUNCTION("""COMPUTED_VALUE"""),"X2DBE")</f>
        <v>X2DBE</v>
      </c>
      <c r="B1385" s="7" t="s">
        <v>2016</v>
      </c>
      <c r="C1385" s="7" t="s">
        <v>1974</v>
      </c>
      <c r="D1385" s="7" t="s">
        <v>1978</v>
      </c>
      <c r="E1385" s="8">
        <v>35315</v>
      </c>
      <c r="F1385" s="9">
        <v>44501</v>
      </c>
    </row>
    <row r="1386" spans="1:6" ht="14.25" x14ac:dyDescent="0.45">
      <c r="A1386" s="6" t="str">
        <f ca="1">IFERROR(__xludf.DUMMYFUNCTION("""COMPUTED_VALUE"""),"X2C2Q")</f>
        <v>X2C2Q</v>
      </c>
      <c r="B1386" s="7" t="s">
        <v>1971</v>
      </c>
      <c r="C1386" s="7" t="s">
        <v>1972</v>
      </c>
      <c r="D1386" s="7" t="s">
        <v>1993</v>
      </c>
      <c r="E1386" s="8">
        <v>35318</v>
      </c>
      <c r="F1386" s="9">
        <v>44055</v>
      </c>
    </row>
    <row r="1387" spans="1:6" ht="14.25" x14ac:dyDescent="0.45">
      <c r="A1387" s="6" t="str">
        <f ca="1">IFERROR(__xludf.DUMMYFUNCTION("""COMPUTED_VALUE"""),"X2BX0")</f>
        <v>X2BX0</v>
      </c>
      <c r="B1387" s="7" t="s">
        <v>2123</v>
      </c>
      <c r="C1387" s="7" t="s">
        <v>1972</v>
      </c>
      <c r="D1387" s="7" t="s">
        <v>2124</v>
      </c>
      <c r="E1387" s="8">
        <v>35319</v>
      </c>
      <c r="F1387" s="9">
        <v>43933</v>
      </c>
    </row>
    <row r="1388" spans="1:6" ht="14.25" x14ac:dyDescent="0.45">
      <c r="A1388" s="6" t="str">
        <f ca="1">IFERROR(__xludf.DUMMYFUNCTION("""COMPUTED_VALUE"""),"X4SOPG3")</f>
        <v>X4SOPG3</v>
      </c>
      <c r="B1388" s="7" t="s">
        <v>1971</v>
      </c>
      <c r="C1388" s="7" t="s">
        <v>1972</v>
      </c>
      <c r="D1388" s="7" t="s">
        <v>1974</v>
      </c>
      <c r="E1388" s="8">
        <v>35320</v>
      </c>
      <c r="F1388" s="10" t="s">
        <v>2316</v>
      </c>
    </row>
    <row r="1389" spans="1:6" ht="14.25" x14ac:dyDescent="0.45">
      <c r="A1389" s="6" t="str">
        <f ca="1">IFERROR(__xludf.DUMMYFUNCTION("""COMPUTED_VALUE"""),"X20XT")</f>
        <v>X20XT</v>
      </c>
      <c r="B1389" s="7" t="s">
        <v>1971</v>
      </c>
      <c r="C1389" s="7" t="s">
        <v>1972</v>
      </c>
      <c r="D1389" s="7" t="s">
        <v>1975</v>
      </c>
      <c r="E1389" s="8">
        <v>35325</v>
      </c>
      <c r="F1389" s="10" t="s">
        <v>2126</v>
      </c>
    </row>
    <row r="1390" spans="1:6" ht="14.25" x14ac:dyDescent="0.45">
      <c r="A1390" s="6" t="str">
        <f ca="1">IFERROR(__xludf.DUMMYFUNCTION("""COMPUTED_VALUE"""),"X1XPK")</f>
        <v>X1XPK</v>
      </c>
      <c r="B1390" s="7" t="s">
        <v>1980</v>
      </c>
      <c r="C1390" s="7" t="s">
        <v>1972</v>
      </c>
      <c r="D1390" s="7" t="s">
        <v>1975</v>
      </c>
      <c r="E1390" s="8">
        <v>35325</v>
      </c>
      <c r="F1390" s="10" t="s">
        <v>2053</v>
      </c>
    </row>
    <row r="1391" spans="1:6" ht="14.25" x14ac:dyDescent="0.45">
      <c r="A1391" s="6" t="str">
        <f ca="1">IFERROR(__xludf.DUMMYFUNCTION("""COMPUTED_VALUE"""),"X2DUR")</f>
        <v>X2DUR</v>
      </c>
      <c r="B1391" s="7" t="s">
        <v>1971</v>
      </c>
      <c r="C1391" s="7" t="s">
        <v>1972</v>
      </c>
      <c r="D1391" s="7" t="s">
        <v>2012</v>
      </c>
      <c r="E1391" s="8">
        <v>35332</v>
      </c>
      <c r="F1391" s="10" t="s">
        <v>2114</v>
      </c>
    </row>
    <row r="1392" spans="1:6" ht="14.25" x14ac:dyDescent="0.45">
      <c r="A1392" s="6" t="str">
        <f ca="1">IFERROR(__xludf.DUMMYFUNCTION("""COMPUTED_VALUE"""),"X2D5H")</f>
        <v>X2D5H</v>
      </c>
      <c r="B1392" s="7" t="s">
        <v>1971</v>
      </c>
      <c r="C1392" s="7" t="s">
        <v>1972</v>
      </c>
      <c r="D1392" s="7" t="s">
        <v>2091</v>
      </c>
      <c r="E1392" s="8">
        <v>35336</v>
      </c>
      <c r="F1392" s="9">
        <v>44348</v>
      </c>
    </row>
    <row r="1393" spans="1:6" ht="14.25" x14ac:dyDescent="0.45">
      <c r="A1393" s="6" t="str">
        <f ca="1">IFERROR(__xludf.DUMMYFUNCTION("""COMPUTED_VALUE"""),"XE7SUE4")</f>
        <v>XE7SUE4</v>
      </c>
      <c r="B1393" s="7" t="s">
        <v>1971</v>
      </c>
      <c r="C1393" s="7" t="s">
        <v>1972</v>
      </c>
      <c r="D1393" s="7" t="s">
        <v>1975</v>
      </c>
      <c r="E1393" s="8">
        <v>35341</v>
      </c>
      <c r="F1393" s="10" t="s">
        <v>2261</v>
      </c>
    </row>
    <row r="1394" spans="1:6" ht="14.25" x14ac:dyDescent="0.45">
      <c r="A1394" s="6" t="str">
        <f ca="1">IFERROR(__xludf.DUMMYFUNCTION("""COMPUTED_VALUE"""),"XXSJKUO")</f>
        <v>XXSJKUO</v>
      </c>
      <c r="B1394" s="7" t="s">
        <v>1971</v>
      </c>
      <c r="C1394" s="7" t="s">
        <v>1972</v>
      </c>
      <c r="D1394" s="7" t="s">
        <v>1997</v>
      </c>
      <c r="E1394" s="8">
        <v>35346</v>
      </c>
      <c r="F1394" s="9">
        <v>44537</v>
      </c>
    </row>
    <row r="1395" spans="1:6" ht="14.25" x14ac:dyDescent="0.45">
      <c r="A1395" s="6" t="str">
        <f ca="1">IFERROR(__xludf.DUMMYFUNCTION("""COMPUTED_VALUE"""),"XXEZBJN")</f>
        <v>XXEZBJN</v>
      </c>
      <c r="B1395" s="7" t="s">
        <v>1971</v>
      </c>
      <c r="C1395" s="7" t="s">
        <v>1981</v>
      </c>
      <c r="D1395" s="7" t="s">
        <v>1982</v>
      </c>
      <c r="E1395" s="8">
        <v>35348</v>
      </c>
      <c r="F1395" s="9">
        <v>44356</v>
      </c>
    </row>
    <row r="1396" spans="1:6" ht="14.25" x14ac:dyDescent="0.45">
      <c r="A1396" s="6" t="str">
        <f ca="1">IFERROR(__xludf.DUMMYFUNCTION("""COMPUTED_VALUE"""),"X2KOLYA")</f>
        <v>X2KOLYA</v>
      </c>
      <c r="B1396" s="7" t="s">
        <v>1986</v>
      </c>
      <c r="C1396" s="7" t="s">
        <v>1972</v>
      </c>
      <c r="D1396" s="7" t="s">
        <v>2007</v>
      </c>
      <c r="E1396" s="8">
        <v>35350</v>
      </c>
      <c r="F1396" s="9">
        <v>44200</v>
      </c>
    </row>
    <row r="1397" spans="1:6" ht="14.25" x14ac:dyDescent="0.45">
      <c r="A1397" s="6" t="str">
        <f ca="1">IFERROR(__xludf.DUMMYFUNCTION("""COMPUTED_VALUE"""),"X1PCT")</f>
        <v>X1PCT</v>
      </c>
      <c r="B1397" s="7" t="s">
        <v>1971</v>
      </c>
      <c r="C1397" s="7" t="s">
        <v>1972</v>
      </c>
      <c r="D1397" s="7" t="s">
        <v>1982</v>
      </c>
      <c r="E1397" s="8">
        <v>35350</v>
      </c>
      <c r="F1397" s="9">
        <v>43648</v>
      </c>
    </row>
    <row r="1398" spans="1:6" ht="14.25" x14ac:dyDescent="0.45">
      <c r="A1398" s="6" t="str">
        <f ca="1">IFERROR(__xludf.DUMMYFUNCTION("""COMPUTED_VALUE"""),"XWHTQVY")</f>
        <v>XWHTQVY</v>
      </c>
      <c r="B1398" s="7" t="s">
        <v>1971</v>
      </c>
      <c r="C1398" s="7" t="s">
        <v>1972</v>
      </c>
      <c r="D1398" s="7" t="s">
        <v>1993</v>
      </c>
      <c r="E1398" s="8">
        <v>35360</v>
      </c>
      <c r="F1398" s="10" t="s">
        <v>2324</v>
      </c>
    </row>
    <row r="1399" spans="1:6" ht="14.25" x14ac:dyDescent="0.45">
      <c r="A1399" s="6" t="str">
        <f ca="1">IFERROR(__xludf.DUMMYFUNCTION("""COMPUTED_VALUE"""),"X1JHT")</f>
        <v>X1JHT</v>
      </c>
      <c r="B1399" s="7" t="s">
        <v>1980</v>
      </c>
      <c r="C1399" s="7" t="s">
        <v>1972</v>
      </c>
      <c r="D1399" s="7" t="s">
        <v>1982</v>
      </c>
      <c r="E1399" s="8">
        <v>35367</v>
      </c>
      <c r="F1399" s="10" t="s">
        <v>2097</v>
      </c>
    </row>
    <row r="1400" spans="1:6" ht="14.25" x14ac:dyDescent="0.45">
      <c r="A1400" s="6" t="str">
        <f ca="1">IFERROR(__xludf.DUMMYFUNCTION("""COMPUTED_VALUE"""),"X4TQDBW")</f>
        <v>X4TQDBW</v>
      </c>
      <c r="B1400" s="7" t="s">
        <v>1986</v>
      </c>
      <c r="C1400" s="7" t="s">
        <v>1977</v>
      </c>
      <c r="D1400" s="7" t="s">
        <v>1973</v>
      </c>
      <c r="E1400" s="8">
        <v>35369</v>
      </c>
      <c r="F1400" s="9">
        <v>44381</v>
      </c>
    </row>
    <row r="1401" spans="1:6" ht="14.25" x14ac:dyDescent="0.45">
      <c r="A1401" s="6" t="str">
        <f ca="1">IFERROR(__xludf.DUMMYFUNCTION("""COMPUTED_VALUE"""),"XLN98WY")</f>
        <v>XLN98WY</v>
      </c>
      <c r="B1401" s="7" t="s">
        <v>1971</v>
      </c>
      <c r="C1401" s="7" t="s">
        <v>1972</v>
      </c>
      <c r="D1401" s="7" t="s">
        <v>1974</v>
      </c>
      <c r="E1401" s="8">
        <v>35372</v>
      </c>
      <c r="F1401" s="9">
        <v>44533</v>
      </c>
    </row>
    <row r="1402" spans="1:6" ht="14.25" x14ac:dyDescent="0.45">
      <c r="A1402" s="6" t="str">
        <f ca="1">IFERROR(__xludf.DUMMYFUNCTION("""COMPUTED_VALUE"""),"XBCJT2N")</f>
        <v>XBCJT2N</v>
      </c>
      <c r="B1402" s="7" t="s">
        <v>1971</v>
      </c>
      <c r="C1402" s="7" t="s">
        <v>1972</v>
      </c>
      <c r="D1402" s="7" t="s">
        <v>1974</v>
      </c>
      <c r="E1402" s="8">
        <v>35374</v>
      </c>
      <c r="F1402" s="9">
        <v>44411</v>
      </c>
    </row>
    <row r="1403" spans="1:6" ht="14.25" x14ac:dyDescent="0.45">
      <c r="A1403" s="6" t="str">
        <f ca="1">IFERROR(__xludf.DUMMYFUNCTION("""COMPUTED_VALUE"""),"X3B8CNI")</f>
        <v>X3B8CNI</v>
      </c>
      <c r="B1403" s="7" t="s">
        <v>1980</v>
      </c>
      <c r="C1403" s="7" t="s">
        <v>1972</v>
      </c>
      <c r="D1403" s="7" t="s">
        <v>1982</v>
      </c>
      <c r="E1403" s="8">
        <v>35374</v>
      </c>
      <c r="F1403" s="10" t="s">
        <v>2192</v>
      </c>
    </row>
    <row r="1404" spans="1:6" ht="14.25" x14ac:dyDescent="0.45">
      <c r="A1404" s="6" t="str">
        <f ca="1">IFERROR(__xludf.DUMMYFUNCTION("""COMPUTED_VALUE"""),"XXOE5DI")</f>
        <v>XXOE5DI</v>
      </c>
      <c r="B1404" s="7" t="s">
        <v>1971</v>
      </c>
      <c r="C1404" s="7" t="s">
        <v>1972</v>
      </c>
      <c r="D1404" s="7" t="s">
        <v>1974</v>
      </c>
      <c r="E1404" s="8">
        <v>35376</v>
      </c>
      <c r="F1404" s="10" t="s">
        <v>2261</v>
      </c>
    </row>
    <row r="1405" spans="1:6" ht="14.25" x14ac:dyDescent="0.45">
      <c r="A1405" s="6" t="str">
        <f ca="1">IFERROR(__xludf.DUMMYFUNCTION("""COMPUTED_VALUE"""),"XLUPGOT")</f>
        <v>XLUPGOT</v>
      </c>
      <c r="B1405" s="7" t="s">
        <v>1971</v>
      </c>
      <c r="C1405" s="7" t="s">
        <v>1972</v>
      </c>
      <c r="D1405" s="7" t="s">
        <v>1993</v>
      </c>
      <c r="E1405" s="8">
        <v>35377</v>
      </c>
      <c r="F1405" s="9">
        <v>44235</v>
      </c>
    </row>
    <row r="1406" spans="1:6" ht="14.25" x14ac:dyDescent="0.45">
      <c r="A1406" s="6" t="str">
        <f ca="1">IFERROR(__xludf.DUMMYFUNCTION("""COMPUTED_VALUE"""),"X3842")</f>
        <v>X3842</v>
      </c>
      <c r="B1406" s="7" t="s">
        <v>1980</v>
      </c>
      <c r="C1406" s="7" t="s">
        <v>1996</v>
      </c>
      <c r="D1406" s="7" t="s">
        <v>1975</v>
      </c>
      <c r="E1406" s="8">
        <v>35378</v>
      </c>
      <c r="F1406" s="10" t="s">
        <v>2170</v>
      </c>
    </row>
    <row r="1407" spans="1:6" ht="14.25" x14ac:dyDescent="0.45">
      <c r="A1407" s="6" t="str">
        <f ca="1">IFERROR(__xludf.DUMMYFUNCTION("""COMPUTED_VALUE"""),"X2054")</f>
        <v>X2054</v>
      </c>
      <c r="B1407" s="7" t="s">
        <v>1971</v>
      </c>
      <c r="C1407" s="7" t="s">
        <v>1972</v>
      </c>
      <c r="D1407" s="7" t="s">
        <v>1974</v>
      </c>
      <c r="E1407" s="8">
        <v>35380</v>
      </c>
      <c r="F1407" s="10" t="s">
        <v>2195</v>
      </c>
    </row>
    <row r="1408" spans="1:6" ht="14.25" x14ac:dyDescent="0.45">
      <c r="A1408" s="6" t="str">
        <f ca="1">IFERROR(__xludf.DUMMYFUNCTION("""COMPUTED_VALUE"""),"X4FDK3S")</f>
        <v>X4FDK3S</v>
      </c>
      <c r="B1408" s="7" t="s">
        <v>1980</v>
      </c>
      <c r="C1408" s="7" t="s">
        <v>1977</v>
      </c>
      <c r="D1408" s="7" t="s">
        <v>1993</v>
      </c>
      <c r="E1408" s="8">
        <v>35383</v>
      </c>
      <c r="F1408" s="10" t="s">
        <v>2290</v>
      </c>
    </row>
    <row r="1409" spans="1:6" ht="14.25" x14ac:dyDescent="0.45">
      <c r="A1409" s="6" t="str">
        <f ca="1">IFERROR(__xludf.DUMMYFUNCTION("""COMPUTED_VALUE"""),"XS6ZSHQ")</f>
        <v>XS6ZSHQ</v>
      </c>
      <c r="B1409" s="7" t="s">
        <v>1971</v>
      </c>
      <c r="C1409" s="7" t="s">
        <v>1972</v>
      </c>
      <c r="D1409" s="7" t="s">
        <v>1993</v>
      </c>
      <c r="E1409" s="8">
        <v>35384</v>
      </c>
      <c r="F1409" s="10" t="s">
        <v>2246</v>
      </c>
    </row>
    <row r="1410" spans="1:6" ht="14.25" x14ac:dyDescent="0.45">
      <c r="A1410" s="6" t="str">
        <f ca="1">IFERROR(__xludf.DUMMYFUNCTION("""COMPUTED_VALUE"""),"XRJV9TV")</f>
        <v>XRJV9TV</v>
      </c>
      <c r="B1410" s="7" t="s">
        <v>2021</v>
      </c>
      <c r="C1410" s="7" t="s">
        <v>1972</v>
      </c>
      <c r="D1410" s="7" t="s">
        <v>1993</v>
      </c>
      <c r="E1410" s="8">
        <v>35388</v>
      </c>
      <c r="F1410" s="9">
        <v>44411</v>
      </c>
    </row>
    <row r="1411" spans="1:6" ht="14.25" x14ac:dyDescent="0.45">
      <c r="A1411" s="6" t="str">
        <f ca="1">IFERROR(__xludf.DUMMYFUNCTION("""COMPUTED_VALUE"""),"X1X52")</f>
        <v>X1X52</v>
      </c>
      <c r="B1411" s="7" t="s">
        <v>1980</v>
      </c>
      <c r="C1411" s="7" t="s">
        <v>1972</v>
      </c>
      <c r="D1411" s="7" t="s">
        <v>1982</v>
      </c>
      <c r="E1411" s="8">
        <v>35391</v>
      </c>
      <c r="F1411" s="10" t="s">
        <v>2159</v>
      </c>
    </row>
    <row r="1412" spans="1:6" ht="14.25" x14ac:dyDescent="0.45">
      <c r="A1412" s="6" t="str">
        <f ca="1">IFERROR(__xludf.DUMMYFUNCTION("""COMPUTED_VALUE"""),"XS6RG7Q")</f>
        <v>XS6RG7Q</v>
      </c>
      <c r="B1412" s="7" t="s">
        <v>2021</v>
      </c>
      <c r="C1412" s="7" t="s">
        <v>1972</v>
      </c>
      <c r="D1412" s="7" t="s">
        <v>1974</v>
      </c>
      <c r="E1412" s="8">
        <v>35396</v>
      </c>
      <c r="F1412" s="10" t="s">
        <v>2213</v>
      </c>
    </row>
    <row r="1413" spans="1:6" ht="14.25" x14ac:dyDescent="0.45">
      <c r="A1413" s="6" t="str">
        <f ca="1">IFERROR(__xludf.DUMMYFUNCTION("""COMPUTED_VALUE"""),"XOBS41O")</f>
        <v>XOBS41O</v>
      </c>
      <c r="B1413" s="7" t="s">
        <v>2025</v>
      </c>
      <c r="C1413" s="7" t="s">
        <v>1977</v>
      </c>
      <c r="D1413" s="7" t="s">
        <v>2072</v>
      </c>
      <c r="E1413" s="8">
        <v>35399</v>
      </c>
      <c r="F1413" s="10" t="s">
        <v>2192</v>
      </c>
    </row>
    <row r="1414" spans="1:6" ht="14.25" x14ac:dyDescent="0.45">
      <c r="A1414" s="6" t="str">
        <f ca="1">IFERROR(__xludf.DUMMYFUNCTION("""COMPUTED_VALUE"""),"XV7PEQW")</f>
        <v>XV7PEQW</v>
      </c>
      <c r="B1414" s="7" t="s">
        <v>1971</v>
      </c>
      <c r="C1414" s="7" t="s">
        <v>1972</v>
      </c>
      <c r="D1414" s="7" t="s">
        <v>2088</v>
      </c>
      <c r="E1414" s="8">
        <v>35402</v>
      </c>
      <c r="F1414" s="10" t="s">
        <v>2193</v>
      </c>
    </row>
    <row r="1415" spans="1:6" ht="14.25" x14ac:dyDescent="0.45">
      <c r="A1415" s="6" t="str">
        <f ca="1">IFERROR(__xludf.DUMMYFUNCTION("""COMPUTED_VALUE"""),"XI1UMDI")</f>
        <v>XI1UMDI</v>
      </c>
      <c r="B1415" s="7" t="s">
        <v>1971</v>
      </c>
      <c r="C1415" s="7" t="s">
        <v>1972</v>
      </c>
      <c r="D1415" s="7" t="s">
        <v>2088</v>
      </c>
      <c r="E1415" s="8">
        <v>35403</v>
      </c>
      <c r="F1415" s="10" t="s">
        <v>2288</v>
      </c>
    </row>
    <row r="1416" spans="1:6" ht="14.25" x14ac:dyDescent="0.45">
      <c r="A1416" s="6" t="str">
        <f ca="1">IFERROR(__xludf.DUMMYFUNCTION("""COMPUTED_VALUE"""),"X3355")</f>
        <v>X3355</v>
      </c>
      <c r="B1416" s="7" t="s">
        <v>1971</v>
      </c>
      <c r="C1416" s="7" t="s">
        <v>1972</v>
      </c>
      <c r="D1416" s="7" t="s">
        <v>1982</v>
      </c>
      <c r="E1416" s="8">
        <v>35411</v>
      </c>
      <c r="F1416" s="10" t="s">
        <v>2069</v>
      </c>
    </row>
    <row r="1417" spans="1:6" ht="14.25" x14ac:dyDescent="0.45">
      <c r="A1417" s="6" t="str">
        <f ca="1">IFERROR(__xludf.DUMMYFUNCTION("""COMPUTED_VALUE"""),"XN3RI2A")</f>
        <v>XN3RI2A</v>
      </c>
      <c r="B1417" s="7" t="s">
        <v>1971</v>
      </c>
      <c r="C1417" s="7" t="s">
        <v>1972</v>
      </c>
      <c r="D1417" s="7" t="s">
        <v>1982</v>
      </c>
      <c r="E1417" s="8">
        <v>35412</v>
      </c>
      <c r="F1417" s="10" t="s">
        <v>2193</v>
      </c>
    </row>
    <row r="1418" spans="1:6" ht="14.25" x14ac:dyDescent="0.45">
      <c r="A1418" s="6" t="str">
        <f ca="1">IFERROR(__xludf.DUMMYFUNCTION("""COMPUTED_VALUE"""),"X20163")</f>
        <v>X20163</v>
      </c>
      <c r="B1418" s="7" t="s">
        <v>1971</v>
      </c>
      <c r="C1418" s="7" t="s">
        <v>1972</v>
      </c>
      <c r="D1418" s="7" t="s">
        <v>1993</v>
      </c>
      <c r="E1418" s="8">
        <v>35425</v>
      </c>
      <c r="F1418" s="10" t="s">
        <v>2106</v>
      </c>
    </row>
    <row r="1419" spans="1:6" ht="14.25" x14ac:dyDescent="0.45">
      <c r="A1419" s="6" t="str">
        <f ca="1">IFERROR(__xludf.DUMMYFUNCTION("""COMPUTED_VALUE"""),"XISLHII")</f>
        <v>XISLHII</v>
      </c>
      <c r="B1419" s="7" t="s">
        <v>1971</v>
      </c>
      <c r="C1419" s="7" t="s">
        <v>1972</v>
      </c>
      <c r="D1419" s="7" t="s">
        <v>2007</v>
      </c>
      <c r="E1419" s="8">
        <v>35429</v>
      </c>
      <c r="F1419" s="10" t="s">
        <v>2257</v>
      </c>
    </row>
    <row r="1420" spans="1:6" ht="14.25" x14ac:dyDescent="0.45">
      <c r="A1420" s="6" t="str">
        <f ca="1">IFERROR(__xludf.DUMMYFUNCTION("""COMPUTED_VALUE"""),"X2BG2")</f>
        <v>X2BG2</v>
      </c>
      <c r="B1420" s="7" t="s">
        <v>2021</v>
      </c>
      <c r="C1420" s="7" t="s">
        <v>1972</v>
      </c>
      <c r="D1420" s="7" t="s">
        <v>1982</v>
      </c>
      <c r="E1420" s="8">
        <v>35433</v>
      </c>
      <c r="F1420" s="10" t="s">
        <v>2172</v>
      </c>
    </row>
    <row r="1421" spans="1:6" ht="14.25" x14ac:dyDescent="0.45">
      <c r="A1421" s="6" t="str">
        <f ca="1">IFERROR(__xludf.DUMMYFUNCTION("""COMPUTED_VALUE"""),"XYWCQJC")</f>
        <v>XYWCQJC</v>
      </c>
      <c r="B1421" s="7" t="s">
        <v>1971</v>
      </c>
      <c r="C1421" s="7" t="s">
        <v>1972</v>
      </c>
      <c r="D1421" s="7" t="s">
        <v>2241</v>
      </c>
      <c r="E1421" s="8">
        <v>35441</v>
      </c>
      <c r="F1421" s="10" t="s">
        <v>2242</v>
      </c>
    </row>
    <row r="1422" spans="1:6" ht="14.25" x14ac:dyDescent="0.45">
      <c r="A1422" s="6" t="str">
        <f ca="1">IFERROR(__xludf.DUMMYFUNCTION("""COMPUTED_VALUE"""),"XQXU79R")</f>
        <v>XQXU79R</v>
      </c>
      <c r="B1422" s="7" t="s">
        <v>1971</v>
      </c>
      <c r="C1422" s="7" t="s">
        <v>1972</v>
      </c>
      <c r="D1422" s="7" t="s">
        <v>1974</v>
      </c>
      <c r="E1422" s="8">
        <v>35443</v>
      </c>
      <c r="F1422" s="10" t="s">
        <v>2247</v>
      </c>
    </row>
    <row r="1423" spans="1:6" ht="14.25" x14ac:dyDescent="0.45">
      <c r="A1423" s="6" t="str">
        <f ca="1">IFERROR(__xludf.DUMMYFUNCTION("""COMPUTED_VALUE"""),"X1VAS")</f>
        <v>X1VAS</v>
      </c>
      <c r="B1423" s="7" t="s">
        <v>1971</v>
      </c>
      <c r="C1423" s="7" t="s">
        <v>1972</v>
      </c>
      <c r="D1423" s="7" t="s">
        <v>1993</v>
      </c>
      <c r="E1423" s="8">
        <v>35454</v>
      </c>
      <c r="F1423" s="10" t="s">
        <v>2130</v>
      </c>
    </row>
    <row r="1424" spans="1:6" ht="14.25" x14ac:dyDescent="0.45">
      <c r="A1424" s="6" t="str">
        <f ca="1">IFERROR(__xludf.DUMMYFUNCTION("""COMPUTED_VALUE"""),"X3284")</f>
        <v>X3284</v>
      </c>
      <c r="B1424" s="7" t="s">
        <v>1971</v>
      </c>
      <c r="C1424" s="7" t="s">
        <v>1972</v>
      </c>
      <c r="D1424" s="7" t="s">
        <v>2072</v>
      </c>
      <c r="E1424" s="8">
        <v>35458</v>
      </c>
      <c r="F1424" s="10" t="s">
        <v>2066</v>
      </c>
    </row>
    <row r="1425" spans="1:6" ht="14.25" x14ac:dyDescent="0.45">
      <c r="A1425" s="6" t="str">
        <f ca="1">IFERROR(__xludf.DUMMYFUNCTION("""COMPUTED_VALUE"""),"X2BB2")</f>
        <v>X2BB2</v>
      </c>
      <c r="B1425" s="7" t="s">
        <v>1971</v>
      </c>
      <c r="C1425" s="7" t="s">
        <v>1974</v>
      </c>
      <c r="D1425" s="7" t="s">
        <v>1983</v>
      </c>
      <c r="E1425" s="8">
        <v>35465</v>
      </c>
      <c r="F1425" s="10" t="s">
        <v>2029</v>
      </c>
    </row>
    <row r="1426" spans="1:6" ht="14.25" x14ac:dyDescent="0.45">
      <c r="A1426" s="6" t="str">
        <f ca="1">IFERROR(__xludf.DUMMYFUNCTION("""COMPUTED_VALUE"""),"X2234")</f>
        <v>X2234</v>
      </c>
      <c r="B1426" s="7" t="s">
        <v>1980</v>
      </c>
      <c r="C1426" s="7" t="s">
        <v>1972</v>
      </c>
      <c r="D1426" s="7" t="s">
        <v>1982</v>
      </c>
      <c r="E1426" s="8">
        <v>35473</v>
      </c>
      <c r="F1426" s="10" t="s">
        <v>2309</v>
      </c>
    </row>
    <row r="1427" spans="1:6" ht="14.25" x14ac:dyDescent="0.45">
      <c r="A1427" s="6" t="str">
        <f ca="1">IFERROR(__xludf.DUMMYFUNCTION("""COMPUTED_VALUE"""),"XQYQN9N")</f>
        <v>XQYQN9N</v>
      </c>
      <c r="B1427" s="7" t="s">
        <v>1971</v>
      </c>
      <c r="C1427" s="7" t="s">
        <v>1972</v>
      </c>
      <c r="D1427" s="7" t="s">
        <v>2088</v>
      </c>
      <c r="E1427" s="8">
        <v>35480</v>
      </c>
      <c r="F1427" s="9">
        <v>44263</v>
      </c>
    </row>
    <row r="1428" spans="1:6" ht="14.25" x14ac:dyDescent="0.45">
      <c r="A1428" s="6" t="str">
        <f ca="1">IFERROR(__xludf.DUMMYFUNCTION("""COMPUTED_VALUE"""),"X2F5HQI")</f>
        <v>X2F5HQI</v>
      </c>
      <c r="B1428" s="7" t="s">
        <v>1971</v>
      </c>
      <c r="C1428" s="7" t="s">
        <v>1972</v>
      </c>
      <c r="D1428" s="7" t="s">
        <v>2007</v>
      </c>
      <c r="E1428" s="8">
        <v>35486</v>
      </c>
      <c r="F1428" s="10" t="s">
        <v>2225</v>
      </c>
    </row>
    <row r="1429" spans="1:6" ht="14.25" x14ac:dyDescent="0.45">
      <c r="A1429" s="6" t="str">
        <f ca="1">IFERROR(__xludf.DUMMYFUNCTION("""COMPUTED_VALUE"""),"X2BAG")</f>
        <v>X2BAG</v>
      </c>
      <c r="B1429" s="7" t="s">
        <v>1971</v>
      </c>
      <c r="C1429" s="7" t="s">
        <v>1972</v>
      </c>
      <c r="D1429" s="7" t="s">
        <v>1973</v>
      </c>
      <c r="E1429" s="8">
        <v>35490</v>
      </c>
      <c r="F1429" s="10" t="s">
        <v>2004</v>
      </c>
    </row>
    <row r="1430" spans="1:6" ht="14.25" x14ac:dyDescent="0.45">
      <c r="A1430" s="6" t="str">
        <f ca="1">IFERROR(__xludf.DUMMYFUNCTION("""COMPUTED_VALUE"""),"X6SPAIN")</f>
        <v>X6SPAIN</v>
      </c>
      <c r="B1430" s="7" t="s">
        <v>1971</v>
      </c>
      <c r="C1430" s="7" t="s">
        <v>1972</v>
      </c>
      <c r="D1430" s="7" t="s">
        <v>1995</v>
      </c>
      <c r="E1430" s="8">
        <v>35491</v>
      </c>
      <c r="F1430" s="10" t="s">
        <v>2216</v>
      </c>
    </row>
    <row r="1431" spans="1:6" ht="14.25" x14ac:dyDescent="0.45">
      <c r="A1431" s="6" t="str">
        <f ca="1">IFERROR(__xludf.DUMMYFUNCTION("""COMPUTED_VALUE"""),"X9EJCF5")</f>
        <v>X9EJCF5</v>
      </c>
      <c r="B1431" s="7" t="s">
        <v>1971</v>
      </c>
      <c r="C1431" s="7" t="s">
        <v>1977</v>
      </c>
      <c r="D1431" s="7" t="s">
        <v>1975</v>
      </c>
      <c r="E1431" s="8">
        <v>35492</v>
      </c>
      <c r="F1431" s="10" t="s">
        <v>2286</v>
      </c>
    </row>
    <row r="1432" spans="1:6" ht="14.25" x14ac:dyDescent="0.45">
      <c r="A1432" s="6" t="str">
        <f ca="1">IFERROR(__xludf.DUMMYFUNCTION("""COMPUTED_VALUE"""),"XMOWJ2L")</f>
        <v>XMOWJ2L</v>
      </c>
      <c r="B1432" s="7" t="s">
        <v>1980</v>
      </c>
      <c r="C1432" s="7" t="s">
        <v>1977</v>
      </c>
      <c r="D1432" s="7" t="s">
        <v>1990</v>
      </c>
      <c r="E1432" s="8">
        <v>35496</v>
      </c>
      <c r="F1432" s="10" t="s">
        <v>2192</v>
      </c>
    </row>
    <row r="1433" spans="1:6" ht="14.25" x14ac:dyDescent="0.45">
      <c r="A1433" s="6" t="str">
        <f ca="1">IFERROR(__xludf.DUMMYFUNCTION("""COMPUTED_VALUE"""),"X2A1U")</f>
        <v>X2A1U</v>
      </c>
      <c r="B1433" s="7" t="s">
        <v>1971</v>
      </c>
      <c r="C1433" s="7" t="s">
        <v>1972</v>
      </c>
      <c r="D1433" s="7" t="s">
        <v>1974</v>
      </c>
      <c r="E1433" s="8">
        <v>35502</v>
      </c>
      <c r="F1433" s="10" t="s">
        <v>2128</v>
      </c>
    </row>
    <row r="1434" spans="1:6" ht="14.25" x14ac:dyDescent="0.45">
      <c r="A1434" s="6" t="str">
        <f ca="1">IFERROR(__xludf.DUMMYFUNCTION("""COMPUTED_VALUE"""),"X3275")</f>
        <v>X3275</v>
      </c>
      <c r="B1434" s="7" t="s">
        <v>1980</v>
      </c>
      <c r="C1434" s="7" t="s">
        <v>1977</v>
      </c>
      <c r="D1434" s="7" t="s">
        <v>1982</v>
      </c>
      <c r="E1434" s="8">
        <v>35503</v>
      </c>
      <c r="F1434" s="10" t="s">
        <v>2066</v>
      </c>
    </row>
    <row r="1435" spans="1:6" ht="14.25" x14ac:dyDescent="0.45">
      <c r="A1435" s="6" t="str">
        <f ca="1">IFERROR(__xludf.DUMMYFUNCTION("""COMPUTED_VALUE"""),"X2914K")</f>
        <v>X2914K</v>
      </c>
      <c r="B1435" s="7" t="s">
        <v>1971</v>
      </c>
      <c r="C1435" s="7" t="s">
        <v>1972</v>
      </c>
      <c r="D1435" s="7" t="s">
        <v>1993</v>
      </c>
      <c r="E1435" s="8">
        <v>35504</v>
      </c>
      <c r="F1435" s="10" t="s">
        <v>2002</v>
      </c>
    </row>
    <row r="1436" spans="1:6" ht="14.25" x14ac:dyDescent="0.45">
      <c r="A1436" s="6" t="str">
        <f ca="1">IFERROR(__xludf.DUMMYFUNCTION("""COMPUTED_VALUE"""),"XLXRF8C")</f>
        <v>XLXRF8C</v>
      </c>
      <c r="B1436" s="7" t="s">
        <v>2275</v>
      </c>
      <c r="C1436" s="7" t="s">
        <v>1972</v>
      </c>
      <c r="D1436" s="7" t="s">
        <v>2007</v>
      </c>
      <c r="E1436" s="8">
        <v>35505</v>
      </c>
      <c r="F1436" s="9">
        <v>44321</v>
      </c>
    </row>
    <row r="1437" spans="1:6" ht="14.25" x14ac:dyDescent="0.45">
      <c r="A1437" s="6" t="str">
        <f ca="1">IFERROR(__xludf.DUMMYFUNCTION("""COMPUTED_VALUE"""),"X1JIFLB")</f>
        <v>X1JIFLB</v>
      </c>
      <c r="B1437" s="7" t="s">
        <v>1971</v>
      </c>
      <c r="C1437" s="7" t="s">
        <v>1972</v>
      </c>
      <c r="D1437" s="7" t="s">
        <v>1997</v>
      </c>
      <c r="E1437" s="8">
        <v>35506</v>
      </c>
      <c r="F1437" s="10" t="s">
        <v>2246</v>
      </c>
    </row>
    <row r="1438" spans="1:6" ht="14.25" x14ac:dyDescent="0.45">
      <c r="A1438" s="6" t="str">
        <f ca="1">IFERROR(__xludf.DUMMYFUNCTION("""COMPUTED_VALUE"""),"XFIXDMF")</f>
        <v>XFIXDMF</v>
      </c>
      <c r="B1438" s="7" t="s">
        <v>1971</v>
      </c>
      <c r="C1438" s="7" t="s">
        <v>1993</v>
      </c>
      <c r="D1438" s="7" t="s">
        <v>1993</v>
      </c>
      <c r="E1438" s="8">
        <v>35507</v>
      </c>
      <c r="F1438" s="10" t="s">
        <v>2258</v>
      </c>
    </row>
    <row r="1439" spans="1:6" ht="14.25" x14ac:dyDescent="0.45">
      <c r="A1439" s="6" t="str">
        <f ca="1">IFERROR(__xludf.DUMMYFUNCTION("""COMPUTED_VALUE"""),"X2B6D")</f>
        <v>X2B6D</v>
      </c>
      <c r="B1439" s="7" t="s">
        <v>1986</v>
      </c>
      <c r="C1439" s="7" t="s">
        <v>1972</v>
      </c>
      <c r="D1439" s="7" t="s">
        <v>1974</v>
      </c>
      <c r="E1439" s="8">
        <v>35513</v>
      </c>
      <c r="F1439" s="10" t="s">
        <v>2004</v>
      </c>
    </row>
    <row r="1440" spans="1:6" ht="14.25" x14ac:dyDescent="0.45">
      <c r="A1440" s="6" t="str">
        <f ca="1">IFERROR(__xludf.DUMMYFUNCTION("""COMPUTED_VALUE"""),"X8HON36")</f>
        <v>X8HON36</v>
      </c>
      <c r="B1440" s="7" t="s">
        <v>1971</v>
      </c>
      <c r="C1440" s="7" t="s">
        <v>1972</v>
      </c>
      <c r="D1440" s="7" t="s">
        <v>1997</v>
      </c>
      <c r="E1440" s="8">
        <v>35524</v>
      </c>
      <c r="F1440" s="9">
        <v>44447</v>
      </c>
    </row>
    <row r="1441" spans="1:6" ht="14.25" x14ac:dyDescent="0.45">
      <c r="A1441" s="6" t="str">
        <f ca="1">IFERROR(__xludf.DUMMYFUNCTION("""COMPUTED_VALUE"""),"XQUBTX3")</f>
        <v>XQUBTX3</v>
      </c>
      <c r="B1441" s="7" t="s">
        <v>1971</v>
      </c>
      <c r="C1441" s="7" t="s">
        <v>1981</v>
      </c>
      <c r="D1441" s="7" t="s">
        <v>1975</v>
      </c>
      <c r="E1441" s="8">
        <v>35527</v>
      </c>
      <c r="F1441" s="9">
        <v>44420</v>
      </c>
    </row>
    <row r="1442" spans="1:6" ht="14.25" x14ac:dyDescent="0.45">
      <c r="A1442" s="6" t="str">
        <f ca="1">IFERROR(__xludf.DUMMYFUNCTION("""COMPUTED_VALUE"""),"X2CF7")</f>
        <v>X2CF7</v>
      </c>
      <c r="B1442" s="7" t="s">
        <v>2211</v>
      </c>
      <c r="C1442" s="7" t="s">
        <v>1981</v>
      </c>
      <c r="D1442" s="7" t="s">
        <v>1973</v>
      </c>
      <c r="E1442" s="8">
        <v>35531</v>
      </c>
      <c r="F1442" s="10" t="s">
        <v>2032</v>
      </c>
    </row>
    <row r="1443" spans="1:6" ht="14.25" x14ac:dyDescent="0.45">
      <c r="A1443" s="6" t="str">
        <f ca="1">IFERROR(__xludf.DUMMYFUNCTION("""COMPUTED_VALUE"""),"XSIQQMN")</f>
        <v>XSIQQMN</v>
      </c>
      <c r="B1443" s="7" t="s">
        <v>1971</v>
      </c>
      <c r="C1443" s="7" t="s">
        <v>1972</v>
      </c>
      <c r="D1443" s="7" t="s">
        <v>1974</v>
      </c>
      <c r="E1443" s="8">
        <v>35538</v>
      </c>
      <c r="F1443" s="9">
        <v>44442</v>
      </c>
    </row>
    <row r="1444" spans="1:6" ht="14.25" x14ac:dyDescent="0.45">
      <c r="A1444" s="6" t="str">
        <f ca="1">IFERROR(__xludf.DUMMYFUNCTION("""COMPUTED_VALUE"""),"XHI1K3I")</f>
        <v>XHI1K3I</v>
      </c>
      <c r="B1444" s="7" t="s">
        <v>1971</v>
      </c>
      <c r="C1444" s="7" t="s">
        <v>1972</v>
      </c>
      <c r="D1444" s="7" t="s">
        <v>1993</v>
      </c>
      <c r="E1444" s="8">
        <v>35543</v>
      </c>
      <c r="F1444" s="10" t="s">
        <v>2287</v>
      </c>
    </row>
    <row r="1445" spans="1:6" ht="14.25" x14ac:dyDescent="0.45">
      <c r="A1445" s="6" t="str">
        <f ca="1">IFERROR(__xludf.DUMMYFUNCTION("""COMPUTED_VALUE"""),"X9P4JGT")</f>
        <v>X9P4JGT</v>
      </c>
      <c r="B1445" s="7" t="s">
        <v>1971</v>
      </c>
      <c r="C1445" s="7" t="s">
        <v>1972</v>
      </c>
      <c r="D1445" s="7" t="s">
        <v>1982</v>
      </c>
      <c r="E1445" s="8">
        <v>35547</v>
      </c>
      <c r="F1445" s="10" t="s">
        <v>2245</v>
      </c>
    </row>
    <row r="1446" spans="1:6" ht="14.25" x14ac:dyDescent="0.45">
      <c r="A1446" s="6" t="str">
        <f ca="1">IFERROR(__xludf.DUMMYFUNCTION("""COMPUTED_VALUE"""),"X8RIGR5")</f>
        <v>X8RIGR5</v>
      </c>
      <c r="B1446" s="7" t="s">
        <v>1971</v>
      </c>
      <c r="C1446" s="7" t="s">
        <v>1972</v>
      </c>
      <c r="D1446" s="7" t="s">
        <v>1993</v>
      </c>
      <c r="E1446" s="8">
        <v>35550</v>
      </c>
      <c r="F1446" s="10" t="s">
        <v>2245</v>
      </c>
    </row>
    <row r="1447" spans="1:6" ht="14.25" x14ac:dyDescent="0.45">
      <c r="A1447" s="6" t="str">
        <f ca="1">IFERROR(__xludf.DUMMYFUNCTION("""COMPUTED_VALUE"""),"X2B14N")</f>
        <v>X2B14N</v>
      </c>
      <c r="B1447" s="7" t="s">
        <v>1980</v>
      </c>
      <c r="C1447" s="7" t="s">
        <v>1972</v>
      </c>
      <c r="D1447" s="7" t="s">
        <v>1975</v>
      </c>
      <c r="E1447" s="8">
        <v>35551</v>
      </c>
      <c r="F1447" s="10" t="s">
        <v>2024</v>
      </c>
    </row>
    <row r="1448" spans="1:6" ht="14.25" x14ac:dyDescent="0.45">
      <c r="A1448" s="6" t="str">
        <f ca="1">IFERROR(__xludf.DUMMYFUNCTION("""COMPUTED_VALUE"""),"XKEG24X")</f>
        <v>XKEG24X</v>
      </c>
      <c r="B1448" s="7" t="s">
        <v>1971</v>
      </c>
      <c r="C1448" s="7" t="s">
        <v>1972</v>
      </c>
      <c r="D1448" s="7" t="s">
        <v>1974</v>
      </c>
      <c r="E1448" s="8">
        <v>35551</v>
      </c>
      <c r="F1448" s="10" t="s">
        <v>2257</v>
      </c>
    </row>
    <row r="1449" spans="1:6" ht="14.25" x14ac:dyDescent="0.45">
      <c r="A1449" s="6" t="str">
        <f ca="1">IFERROR(__xludf.DUMMYFUNCTION("""COMPUTED_VALUE"""),"X23AQ")</f>
        <v>X23AQ</v>
      </c>
      <c r="B1449" s="7" t="s">
        <v>2021</v>
      </c>
      <c r="C1449" s="7" t="s">
        <v>1972</v>
      </c>
      <c r="D1449" s="7" t="s">
        <v>1982</v>
      </c>
      <c r="E1449" s="8">
        <v>35554</v>
      </c>
      <c r="F1449" s="10" t="s">
        <v>2132</v>
      </c>
    </row>
    <row r="1450" spans="1:6" ht="14.25" x14ac:dyDescent="0.45">
      <c r="A1450" s="6" t="str">
        <f ca="1">IFERROR(__xludf.DUMMYFUNCTION("""COMPUTED_VALUE"""),"X2DSZ")</f>
        <v>X2DSZ</v>
      </c>
      <c r="B1450" s="7" t="s">
        <v>1986</v>
      </c>
      <c r="C1450" s="7" t="s">
        <v>1972</v>
      </c>
      <c r="D1450" s="7" t="s">
        <v>1975</v>
      </c>
      <c r="E1450" s="8">
        <v>35558</v>
      </c>
      <c r="F1450" s="10" t="s">
        <v>2114</v>
      </c>
    </row>
    <row r="1451" spans="1:6" ht="14.25" x14ac:dyDescent="0.45">
      <c r="A1451" s="6" t="str">
        <f ca="1">IFERROR(__xludf.DUMMYFUNCTION("""COMPUTED_VALUE"""),"XUQ1ZIL")</f>
        <v>XUQ1ZIL</v>
      </c>
      <c r="B1451" s="7" t="s">
        <v>1971</v>
      </c>
      <c r="C1451" s="7" t="s">
        <v>1972</v>
      </c>
      <c r="D1451" s="7" t="s">
        <v>1987</v>
      </c>
      <c r="E1451" s="8">
        <v>35558</v>
      </c>
      <c r="F1451" s="10" t="s">
        <v>2216</v>
      </c>
    </row>
    <row r="1452" spans="1:6" ht="14.25" x14ac:dyDescent="0.45">
      <c r="A1452" s="6" t="str">
        <f ca="1">IFERROR(__xludf.DUMMYFUNCTION("""COMPUTED_VALUE"""),"X29GS")</f>
        <v>X29GS</v>
      </c>
      <c r="B1452" s="7" t="s">
        <v>1980</v>
      </c>
      <c r="C1452" s="7" t="s">
        <v>1972</v>
      </c>
      <c r="D1452" s="7" t="s">
        <v>1982</v>
      </c>
      <c r="E1452" s="8">
        <v>35563</v>
      </c>
      <c r="F1452" s="9">
        <v>44084</v>
      </c>
    </row>
    <row r="1453" spans="1:6" ht="14.25" x14ac:dyDescent="0.45">
      <c r="A1453" s="6" t="str">
        <f ca="1">IFERROR(__xludf.DUMMYFUNCTION("""COMPUTED_VALUE"""),"X1JPU")</f>
        <v>X1JPU</v>
      </c>
      <c r="B1453" s="7" t="s">
        <v>1971</v>
      </c>
      <c r="C1453" s="7" t="s">
        <v>1977</v>
      </c>
      <c r="D1453" s="7" t="s">
        <v>1978</v>
      </c>
      <c r="E1453" s="8">
        <v>35570</v>
      </c>
      <c r="F1453" s="10" t="s">
        <v>2037</v>
      </c>
    </row>
    <row r="1454" spans="1:6" ht="14.25" x14ac:dyDescent="0.45">
      <c r="A1454" s="6" t="str">
        <f ca="1">IFERROR(__xludf.DUMMYFUNCTION("""COMPUTED_VALUE"""),"XPTDH2Y")</f>
        <v>XPTDH2Y</v>
      </c>
      <c r="B1454" s="7" t="s">
        <v>1971</v>
      </c>
      <c r="C1454" s="7" t="s">
        <v>1972</v>
      </c>
      <c r="D1454" s="7" t="s">
        <v>1990</v>
      </c>
      <c r="E1454" s="8">
        <v>35577</v>
      </c>
      <c r="F1454" s="9">
        <v>44446</v>
      </c>
    </row>
    <row r="1455" spans="1:6" ht="14.25" x14ac:dyDescent="0.45">
      <c r="A1455" s="6" t="str">
        <f ca="1">IFERROR(__xludf.DUMMYFUNCTION("""COMPUTED_VALUE"""),"XJEFX5W")</f>
        <v>XJEFX5W</v>
      </c>
      <c r="B1455" s="7" t="s">
        <v>1971</v>
      </c>
      <c r="C1455" s="7" t="s">
        <v>1972</v>
      </c>
      <c r="D1455" s="7" t="s">
        <v>2072</v>
      </c>
      <c r="E1455" s="8">
        <v>35583</v>
      </c>
      <c r="F1455" s="10" t="s">
        <v>2261</v>
      </c>
    </row>
    <row r="1456" spans="1:6" ht="14.25" x14ac:dyDescent="0.45">
      <c r="A1456" s="6" t="str">
        <f ca="1">IFERROR(__xludf.DUMMYFUNCTION("""COMPUTED_VALUE"""),"XQR4R1O")</f>
        <v>XQR4R1O</v>
      </c>
      <c r="B1456" s="7" t="s">
        <v>1971</v>
      </c>
      <c r="C1456" s="7" t="s">
        <v>1972</v>
      </c>
      <c r="D1456" s="7" t="s">
        <v>2007</v>
      </c>
      <c r="E1456" s="8">
        <v>35586</v>
      </c>
      <c r="F1456" s="9">
        <v>44537</v>
      </c>
    </row>
    <row r="1457" spans="1:6" ht="14.25" x14ac:dyDescent="0.45">
      <c r="A1457" s="6" t="str">
        <f ca="1">IFERROR(__xludf.DUMMYFUNCTION("""COMPUTED_VALUE"""),"XFMZPVG")</f>
        <v>XFMZPVG</v>
      </c>
      <c r="B1457" s="7" t="s">
        <v>1971</v>
      </c>
      <c r="C1457" s="7" t="s">
        <v>1972</v>
      </c>
      <c r="D1457" s="7" t="s">
        <v>1974</v>
      </c>
      <c r="E1457" s="8">
        <v>35589</v>
      </c>
      <c r="F1457" s="9">
        <v>44447</v>
      </c>
    </row>
    <row r="1458" spans="1:6" ht="14.25" x14ac:dyDescent="0.45">
      <c r="A1458" s="6" t="str">
        <f ca="1">IFERROR(__xludf.DUMMYFUNCTION("""COMPUTED_VALUE"""),"XLP3NSR")</f>
        <v>XLP3NSR</v>
      </c>
      <c r="B1458" s="7" t="s">
        <v>1971</v>
      </c>
      <c r="C1458" s="7" t="s">
        <v>1972</v>
      </c>
      <c r="D1458" s="7" t="s">
        <v>2007</v>
      </c>
      <c r="E1458" s="8">
        <v>35591</v>
      </c>
      <c r="F1458" s="10" t="s">
        <v>2247</v>
      </c>
    </row>
    <row r="1459" spans="1:6" ht="14.25" x14ac:dyDescent="0.45">
      <c r="A1459" s="6" t="str">
        <f ca="1">IFERROR(__xludf.DUMMYFUNCTION("""COMPUTED_VALUE"""),"XKMZMUN")</f>
        <v>XKMZMUN</v>
      </c>
      <c r="B1459" s="7" t="s">
        <v>1971</v>
      </c>
      <c r="C1459" s="7" t="s">
        <v>1972</v>
      </c>
      <c r="D1459" s="7" t="s">
        <v>1975</v>
      </c>
      <c r="E1459" s="8">
        <v>35601</v>
      </c>
      <c r="F1459" s="10" t="s">
        <v>2258</v>
      </c>
    </row>
    <row r="1460" spans="1:6" ht="14.25" x14ac:dyDescent="0.45">
      <c r="A1460" s="6" t="str">
        <f ca="1">IFERROR(__xludf.DUMMYFUNCTION("""COMPUTED_VALUE"""),"XI8OH6U")</f>
        <v>XI8OH6U</v>
      </c>
      <c r="B1460" s="7" t="s">
        <v>1971</v>
      </c>
      <c r="C1460" s="7" t="s">
        <v>1977</v>
      </c>
      <c r="D1460" s="7" t="s">
        <v>1975</v>
      </c>
      <c r="E1460" s="8">
        <v>35603</v>
      </c>
      <c r="F1460" s="9">
        <v>44443</v>
      </c>
    </row>
    <row r="1461" spans="1:6" ht="14.25" x14ac:dyDescent="0.45">
      <c r="A1461" s="6" t="str">
        <f ca="1">IFERROR(__xludf.DUMMYFUNCTION("""COMPUTED_VALUE"""),"X1XRR")</f>
        <v>X1XRR</v>
      </c>
      <c r="B1461" s="7" t="s">
        <v>1971</v>
      </c>
      <c r="C1461" s="7" t="s">
        <v>1972</v>
      </c>
      <c r="D1461" s="7" t="s">
        <v>1974</v>
      </c>
      <c r="E1461" s="8">
        <v>35604</v>
      </c>
      <c r="F1461" s="10" t="s">
        <v>2053</v>
      </c>
    </row>
    <row r="1462" spans="1:6" ht="14.25" x14ac:dyDescent="0.45">
      <c r="A1462" s="6" t="str">
        <f ca="1">IFERROR(__xludf.DUMMYFUNCTION("""COMPUTED_VALUE"""),"XPYVTOW")</f>
        <v>XPYVTOW</v>
      </c>
      <c r="B1462" s="7" t="s">
        <v>1971</v>
      </c>
      <c r="C1462" s="7" t="s">
        <v>1972</v>
      </c>
      <c r="D1462" s="7" t="s">
        <v>2007</v>
      </c>
      <c r="E1462" s="8">
        <v>35604</v>
      </c>
      <c r="F1462" s="10" t="s">
        <v>2246</v>
      </c>
    </row>
    <row r="1463" spans="1:6" ht="14.25" x14ac:dyDescent="0.45">
      <c r="A1463" s="6" t="str">
        <f ca="1">IFERROR(__xludf.DUMMYFUNCTION("""COMPUTED_VALUE"""),"X2ACZ")</f>
        <v>X2ACZ</v>
      </c>
      <c r="B1463" s="7" t="s">
        <v>1980</v>
      </c>
      <c r="C1463" s="7" t="s">
        <v>1972</v>
      </c>
      <c r="D1463" s="7" t="s">
        <v>1990</v>
      </c>
      <c r="E1463" s="8">
        <v>35605</v>
      </c>
      <c r="F1463" s="10" t="s">
        <v>2049</v>
      </c>
    </row>
    <row r="1464" spans="1:6" ht="14.25" x14ac:dyDescent="0.45">
      <c r="A1464" s="6" t="str">
        <f ca="1">IFERROR(__xludf.DUMMYFUNCTION("""COMPUTED_VALUE"""),"X92U2QQ")</f>
        <v>X92U2QQ</v>
      </c>
      <c r="B1464" s="7" t="s">
        <v>1971</v>
      </c>
      <c r="C1464" s="7" t="s">
        <v>1977</v>
      </c>
      <c r="D1464" s="7" t="s">
        <v>1975</v>
      </c>
      <c r="E1464" s="8">
        <v>35605</v>
      </c>
      <c r="F1464" s="10" t="s">
        <v>2217</v>
      </c>
    </row>
    <row r="1465" spans="1:6" ht="14.25" x14ac:dyDescent="0.45">
      <c r="A1465" s="6" t="str">
        <f ca="1">IFERROR(__xludf.DUMMYFUNCTION("""COMPUTED_VALUE"""),"X236K")</f>
        <v>X236K</v>
      </c>
      <c r="B1465" s="7" t="s">
        <v>1986</v>
      </c>
      <c r="C1465" s="7" t="s">
        <v>1972</v>
      </c>
      <c r="D1465" s="7" t="s">
        <v>1974</v>
      </c>
      <c r="E1465" s="8">
        <v>35612</v>
      </c>
      <c r="F1465" s="10" t="s">
        <v>2045</v>
      </c>
    </row>
    <row r="1466" spans="1:6" ht="14.25" x14ac:dyDescent="0.45">
      <c r="A1466" s="6" t="str">
        <f ca="1">IFERROR(__xludf.DUMMYFUNCTION("""COMPUTED_VALUE"""),"X2CN9")</f>
        <v>X2CN9</v>
      </c>
      <c r="B1466" s="7" t="s">
        <v>2164</v>
      </c>
      <c r="C1466" s="7" t="s">
        <v>1972</v>
      </c>
      <c r="D1466" s="7" t="s">
        <v>1974</v>
      </c>
      <c r="E1466" s="8">
        <v>35614</v>
      </c>
      <c r="F1466" s="10" t="s">
        <v>2001</v>
      </c>
    </row>
    <row r="1467" spans="1:6" ht="14.25" x14ac:dyDescent="0.45">
      <c r="A1467" s="6" t="str">
        <f ca="1">IFERROR(__xludf.DUMMYFUNCTION("""COMPUTED_VALUE"""),"XFE778W")</f>
        <v>XFE778W</v>
      </c>
      <c r="B1467" s="7" t="s">
        <v>2092</v>
      </c>
      <c r="C1467" s="7" t="s">
        <v>1981</v>
      </c>
      <c r="D1467" s="7" t="s">
        <v>1974</v>
      </c>
      <c r="E1467" s="8">
        <v>35619</v>
      </c>
      <c r="F1467" s="10" t="s">
        <v>2284</v>
      </c>
    </row>
    <row r="1468" spans="1:6" ht="14.25" x14ac:dyDescent="0.45">
      <c r="A1468" s="6" t="str">
        <f ca="1">IFERROR(__xludf.DUMMYFUNCTION("""COMPUTED_VALUE"""),"XZKMKSY")</f>
        <v>XZKMKSY</v>
      </c>
      <c r="B1468" s="7" t="s">
        <v>1971</v>
      </c>
      <c r="C1468" s="7" t="s">
        <v>1972</v>
      </c>
      <c r="D1468" s="7" t="s">
        <v>1993</v>
      </c>
      <c r="E1468" s="8">
        <v>35620</v>
      </c>
      <c r="F1468" s="10" t="s">
        <v>2200</v>
      </c>
    </row>
    <row r="1469" spans="1:6" ht="14.25" x14ac:dyDescent="0.45">
      <c r="A1469" s="6" t="str">
        <f ca="1">IFERROR(__xludf.DUMMYFUNCTION("""COMPUTED_VALUE"""),"X76OLKO")</f>
        <v>X76OLKO</v>
      </c>
      <c r="B1469" s="7" t="s">
        <v>1971</v>
      </c>
      <c r="C1469" s="7" t="s">
        <v>1972</v>
      </c>
      <c r="D1469" s="7" t="s">
        <v>1974</v>
      </c>
      <c r="E1469" s="8">
        <v>35632</v>
      </c>
      <c r="F1469" s="10" t="s">
        <v>2247</v>
      </c>
    </row>
    <row r="1470" spans="1:6" ht="14.25" x14ac:dyDescent="0.45">
      <c r="A1470" s="6" t="str">
        <f ca="1">IFERROR(__xludf.DUMMYFUNCTION("""COMPUTED_VALUE"""),"X3999")</f>
        <v>X3999</v>
      </c>
      <c r="B1470" s="7" t="s">
        <v>1980</v>
      </c>
      <c r="C1470" s="7" t="s">
        <v>1977</v>
      </c>
      <c r="D1470" s="7" t="s">
        <v>1982</v>
      </c>
      <c r="E1470" s="8">
        <v>35635</v>
      </c>
      <c r="F1470" s="10" t="s">
        <v>2235</v>
      </c>
    </row>
    <row r="1471" spans="1:6" ht="14.25" x14ac:dyDescent="0.45">
      <c r="A1471" s="6" t="str">
        <f ca="1">IFERROR(__xludf.DUMMYFUNCTION("""COMPUTED_VALUE"""),"XYZNPY3")</f>
        <v>XYZNPY3</v>
      </c>
      <c r="B1471" s="7" t="s">
        <v>1971</v>
      </c>
      <c r="C1471" s="7" t="s">
        <v>1981</v>
      </c>
      <c r="D1471" s="7" t="s">
        <v>1978</v>
      </c>
      <c r="E1471" s="8">
        <v>35643</v>
      </c>
      <c r="F1471" s="9">
        <v>44535</v>
      </c>
    </row>
    <row r="1472" spans="1:6" ht="14.25" x14ac:dyDescent="0.45">
      <c r="A1472" s="6" t="str">
        <f ca="1">IFERROR(__xludf.DUMMYFUNCTION("""COMPUTED_VALUE"""),"X1XN3")</f>
        <v>X1XN3</v>
      </c>
      <c r="B1472" s="7" t="s">
        <v>1986</v>
      </c>
      <c r="C1472" s="7" t="s">
        <v>1981</v>
      </c>
      <c r="D1472" s="7" t="s">
        <v>2003</v>
      </c>
      <c r="E1472" s="8">
        <v>35644</v>
      </c>
      <c r="F1472" s="10" t="s">
        <v>2044</v>
      </c>
    </row>
    <row r="1473" spans="1:6" ht="14.25" x14ac:dyDescent="0.45">
      <c r="A1473" s="6" t="str">
        <f ca="1">IFERROR(__xludf.DUMMYFUNCTION("""COMPUTED_VALUE"""),"XBRDUFD")</f>
        <v>XBRDUFD</v>
      </c>
      <c r="B1473" s="7" t="s">
        <v>1971</v>
      </c>
      <c r="C1473" s="7" t="s">
        <v>1972</v>
      </c>
      <c r="D1473" s="7" t="s">
        <v>1975</v>
      </c>
      <c r="E1473" s="8">
        <v>35645</v>
      </c>
      <c r="F1473" s="9">
        <v>44505</v>
      </c>
    </row>
    <row r="1474" spans="1:6" ht="14.25" x14ac:dyDescent="0.45">
      <c r="A1474" s="6" t="str">
        <f ca="1">IFERROR(__xludf.DUMMYFUNCTION("""COMPUTED_VALUE"""),"X1X9T")</f>
        <v>X1X9T</v>
      </c>
      <c r="B1474" s="7" t="s">
        <v>1971</v>
      </c>
      <c r="C1474" s="7" t="s">
        <v>1981</v>
      </c>
      <c r="D1474" s="7" t="s">
        <v>1975</v>
      </c>
      <c r="E1474" s="8">
        <v>35652</v>
      </c>
      <c r="F1474" s="10" t="s">
        <v>2122</v>
      </c>
    </row>
    <row r="1475" spans="1:6" ht="14.25" x14ac:dyDescent="0.45">
      <c r="A1475" s="6" t="str">
        <f ca="1">IFERROR(__xludf.DUMMYFUNCTION("""COMPUTED_VALUE"""),"XD8JBLK")</f>
        <v>XD8JBLK</v>
      </c>
      <c r="B1475" s="7" t="s">
        <v>1971</v>
      </c>
      <c r="C1475" s="7" t="s">
        <v>1972</v>
      </c>
      <c r="D1475" s="7" t="s">
        <v>1993</v>
      </c>
      <c r="E1475" s="8">
        <v>35658</v>
      </c>
      <c r="F1475" s="10" t="s">
        <v>2200</v>
      </c>
    </row>
    <row r="1476" spans="1:6" ht="14.25" x14ac:dyDescent="0.45">
      <c r="A1476" s="6" t="str">
        <f ca="1">IFERROR(__xludf.DUMMYFUNCTION("""COMPUTED_VALUE"""),"XJE9F8O")</f>
        <v>XJE9F8O</v>
      </c>
      <c r="B1476" s="7" t="s">
        <v>1971</v>
      </c>
      <c r="C1476" s="7" t="s">
        <v>1972</v>
      </c>
      <c r="D1476" s="7" t="s">
        <v>1990</v>
      </c>
      <c r="E1476" s="8">
        <v>35661</v>
      </c>
      <c r="F1476" s="9">
        <v>44321</v>
      </c>
    </row>
    <row r="1477" spans="1:6" ht="14.25" x14ac:dyDescent="0.45">
      <c r="A1477" s="6" t="str">
        <f ca="1">IFERROR(__xludf.DUMMYFUNCTION("""COMPUTED_VALUE"""),"XNE2L8C")</f>
        <v>XNE2L8C</v>
      </c>
      <c r="B1477" s="7" t="s">
        <v>1971</v>
      </c>
      <c r="C1477" s="7" t="s">
        <v>1972</v>
      </c>
      <c r="D1477" s="7" t="s">
        <v>1974</v>
      </c>
      <c r="E1477" s="8">
        <v>35663</v>
      </c>
      <c r="F1477" s="10" t="s">
        <v>2193</v>
      </c>
    </row>
    <row r="1478" spans="1:6" ht="14.25" x14ac:dyDescent="0.45">
      <c r="A1478" s="6" t="str">
        <f ca="1">IFERROR(__xludf.DUMMYFUNCTION("""COMPUTED_VALUE"""),"X1YAI")</f>
        <v>X1YAI</v>
      </c>
      <c r="B1478" s="7" t="s">
        <v>1980</v>
      </c>
      <c r="C1478" s="7" t="s">
        <v>1974</v>
      </c>
      <c r="D1478" s="7" t="s">
        <v>1982</v>
      </c>
      <c r="E1478" s="8">
        <v>35668</v>
      </c>
      <c r="F1478" s="10" t="s">
        <v>2098</v>
      </c>
    </row>
    <row r="1479" spans="1:6" ht="14.25" x14ac:dyDescent="0.45">
      <c r="A1479" s="6" t="str">
        <f ca="1">IFERROR(__xludf.DUMMYFUNCTION("""COMPUTED_VALUE"""),"X1Y7V")</f>
        <v>X1Y7V</v>
      </c>
      <c r="B1479" s="7" t="s">
        <v>1980</v>
      </c>
      <c r="C1479" s="7" t="s">
        <v>1972</v>
      </c>
      <c r="D1479" s="7" t="s">
        <v>1982</v>
      </c>
      <c r="E1479" s="8">
        <v>35672</v>
      </c>
      <c r="F1479" s="10" t="s">
        <v>2297</v>
      </c>
    </row>
    <row r="1480" spans="1:6" ht="14.25" x14ac:dyDescent="0.45">
      <c r="A1480" s="6" t="str">
        <f ca="1">IFERROR(__xludf.DUMMYFUNCTION("""COMPUTED_VALUE"""),"X2L8EVK")</f>
        <v>X2L8EVK</v>
      </c>
      <c r="B1480" s="7" t="s">
        <v>1986</v>
      </c>
      <c r="C1480" s="7" t="s">
        <v>1972</v>
      </c>
      <c r="D1480" s="7" t="s">
        <v>1973</v>
      </c>
      <c r="E1480" s="8">
        <v>35672</v>
      </c>
      <c r="F1480" s="10" t="s">
        <v>2331</v>
      </c>
    </row>
    <row r="1481" spans="1:6" ht="14.25" x14ac:dyDescent="0.45">
      <c r="A1481" s="6" t="str">
        <f ca="1">IFERROR(__xludf.DUMMYFUNCTION("""COMPUTED_VALUE"""),"X1TW1JU")</f>
        <v>X1TW1JU</v>
      </c>
      <c r="B1481" s="7" t="s">
        <v>1971</v>
      </c>
      <c r="C1481" s="7" t="s">
        <v>1972</v>
      </c>
      <c r="D1481" s="7" t="s">
        <v>1993</v>
      </c>
      <c r="E1481" s="8">
        <v>35675</v>
      </c>
      <c r="F1481" s="10" t="s">
        <v>2315</v>
      </c>
    </row>
    <row r="1482" spans="1:6" ht="14.25" x14ac:dyDescent="0.45">
      <c r="A1482" s="6" t="str">
        <f ca="1">IFERROR(__xludf.DUMMYFUNCTION("""COMPUTED_VALUE"""),"X2DKF")</f>
        <v>X2DKF</v>
      </c>
      <c r="B1482" s="7" t="s">
        <v>1971</v>
      </c>
      <c r="C1482" s="7" t="s">
        <v>1974</v>
      </c>
      <c r="D1482" s="7" t="s">
        <v>1974</v>
      </c>
      <c r="E1482" s="8">
        <v>35677</v>
      </c>
      <c r="F1482" s="10" t="s">
        <v>2051</v>
      </c>
    </row>
    <row r="1483" spans="1:6" ht="14.25" x14ac:dyDescent="0.45">
      <c r="A1483" s="6" t="str">
        <f ca="1">IFERROR(__xludf.DUMMYFUNCTION("""COMPUTED_VALUE"""),"X5WZ735")</f>
        <v>X5WZ735</v>
      </c>
      <c r="B1483" s="7" t="s">
        <v>1971</v>
      </c>
      <c r="C1483" s="7" t="s">
        <v>1972</v>
      </c>
      <c r="D1483" s="7" t="s">
        <v>1993</v>
      </c>
      <c r="E1483" s="8">
        <v>35678</v>
      </c>
      <c r="F1483" s="10" t="s">
        <v>2193</v>
      </c>
    </row>
    <row r="1484" spans="1:6" ht="14.25" x14ac:dyDescent="0.45">
      <c r="A1484" s="6" t="str">
        <f ca="1">IFERROR(__xludf.DUMMYFUNCTION("""COMPUTED_VALUE"""),"XDQ8ZPE")</f>
        <v>XDQ8ZPE</v>
      </c>
      <c r="B1484" s="7" t="s">
        <v>1971</v>
      </c>
      <c r="C1484" s="7" t="s">
        <v>1972</v>
      </c>
      <c r="D1484" s="7" t="s">
        <v>2007</v>
      </c>
      <c r="E1484" s="8">
        <v>35685</v>
      </c>
      <c r="F1484" s="9">
        <v>44235</v>
      </c>
    </row>
    <row r="1485" spans="1:6" ht="14.25" x14ac:dyDescent="0.45">
      <c r="A1485" s="6" t="str">
        <f ca="1">IFERROR(__xludf.DUMMYFUNCTION("""COMPUTED_VALUE"""),"X24K322")</f>
        <v>X24K322</v>
      </c>
      <c r="B1485" s="7" t="s">
        <v>1971</v>
      </c>
      <c r="C1485" s="7" t="s">
        <v>1972</v>
      </c>
      <c r="D1485" s="7" t="s">
        <v>1993</v>
      </c>
      <c r="E1485" s="8">
        <v>35686</v>
      </c>
      <c r="F1485" s="9">
        <v>44447</v>
      </c>
    </row>
    <row r="1486" spans="1:6" ht="14.25" x14ac:dyDescent="0.45">
      <c r="A1486" s="6" t="str">
        <f ca="1">IFERROR(__xludf.DUMMYFUNCTION("""COMPUTED_VALUE"""),"XCCFAXH")</f>
        <v>XCCFAXH</v>
      </c>
      <c r="B1486" s="7" t="s">
        <v>1971</v>
      </c>
      <c r="C1486" s="7" t="s">
        <v>1972</v>
      </c>
      <c r="D1486" s="7" t="s">
        <v>1975</v>
      </c>
      <c r="E1486" s="8">
        <v>35688</v>
      </c>
      <c r="F1486" s="9">
        <v>44538</v>
      </c>
    </row>
    <row r="1487" spans="1:6" ht="14.25" x14ac:dyDescent="0.45">
      <c r="A1487" s="6" t="str">
        <f ca="1">IFERROR(__xludf.DUMMYFUNCTION("""COMPUTED_VALUE"""),"X2ATW")</f>
        <v>X2ATW</v>
      </c>
      <c r="B1487" s="7" t="s">
        <v>1971</v>
      </c>
      <c r="C1487" s="7" t="s">
        <v>1977</v>
      </c>
      <c r="D1487" s="7" t="s">
        <v>2003</v>
      </c>
      <c r="E1487" s="8">
        <v>35691</v>
      </c>
      <c r="F1487" s="9">
        <v>43962</v>
      </c>
    </row>
    <row r="1488" spans="1:6" ht="14.25" x14ac:dyDescent="0.45">
      <c r="A1488" s="6" t="str">
        <f ca="1">IFERROR(__xludf.DUMMYFUNCTION("""COMPUTED_VALUE"""),"X2C14H")</f>
        <v>X2C14H</v>
      </c>
      <c r="B1488" s="7" t="s">
        <v>1980</v>
      </c>
      <c r="C1488" s="7" t="s">
        <v>1972</v>
      </c>
      <c r="D1488" s="7" t="s">
        <v>1982</v>
      </c>
      <c r="E1488" s="8">
        <v>35698</v>
      </c>
      <c r="F1488" s="10" t="s">
        <v>2046</v>
      </c>
    </row>
    <row r="1489" spans="1:6" ht="14.25" x14ac:dyDescent="0.45">
      <c r="A1489" s="6" t="str">
        <f ca="1">IFERROR(__xludf.DUMMYFUNCTION("""COMPUTED_VALUE"""),"X3HE992")</f>
        <v>X3HE992</v>
      </c>
      <c r="B1489" s="7" t="s">
        <v>1971</v>
      </c>
      <c r="C1489" s="7" t="s">
        <v>1972</v>
      </c>
      <c r="D1489" s="7" t="s">
        <v>2072</v>
      </c>
      <c r="E1489" s="8">
        <v>35699</v>
      </c>
      <c r="F1489" s="10" t="s">
        <v>2229</v>
      </c>
    </row>
    <row r="1490" spans="1:6" ht="14.25" x14ac:dyDescent="0.45">
      <c r="A1490" s="6" t="str">
        <f ca="1">IFERROR(__xludf.DUMMYFUNCTION("""COMPUTED_VALUE"""),"XS7MQDB")</f>
        <v>XS7MQDB</v>
      </c>
      <c r="B1490" s="7" t="s">
        <v>1971</v>
      </c>
      <c r="C1490" s="7" t="s">
        <v>1972</v>
      </c>
      <c r="D1490" s="7" t="s">
        <v>1974</v>
      </c>
      <c r="E1490" s="8">
        <v>35701</v>
      </c>
      <c r="F1490" s="9">
        <v>44381</v>
      </c>
    </row>
    <row r="1491" spans="1:6" ht="14.25" x14ac:dyDescent="0.45">
      <c r="A1491" s="6" t="str">
        <f ca="1">IFERROR(__xludf.DUMMYFUNCTION("""COMPUTED_VALUE"""),"XMWBVLT")</f>
        <v>XMWBVLT</v>
      </c>
      <c r="B1491" s="7" t="s">
        <v>1980</v>
      </c>
      <c r="C1491" s="7" t="s">
        <v>1972</v>
      </c>
      <c r="D1491" s="7" t="s">
        <v>1982</v>
      </c>
      <c r="E1491" s="8">
        <v>35705</v>
      </c>
      <c r="F1491" s="10" t="s">
        <v>2294</v>
      </c>
    </row>
    <row r="1492" spans="1:6" ht="14.25" x14ac:dyDescent="0.45">
      <c r="A1492" s="6" t="str">
        <f ca="1">IFERROR(__xludf.DUMMYFUNCTION("""COMPUTED_VALUE"""),"X2BTL")</f>
        <v>X2BTL</v>
      </c>
      <c r="B1492" s="7" t="s">
        <v>1986</v>
      </c>
      <c r="C1492" s="7" t="s">
        <v>1972</v>
      </c>
      <c r="D1492" s="7" t="s">
        <v>1997</v>
      </c>
      <c r="E1492" s="8">
        <v>35706</v>
      </c>
      <c r="F1492" s="10" t="s">
        <v>2009</v>
      </c>
    </row>
    <row r="1493" spans="1:6" ht="14.25" x14ac:dyDescent="0.45">
      <c r="A1493" s="6" t="str">
        <f ca="1">IFERROR(__xludf.DUMMYFUNCTION("""COMPUTED_VALUE"""),"X2A5S")</f>
        <v>X2A5S</v>
      </c>
      <c r="B1493" s="7" t="s">
        <v>1971</v>
      </c>
      <c r="C1493" s="7" t="s">
        <v>1972</v>
      </c>
      <c r="D1493" s="7" t="s">
        <v>1993</v>
      </c>
      <c r="E1493" s="8">
        <v>35706</v>
      </c>
      <c r="F1493" s="10" t="s">
        <v>2039</v>
      </c>
    </row>
    <row r="1494" spans="1:6" ht="14.25" x14ac:dyDescent="0.45">
      <c r="A1494" s="6" t="str">
        <f ca="1">IFERROR(__xludf.DUMMYFUNCTION("""COMPUTED_VALUE"""),"XHUL25U")</f>
        <v>XHUL25U</v>
      </c>
      <c r="B1494" s="7" t="s">
        <v>1971</v>
      </c>
      <c r="C1494" s="7" t="s">
        <v>1972</v>
      </c>
      <c r="D1494" s="7" t="s">
        <v>1993</v>
      </c>
      <c r="E1494" s="8">
        <v>35706</v>
      </c>
      <c r="F1494" s="9">
        <v>44533</v>
      </c>
    </row>
    <row r="1495" spans="1:6" ht="14.25" x14ac:dyDescent="0.45">
      <c r="A1495" s="6" t="str">
        <f ca="1">IFERROR(__xludf.DUMMYFUNCTION("""COMPUTED_VALUE"""),"X2914E")</f>
        <v>X2914E</v>
      </c>
      <c r="B1495" s="7" t="s">
        <v>1971</v>
      </c>
      <c r="C1495" s="7" t="s">
        <v>1972</v>
      </c>
      <c r="D1495" s="7" t="s">
        <v>1993</v>
      </c>
      <c r="E1495" s="8">
        <v>35708</v>
      </c>
      <c r="F1495" s="10" t="s">
        <v>2002</v>
      </c>
    </row>
    <row r="1496" spans="1:6" ht="14.25" x14ac:dyDescent="0.45">
      <c r="A1496" s="6" t="str">
        <f ca="1">IFERROR(__xludf.DUMMYFUNCTION("""COMPUTED_VALUE"""),"X93LRM6")</f>
        <v>X93LRM6</v>
      </c>
      <c r="B1496" s="7" t="s">
        <v>1971</v>
      </c>
      <c r="C1496" s="7" t="s">
        <v>1977</v>
      </c>
      <c r="D1496" s="7" t="s">
        <v>1993</v>
      </c>
      <c r="E1496" s="8">
        <v>35712</v>
      </c>
      <c r="F1496" s="10" t="s">
        <v>2193</v>
      </c>
    </row>
    <row r="1497" spans="1:6" ht="14.25" x14ac:dyDescent="0.45">
      <c r="A1497" s="6" t="str">
        <f ca="1">IFERROR(__xludf.DUMMYFUNCTION("""COMPUTED_VALUE"""),"X1ZRQ")</f>
        <v>X1ZRQ</v>
      </c>
      <c r="B1497" s="7" t="s">
        <v>1986</v>
      </c>
      <c r="C1497" s="7" t="s">
        <v>1972</v>
      </c>
      <c r="D1497" s="7" t="s">
        <v>1982</v>
      </c>
      <c r="E1497" s="8">
        <v>35728</v>
      </c>
      <c r="F1497" s="10" t="s">
        <v>2136</v>
      </c>
    </row>
    <row r="1498" spans="1:6" ht="14.25" x14ac:dyDescent="0.45">
      <c r="A1498" s="6" t="str">
        <f ca="1">IFERROR(__xludf.DUMMYFUNCTION("""COMPUTED_VALUE"""),"XA6LOA7")</f>
        <v>XA6LOA7</v>
      </c>
      <c r="B1498" s="7" t="s">
        <v>2228</v>
      </c>
      <c r="C1498" s="7" t="s">
        <v>1977</v>
      </c>
      <c r="D1498" s="7" t="s">
        <v>1974</v>
      </c>
      <c r="E1498" s="8">
        <v>35728</v>
      </c>
      <c r="F1498" s="10" t="s">
        <v>2193</v>
      </c>
    </row>
    <row r="1499" spans="1:6" ht="14.25" x14ac:dyDescent="0.45">
      <c r="A1499" s="6" t="str">
        <f ca="1">IFERROR(__xludf.DUMMYFUNCTION("""COMPUTED_VALUE"""),"X2B130")</f>
        <v>X2B130</v>
      </c>
      <c r="B1499" s="7" t="s">
        <v>1980</v>
      </c>
      <c r="C1499" s="7" t="s">
        <v>1977</v>
      </c>
      <c r="D1499" s="7" t="s">
        <v>2072</v>
      </c>
      <c r="E1499" s="8">
        <v>35729</v>
      </c>
      <c r="F1499" s="10" t="s">
        <v>2186</v>
      </c>
    </row>
    <row r="1500" spans="1:6" ht="14.25" x14ac:dyDescent="0.45">
      <c r="A1500" s="6" t="str">
        <f ca="1">IFERROR(__xludf.DUMMYFUNCTION("""COMPUTED_VALUE"""),"X1YKT")</f>
        <v>X1YKT</v>
      </c>
      <c r="B1500" s="7" t="s">
        <v>1971</v>
      </c>
      <c r="C1500" s="7" t="s">
        <v>1974</v>
      </c>
      <c r="D1500" s="7" t="s">
        <v>1978</v>
      </c>
      <c r="E1500" s="8">
        <v>35729</v>
      </c>
      <c r="F1500" s="9">
        <v>43596</v>
      </c>
    </row>
    <row r="1501" spans="1:6" ht="14.25" x14ac:dyDescent="0.45">
      <c r="A1501" s="6" t="str">
        <f ca="1">IFERROR(__xludf.DUMMYFUNCTION("""COMPUTED_VALUE"""),"X3859")</f>
        <v>X3859</v>
      </c>
      <c r="B1501" s="7" t="s">
        <v>1980</v>
      </c>
      <c r="C1501" s="7" t="s">
        <v>1972</v>
      </c>
      <c r="D1501" s="7" t="s">
        <v>1987</v>
      </c>
      <c r="E1501" s="8">
        <v>35731</v>
      </c>
      <c r="F1501" s="10" t="s">
        <v>2170</v>
      </c>
    </row>
    <row r="1502" spans="1:6" ht="14.25" x14ac:dyDescent="0.45">
      <c r="A1502" s="6" t="str">
        <f ca="1">IFERROR(__xludf.DUMMYFUNCTION("""COMPUTED_VALUE"""),"XOP4ZCB")</f>
        <v>XOP4ZCB</v>
      </c>
      <c r="B1502" s="7" t="s">
        <v>1971</v>
      </c>
      <c r="C1502" s="7" t="s">
        <v>1972</v>
      </c>
      <c r="D1502" s="7" t="s">
        <v>1975</v>
      </c>
      <c r="E1502" s="8">
        <v>35731</v>
      </c>
      <c r="F1502" s="10" t="s">
        <v>2245</v>
      </c>
    </row>
    <row r="1503" spans="1:6" ht="14.25" x14ac:dyDescent="0.45">
      <c r="A1503" s="6" t="str">
        <f ca="1">IFERROR(__xludf.DUMMYFUNCTION("""COMPUTED_VALUE"""),"X2DFN")</f>
        <v>X2DFN</v>
      </c>
      <c r="B1503" s="7" t="s">
        <v>1971</v>
      </c>
      <c r="C1503" s="7" t="s">
        <v>1972</v>
      </c>
      <c r="D1503" s="7" t="s">
        <v>1974</v>
      </c>
      <c r="E1503" s="8">
        <v>35732</v>
      </c>
      <c r="F1503" s="10" t="s">
        <v>2046</v>
      </c>
    </row>
    <row r="1504" spans="1:6" ht="14.25" x14ac:dyDescent="0.45">
      <c r="A1504" s="6" t="str">
        <f ca="1">IFERROR(__xludf.DUMMYFUNCTION("""COMPUTED_VALUE"""),"X2C1A6")</f>
        <v>X2C1A6</v>
      </c>
      <c r="B1504" s="7" t="s">
        <v>1986</v>
      </c>
      <c r="C1504" s="7" t="s">
        <v>1977</v>
      </c>
      <c r="D1504" s="7" t="s">
        <v>1973</v>
      </c>
      <c r="E1504" s="8">
        <v>35739</v>
      </c>
      <c r="F1504" s="10" t="s">
        <v>2151</v>
      </c>
    </row>
    <row r="1505" spans="1:6" ht="14.25" x14ac:dyDescent="0.45">
      <c r="A1505" s="6" t="str">
        <f ca="1">IFERROR(__xludf.DUMMYFUNCTION("""COMPUTED_VALUE"""),"XPZ338H")</f>
        <v>XPZ338H</v>
      </c>
      <c r="B1505" s="7" t="s">
        <v>1971</v>
      </c>
      <c r="C1505" s="7" t="s">
        <v>1972</v>
      </c>
      <c r="D1505" s="7" t="s">
        <v>1975</v>
      </c>
      <c r="E1505" s="8">
        <v>35741</v>
      </c>
      <c r="F1505" s="10" t="s">
        <v>2258</v>
      </c>
    </row>
    <row r="1506" spans="1:6" ht="14.25" x14ac:dyDescent="0.45">
      <c r="A1506" s="6" t="str">
        <f ca="1">IFERROR(__xludf.DUMMYFUNCTION("""COMPUTED_VALUE"""),"X3705")</f>
        <v>X3705</v>
      </c>
      <c r="B1506" s="7" t="s">
        <v>1980</v>
      </c>
      <c r="C1506" s="7" t="s">
        <v>1972</v>
      </c>
      <c r="D1506" s="7" t="s">
        <v>1993</v>
      </c>
      <c r="E1506" s="8">
        <v>35743</v>
      </c>
      <c r="F1506" s="10" t="s">
        <v>2180</v>
      </c>
    </row>
    <row r="1507" spans="1:6" ht="14.25" x14ac:dyDescent="0.45">
      <c r="A1507" s="6" t="str">
        <f ca="1">IFERROR(__xludf.DUMMYFUNCTION("""COMPUTED_VALUE"""),"X3305")</f>
        <v>X3305</v>
      </c>
      <c r="B1507" s="7" t="s">
        <v>1980</v>
      </c>
      <c r="C1507" s="7" t="s">
        <v>1981</v>
      </c>
      <c r="D1507" s="7" t="s">
        <v>1982</v>
      </c>
      <c r="E1507" s="8">
        <v>35761</v>
      </c>
      <c r="F1507" s="10" t="s">
        <v>2117</v>
      </c>
    </row>
    <row r="1508" spans="1:6" ht="14.25" x14ac:dyDescent="0.45">
      <c r="A1508" s="6" t="str">
        <f ca="1">IFERROR(__xludf.DUMMYFUNCTION("""COMPUTED_VALUE"""),"X1KT7")</f>
        <v>X1KT7</v>
      </c>
      <c r="B1508" s="7" t="s">
        <v>1971</v>
      </c>
      <c r="C1508" s="7" t="s">
        <v>1972</v>
      </c>
      <c r="D1508" s="7" t="s">
        <v>1974</v>
      </c>
      <c r="E1508" s="8">
        <v>35762</v>
      </c>
      <c r="F1508" s="10" t="s">
        <v>2137</v>
      </c>
    </row>
    <row r="1509" spans="1:6" ht="14.25" x14ac:dyDescent="0.45">
      <c r="A1509" s="6" t="str">
        <f ca="1">IFERROR(__xludf.DUMMYFUNCTION("""COMPUTED_VALUE"""),"XKRKPRR")</f>
        <v>XKRKPRR</v>
      </c>
      <c r="B1509" s="7" t="s">
        <v>1971</v>
      </c>
      <c r="C1509" s="7" t="s">
        <v>1972</v>
      </c>
      <c r="D1509" s="7" t="s">
        <v>1974</v>
      </c>
      <c r="E1509" s="8">
        <v>35773</v>
      </c>
      <c r="F1509" s="9">
        <v>44326</v>
      </c>
    </row>
    <row r="1510" spans="1:6" ht="14.25" x14ac:dyDescent="0.45">
      <c r="A1510" s="6" t="str">
        <f ca="1">IFERROR(__xludf.DUMMYFUNCTION("""COMPUTED_VALUE"""),"X2DXY")</f>
        <v>X2DXY</v>
      </c>
      <c r="B1510" s="7" t="s">
        <v>1980</v>
      </c>
      <c r="C1510" s="7" t="s">
        <v>1977</v>
      </c>
      <c r="D1510" s="7" t="s">
        <v>1982</v>
      </c>
      <c r="E1510" s="8">
        <v>35774</v>
      </c>
      <c r="F1510" s="10" t="s">
        <v>2152</v>
      </c>
    </row>
    <row r="1511" spans="1:6" ht="14.25" x14ac:dyDescent="0.45">
      <c r="A1511" s="6" t="str">
        <f ca="1">IFERROR(__xludf.DUMMYFUNCTION("""COMPUTED_VALUE"""),"X2C12P")</f>
        <v>X2C12P</v>
      </c>
      <c r="B1511" s="7" t="s">
        <v>1980</v>
      </c>
      <c r="C1511" s="7" t="s">
        <v>1972</v>
      </c>
      <c r="D1511" s="7" t="s">
        <v>1982</v>
      </c>
      <c r="E1511" s="8">
        <v>35780</v>
      </c>
      <c r="F1511" s="10" t="s">
        <v>2019</v>
      </c>
    </row>
    <row r="1512" spans="1:6" ht="14.25" x14ac:dyDescent="0.45">
      <c r="A1512" s="6" t="str">
        <f ca="1">IFERROR(__xludf.DUMMYFUNCTION("""COMPUTED_VALUE"""),"XC4X2VJ")</f>
        <v>XC4X2VJ</v>
      </c>
      <c r="B1512" s="7" t="s">
        <v>1971</v>
      </c>
      <c r="C1512" s="7" t="s">
        <v>1972</v>
      </c>
      <c r="D1512" s="7" t="s">
        <v>1974</v>
      </c>
      <c r="E1512" s="8">
        <v>35784</v>
      </c>
      <c r="F1512" s="10" t="s">
        <v>2307</v>
      </c>
    </row>
    <row r="1513" spans="1:6" ht="14.25" x14ac:dyDescent="0.45">
      <c r="A1513" s="6" t="str">
        <f ca="1">IFERROR(__xludf.DUMMYFUNCTION("""COMPUTED_VALUE"""),"XPLLKL8")</f>
        <v>XPLLKL8</v>
      </c>
      <c r="B1513" s="7" t="s">
        <v>1971</v>
      </c>
      <c r="C1513" s="7" t="s">
        <v>1993</v>
      </c>
      <c r="D1513" s="7" t="s">
        <v>1993</v>
      </c>
      <c r="E1513" s="8">
        <v>35786</v>
      </c>
      <c r="F1513" s="10" t="s">
        <v>2324</v>
      </c>
    </row>
    <row r="1514" spans="1:6" ht="14.25" x14ac:dyDescent="0.45">
      <c r="A1514" s="6" t="str">
        <f ca="1">IFERROR(__xludf.DUMMYFUNCTION("""COMPUTED_VALUE"""),"XLIJNQD")</f>
        <v>XLIJNQD</v>
      </c>
      <c r="B1514" s="7" t="s">
        <v>1971</v>
      </c>
      <c r="C1514" s="7" t="s">
        <v>1972</v>
      </c>
      <c r="D1514" s="7" t="s">
        <v>1993</v>
      </c>
      <c r="E1514" s="8">
        <v>35789</v>
      </c>
      <c r="F1514" s="10" t="s">
        <v>2287</v>
      </c>
    </row>
    <row r="1515" spans="1:6" ht="14.25" x14ac:dyDescent="0.45">
      <c r="A1515" s="6" t="str">
        <f ca="1">IFERROR(__xludf.DUMMYFUNCTION("""COMPUTED_VALUE"""),"X2BP3")</f>
        <v>X2BP3</v>
      </c>
      <c r="B1515" s="7" t="s">
        <v>1971</v>
      </c>
      <c r="C1515" s="7" t="s">
        <v>1977</v>
      </c>
      <c r="D1515" s="7" t="s">
        <v>1990</v>
      </c>
      <c r="E1515" s="8">
        <v>35794</v>
      </c>
      <c r="F1515" s="10" t="s">
        <v>2005</v>
      </c>
    </row>
    <row r="1516" spans="1:6" ht="14.25" x14ac:dyDescent="0.45">
      <c r="A1516" s="6" t="str">
        <f ca="1">IFERROR(__xludf.DUMMYFUNCTION("""COMPUTED_VALUE"""),"XKAKXPB")</f>
        <v>XKAKXPB</v>
      </c>
      <c r="B1516" s="7" t="s">
        <v>1971</v>
      </c>
      <c r="C1516" s="7" t="s">
        <v>1972</v>
      </c>
      <c r="D1516" s="7" t="s">
        <v>1987</v>
      </c>
      <c r="E1516" s="8">
        <v>35805</v>
      </c>
      <c r="F1516" s="9">
        <v>44386</v>
      </c>
    </row>
    <row r="1517" spans="1:6" ht="14.25" x14ac:dyDescent="0.45">
      <c r="A1517" s="6" t="str">
        <f ca="1">IFERROR(__xludf.DUMMYFUNCTION("""COMPUTED_VALUE"""),"XLJPGKD")</f>
        <v>XLJPGKD</v>
      </c>
      <c r="B1517" s="7" t="s">
        <v>1971</v>
      </c>
      <c r="C1517" s="7" t="s">
        <v>1977</v>
      </c>
      <c r="D1517" s="7" t="s">
        <v>1990</v>
      </c>
      <c r="E1517" s="8">
        <v>35808</v>
      </c>
      <c r="F1517" s="10" t="s">
        <v>2258</v>
      </c>
    </row>
    <row r="1518" spans="1:6" ht="14.25" x14ac:dyDescent="0.45">
      <c r="A1518" s="6" t="str">
        <f ca="1">IFERROR(__xludf.DUMMYFUNCTION("""COMPUTED_VALUE"""),"XPUOP1Q")</f>
        <v>XPUOP1Q</v>
      </c>
      <c r="B1518" s="7" t="s">
        <v>1986</v>
      </c>
      <c r="C1518" s="7" t="s">
        <v>1972</v>
      </c>
      <c r="D1518" s="7" t="s">
        <v>1978</v>
      </c>
      <c r="E1518" s="8">
        <v>35809</v>
      </c>
      <c r="F1518" s="9">
        <v>44540</v>
      </c>
    </row>
    <row r="1519" spans="1:6" ht="14.25" x14ac:dyDescent="0.45">
      <c r="A1519" s="6" t="str">
        <f ca="1">IFERROR(__xludf.DUMMYFUNCTION("""COMPUTED_VALUE"""),"X2TUOAM")</f>
        <v>X2TUOAM</v>
      </c>
      <c r="B1519" s="7" t="s">
        <v>1971</v>
      </c>
      <c r="C1519" s="7" t="s">
        <v>1974</v>
      </c>
      <c r="D1519" s="7" t="s">
        <v>1982</v>
      </c>
      <c r="E1519" s="8">
        <v>35812</v>
      </c>
      <c r="F1519" s="9">
        <v>44510</v>
      </c>
    </row>
    <row r="1520" spans="1:6" ht="14.25" x14ac:dyDescent="0.45">
      <c r="A1520" s="6" t="str">
        <f ca="1">IFERROR(__xludf.DUMMYFUNCTION("""COMPUTED_VALUE"""),"X1X11Z")</f>
        <v>X1X11Z</v>
      </c>
      <c r="B1520" s="7" t="s">
        <v>1986</v>
      </c>
      <c r="C1520" s="7" t="s">
        <v>1972</v>
      </c>
      <c r="D1520" s="7" t="s">
        <v>1995</v>
      </c>
      <c r="E1520" s="8">
        <v>35813</v>
      </c>
      <c r="F1520" s="10" t="s">
        <v>2043</v>
      </c>
    </row>
    <row r="1521" spans="1:6" ht="14.25" x14ac:dyDescent="0.45">
      <c r="A1521" s="6" t="str">
        <f ca="1">IFERROR(__xludf.DUMMYFUNCTION("""COMPUTED_VALUE"""),"XP5MGAC")</f>
        <v>XP5MGAC</v>
      </c>
      <c r="B1521" s="7" t="s">
        <v>1971</v>
      </c>
      <c r="C1521" s="7" t="s">
        <v>1972</v>
      </c>
      <c r="D1521" s="7" t="s">
        <v>1984</v>
      </c>
      <c r="E1521" s="8">
        <v>35814</v>
      </c>
      <c r="F1521" s="10" t="s">
        <v>2272</v>
      </c>
    </row>
    <row r="1522" spans="1:6" ht="14.25" x14ac:dyDescent="0.45">
      <c r="A1522" s="6" t="str">
        <f ca="1">IFERROR(__xludf.DUMMYFUNCTION("""COMPUTED_VALUE"""),"X22R8")</f>
        <v>X22R8</v>
      </c>
      <c r="B1522" s="7" t="s">
        <v>1971</v>
      </c>
      <c r="C1522" s="7" t="s">
        <v>1972</v>
      </c>
      <c r="D1522" s="7" t="s">
        <v>2007</v>
      </c>
      <c r="E1522" s="8">
        <v>35819</v>
      </c>
      <c r="F1522" s="10" t="s">
        <v>2142</v>
      </c>
    </row>
    <row r="1523" spans="1:6" ht="14.25" x14ac:dyDescent="0.45">
      <c r="A1523" s="6" t="str">
        <f ca="1">IFERROR(__xludf.DUMMYFUNCTION("""COMPUTED_VALUE"""),"XMUHTI2")</f>
        <v>XMUHTI2</v>
      </c>
      <c r="B1523" s="7" t="s">
        <v>1971</v>
      </c>
      <c r="C1523" s="7" t="s">
        <v>1972</v>
      </c>
      <c r="D1523" s="7" t="s">
        <v>1975</v>
      </c>
      <c r="E1523" s="8">
        <v>35821</v>
      </c>
      <c r="F1523" s="9">
        <v>44510</v>
      </c>
    </row>
    <row r="1524" spans="1:6" ht="14.25" x14ac:dyDescent="0.45">
      <c r="A1524" s="6" t="str">
        <f ca="1">IFERROR(__xludf.DUMMYFUNCTION("""COMPUTED_VALUE"""),"X2BS4")</f>
        <v>X2BS4</v>
      </c>
      <c r="B1524" s="7" t="s">
        <v>1971</v>
      </c>
      <c r="C1524" s="7" t="s">
        <v>1972</v>
      </c>
      <c r="D1524" s="7" t="s">
        <v>1973</v>
      </c>
      <c r="E1524" s="8">
        <v>35823</v>
      </c>
      <c r="F1524" s="10" t="s">
        <v>2009</v>
      </c>
    </row>
    <row r="1525" spans="1:6" ht="14.25" x14ac:dyDescent="0.45">
      <c r="A1525" s="6" t="str">
        <f ca="1">IFERROR(__xludf.DUMMYFUNCTION("""COMPUTED_VALUE"""),"XIVIYQF")</f>
        <v>XIVIYQF</v>
      </c>
      <c r="B1525" s="7" t="s">
        <v>1971</v>
      </c>
      <c r="C1525" s="7" t="s">
        <v>1981</v>
      </c>
      <c r="D1525" s="7" t="s">
        <v>1974</v>
      </c>
      <c r="E1525" s="8">
        <v>35825</v>
      </c>
      <c r="F1525" s="10" t="s">
        <v>2245</v>
      </c>
    </row>
    <row r="1526" spans="1:6" ht="14.25" x14ac:dyDescent="0.45">
      <c r="A1526" s="6" t="str">
        <f ca="1">IFERROR(__xludf.DUMMYFUNCTION("""COMPUTED_VALUE"""),"XC5367B")</f>
        <v>XC5367B</v>
      </c>
      <c r="B1526" s="7" t="s">
        <v>1971</v>
      </c>
      <c r="C1526" s="7" t="s">
        <v>1972</v>
      </c>
      <c r="D1526" s="7" t="s">
        <v>1982</v>
      </c>
      <c r="E1526" s="8">
        <v>35829</v>
      </c>
      <c r="F1526" s="10" t="s">
        <v>2261</v>
      </c>
    </row>
    <row r="1527" spans="1:6" ht="14.25" x14ac:dyDescent="0.45">
      <c r="A1527" s="6" t="str">
        <f ca="1">IFERROR(__xludf.DUMMYFUNCTION("""COMPUTED_VALUE"""),"X3657")</f>
        <v>X3657</v>
      </c>
      <c r="B1527" s="7" t="s">
        <v>1980</v>
      </c>
      <c r="C1527" s="10">
        <v>0</v>
      </c>
      <c r="D1527" s="10">
        <v>0</v>
      </c>
      <c r="E1527" s="8">
        <v>35837</v>
      </c>
      <c r="F1527" s="9">
        <v>44379</v>
      </c>
    </row>
    <row r="1528" spans="1:6" ht="14.25" x14ac:dyDescent="0.45">
      <c r="A1528" s="6" t="str">
        <f ca="1">IFERROR(__xludf.DUMMYFUNCTION("""COMPUTED_VALUE"""),"XST1QP8")</f>
        <v>XST1QP8</v>
      </c>
      <c r="B1528" s="7" t="s">
        <v>1971</v>
      </c>
      <c r="C1528" s="7" t="s">
        <v>1972</v>
      </c>
      <c r="D1528" s="7" t="s">
        <v>1975</v>
      </c>
      <c r="E1528" s="8">
        <v>35838</v>
      </c>
      <c r="F1528" s="10" t="s">
        <v>2261</v>
      </c>
    </row>
    <row r="1529" spans="1:6" ht="14.25" x14ac:dyDescent="0.45">
      <c r="A1529" s="6" t="str">
        <f ca="1">IFERROR(__xludf.DUMMYFUNCTION("""COMPUTED_VALUE"""),"X2CW5")</f>
        <v>X2CW5</v>
      </c>
      <c r="B1529" s="7" t="s">
        <v>1986</v>
      </c>
      <c r="C1529" s="7" t="s">
        <v>1972</v>
      </c>
      <c r="D1529" s="7" t="s">
        <v>1975</v>
      </c>
      <c r="E1529" s="8">
        <v>35845</v>
      </c>
      <c r="F1529" s="9">
        <v>44287</v>
      </c>
    </row>
    <row r="1530" spans="1:6" ht="14.25" x14ac:dyDescent="0.45">
      <c r="A1530" s="6" t="str">
        <f ca="1">IFERROR(__xludf.DUMMYFUNCTION("""COMPUTED_VALUE"""),"X7J6PLZ")</f>
        <v>X7J6PLZ</v>
      </c>
      <c r="B1530" s="7" t="s">
        <v>1986</v>
      </c>
      <c r="C1530" s="7" t="s">
        <v>1981</v>
      </c>
      <c r="D1530" s="7" t="s">
        <v>1982</v>
      </c>
      <c r="E1530" s="8">
        <v>35845</v>
      </c>
      <c r="F1530" s="9">
        <v>44442</v>
      </c>
    </row>
    <row r="1531" spans="1:6" ht="14.25" x14ac:dyDescent="0.45">
      <c r="A1531" s="6" t="str">
        <f ca="1">IFERROR(__xludf.DUMMYFUNCTION("""COMPUTED_VALUE"""),"XYUPXIN")</f>
        <v>XYUPXIN</v>
      </c>
      <c r="B1531" s="7" t="s">
        <v>1971</v>
      </c>
      <c r="C1531" s="7" t="s">
        <v>1972</v>
      </c>
      <c r="D1531" s="7" t="s">
        <v>1973</v>
      </c>
      <c r="E1531" s="8">
        <v>35854</v>
      </c>
      <c r="F1531" s="10" t="s">
        <v>2220</v>
      </c>
    </row>
    <row r="1532" spans="1:6" ht="14.25" x14ac:dyDescent="0.45">
      <c r="A1532" s="6" t="str">
        <f ca="1">IFERROR(__xludf.DUMMYFUNCTION("""COMPUTED_VALUE"""),"X1Z6V")</f>
        <v>X1Z6V</v>
      </c>
      <c r="B1532" s="7" t="s">
        <v>1986</v>
      </c>
      <c r="C1532" s="7" t="s">
        <v>1981</v>
      </c>
      <c r="D1532" s="7" t="s">
        <v>1982</v>
      </c>
      <c r="E1532" s="8">
        <v>35855</v>
      </c>
      <c r="F1532" s="10" t="s">
        <v>2107</v>
      </c>
    </row>
    <row r="1533" spans="1:6" ht="14.25" x14ac:dyDescent="0.45">
      <c r="A1533" s="6" t="str">
        <f ca="1">IFERROR(__xludf.DUMMYFUNCTION("""COMPUTED_VALUE"""),"X2CUS")</f>
        <v>X2CUS</v>
      </c>
      <c r="B1533" s="7" t="s">
        <v>2021</v>
      </c>
      <c r="C1533" s="7" t="s">
        <v>1972</v>
      </c>
      <c r="D1533" s="7" t="s">
        <v>2007</v>
      </c>
      <c r="E1533" s="8">
        <v>35856</v>
      </c>
      <c r="F1533" s="9">
        <v>44287</v>
      </c>
    </row>
    <row r="1534" spans="1:6" ht="14.25" x14ac:dyDescent="0.45">
      <c r="A1534" s="6" t="str">
        <f ca="1">IFERROR(__xludf.DUMMYFUNCTION("""COMPUTED_VALUE"""),"X2T8QUH")</f>
        <v>X2T8QUH</v>
      </c>
      <c r="B1534" s="7" t="s">
        <v>1971</v>
      </c>
      <c r="C1534" s="7" t="s">
        <v>1972</v>
      </c>
      <c r="D1534" s="7" t="s">
        <v>2007</v>
      </c>
      <c r="E1534" s="8">
        <v>35857</v>
      </c>
      <c r="F1534" s="10" t="s">
        <v>2242</v>
      </c>
    </row>
    <row r="1535" spans="1:6" ht="14.25" x14ac:dyDescent="0.45">
      <c r="A1535" s="6" t="str">
        <f ca="1">IFERROR(__xludf.DUMMYFUNCTION("""COMPUTED_VALUE"""),"X294W")</f>
        <v>X294W</v>
      </c>
      <c r="B1535" s="7" t="s">
        <v>1986</v>
      </c>
      <c r="C1535" s="7" t="s">
        <v>1972</v>
      </c>
      <c r="D1535" s="7" t="s">
        <v>1995</v>
      </c>
      <c r="E1535" s="8">
        <v>35862</v>
      </c>
      <c r="F1535" s="9">
        <v>43871</v>
      </c>
    </row>
    <row r="1536" spans="1:6" ht="14.25" x14ac:dyDescent="0.45">
      <c r="A1536" s="6" t="str">
        <f ca="1">IFERROR(__xludf.DUMMYFUNCTION("""COMPUTED_VALUE"""),"X3MVNG5")</f>
        <v>X3MVNG5</v>
      </c>
      <c r="B1536" s="7" t="s">
        <v>1971</v>
      </c>
      <c r="C1536" s="7" t="s">
        <v>1972</v>
      </c>
      <c r="D1536" s="7" t="s">
        <v>1975</v>
      </c>
      <c r="E1536" s="8">
        <v>35864</v>
      </c>
      <c r="F1536" s="9">
        <v>44411</v>
      </c>
    </row>
    <row r="1537" spans="1:6" ht="14.25" x14ac:dyDescent="0.45">
      <c r="A1537" s="6" t="str">
        <f ca="1">IFERROR(__xludf.DUMMYFUNCTION("""COMPUTED_VALUE"""),"XGEDQWD")</f>
        <v>XGEDQWD</v>
      </c>
      <c r="B1537" s="7" t="s">
        <v>1971</v>
      </c>
      <c r="C1537" s="7" t="s">
        <v>1972</v>
      </c>
      <c r="D1537" s="7" t="s">
        <v>1997</v>
      </c>
      <c r="E1537" s="8">
        <v>35864</v>
      </c>
      <c r="F1537" s="10" t="s">
        <v>2298</v>
      </c>
    </row>
    <row r="1538" spans="1:6" ht="14.25" x14ac:dyDescent="0.45">
      <c r="A1538" s="6" t="str">
        <f ca="1">IFERROR(__xludf.DUMMYFUNCTION("""COMPUTED_VALUE"""),"XIF26VF")</f>
        <v>XIF26VF</v>
      </c>
      <c r="B1538" s="7" t="s">
        <v>1971</v>
      </c>
      <c r="C1538" s="7" t="s">
        <v>1977</v>
      </c>
      <c r="D1538" s="7" t="s">
        <v>1974</v>
      </c>
      <c r="E1538" s="8">
        <v>35866</v>
      </c>
      <c r="F1538" s="10" t="s">
        <v>2258</v>
      </c>
    </row>
    <row r="1539" spans="1:6" ht="14.25" x14ac:dyDescent="0.45">
      <c r="A1539" s="6" t="str">
        <f ca="1">IFERROR(__xludf.DUMMYFUNCTION("""COMPUTED_VALUE"""),"XWS2QOP")</f>
        <v>XWS2QOP</v>
      </c>
      <c r="B1539" s="7" t="s">
        <v>1971</v>
      </c>
      <c r="C1539" s="7" t="s">
        <v>1972</v>
      </c>
      <c r="D1539" s="7" t="s">
        <v>1997</v>
      </c>
      <c r="E1539" s="8">
        <v>35877</v>
      </c>
      <c r="F1539" s="10" t="s">
        <v>2220</v>
      </c>
    </row>
    <row r="1540" spans="1:6" ht="14.25" x14ac:dyDescent="0.45">
      <c r="A1540" s="6" t="str">
        <f ca="1">IFERROR(__xludf.DUMMYFUNCTION("""COMPUTED_VALUE"""),"X27J7")</f>
        <v>X27J7</v>
      </c>
      <c r="B1540" s="7" t="s">
        <v>1971</v>
      </c>
      <c r="C1540" s="7" t="s">
        <v>1974</v>
      </c>
      <c r="D1540" s="7" t="s">
        <v>1982</v>
      </c>
      <c r="E1540" s="8">
        <v>35879</v>
      </c>
      <c r="F1540" s="10" t="s">
        <v>2148</v>
      </c>
    </row>
    <row r="1541" spans="1:6" ht="14.25" x14ac:dyDescent="0.45">
      <c r="A1541" s="6" t="str">
        <f ca="1">IFERROR(__xludf.DUMMYFUNCTION("""COMPUTED_VALUE"""),"X8RIFJ1")</f>
        <v>X8RIFJ1</v>
      </c>
      <c r="B1541" s="7" t="s">
        <v>1971</v>
      </c>
      <c r="C1541" s="7" t="s">
        <v>1972</v>
      </c>
      <c r="D1541" s="7" t="s">
        <v>1975</v>
      </c>
      <c r="E1541" s="8">
        <v>35881</v>
      </c>
      <c r="F1541" s="9">
        <v>44503</v>
      </c>
    </row>
    <row r="1542" spans="1:6" ht="14.25" x14ac:dyDescent="0.45">
      <c r="A1542" s="6" t="str">
        <f ca="1">IFERROR(__xludf.DUMMYFUNCTION("""COMPUTED_VALUE"""),"X6VJK2S")</f>
        <v>X6VJK2S</v>
      </c>
      <c r="B1542" s="7" t="s">
        <v>1971</v>
      </c>
      <c r="C1542" s="7" t="s">
        <v>1972</v>
      </c>
      <c r="D1542" s="7" t="s">
        <v>1993</v>
      </c>
      <c r="E1542" s="8">
        <v>35886</v>
      </c>
      <c r="F1542" s="10" t="s">
        <v>2242</v>
      </c>
    </row>
    <row r="1543" spans="1:6" ht="14.25" x14ac:dyDescent="0.45">
      <c r="A1543" s="6" t="str">
        <f ca="1">IFERROR(__xludf.DUMMYFUNCTION("""COMPUTED_VALUE"""),"X29BW")</f>
        <v>X29BW</v>
      </c>
      <c r="B1543" s="7" t="s">
        <v>1971</v>
      </c>
      <c r="C1543" s="7" t="s">
        <v>1972</v>
      </c>
      <c r="D1543" s="7" t="s">
        <v>1973</v>
      </c>
      <c r="E1543" s="8">
        <v>35887</v>
      </c>
      <c r="F1543" s="9">
        <v>43961</v>
      </c>
    </row>
    <row r="1544" spans="1:6" ht="14.25" x14ac:dyDescent="0.45">
      <c r="A1544" s="6" t="str">
        <f ca="1">IFERROR(__xludf.DUMMYFUNCTION("""COMPUTED_VALUE"""),"X1W15G")</f>
        <v>X1W15G</v>
      </c>
      <c r="B1544" s="7" t="s">
        <v>1980</v>
      </c>
      <c r="C1544" s="7" t="s">
        <v>1977</v>
      </c>
      <c r="D1544" s="7" t="s">
        <v>1993</v>
      </c>
      <c r="E1544" s="8">
        <v>35891</v>
      </c>
      <c r="F1544" s="10" t="s">
        <v>2239</v>
      </c>
    </row>
    <row r="1545" spans="1:6" ht="14.25" x14ac:dyDescent="0.45">
      <c r="A1545" s="6" t="str">
        <f ca="1">IFERROR(__xludf.DUMMYFUNCTION("""COMPUTED_VALUE"""),"XOEKPJ2")</f>
        <v>XOEKPJ2</v>
      </c>
      <c r="B1545" s="7" t="s">
        <v>1971</v>
      </c>
      <c r="C1545" s="7" t="s">
        <v>1974</v>
      </c>
      <c r="D1545" s="7" t="s">
        <v>1974</v>
      </c>
      <c r="E1545" s="8">
        <v>35895</v>
      </c>
      <c r="F1545" s="10" t="s">
        <v>2246</v>
      </c>
    </row>
    <row r="1546" spans="1:6" ht="14.25" x14ac:dyDescent="0.45">
      <c r="A1546" s="6" t="str">
        <f ca="1">IFERROR(__xludf.DUMMYFUNCTION("""COMPUTED_VALUE"""),"XURDKXZ")</f>
        <v>XURDKXZ</v>
      </c>
      <c r="B1546" s="7" t="s">
        <v>1971</v>
      </c>
      <c r="C1546" s="7" t="s">
        <v>1977</v>
      </c>
      <c r="D1546" s="7" t="s">
        <v>1997</v>
      </c>
      <c r="E1546" s="8">
        <v>35897</v>
      </c>
      <c r="F1546" s="10" t="s">
        <v>2329</v>
      </c>
    </row>
    <row r="1547" spans="1:6" ht="14.25" x14ac:dyDescent="0.45">
      <c r="A1547" s="6" t="str">
        <f ca="1">IFERROR(__xludf.DUMMYFUNCTION("""COMPUTED_VALUE"""),"XVAI4PQ")</f>
        <v>XVAI4PQ</v>
      </c>
      <c r="B1547" s="7" t="s">
        <v>2021</v>
      </c>
      <c r="C1547" s="7" t="s">
        <v>1972</v>
      </c>
      <c r="D1547" s="7" t="s">
        <v>1974</v>
      </c>
      <c r="E1547" s="8">
        <v>35903</v>
      </c>
      <c r="F1547" s="10" t="s">
        <v>2193</v>
      </c>
    </row>
    <row r="1548" spans="1:6" ht="14.25" x14ac:dyDescent="0.45">
      <c r="A1548" s="6" t="str">
        <f ca="1">IFERROR(__xludf.DUMMYFUNCTION("""COMPUTED_VALUE"""),"X2AVP")</f>
        <v>X2AVP</v>
      </c>
      <c r="B1548" s="7" t="s">
        <v>1971</v>
      </c>
      <c r="C1548" s="7" t="s">
        <v>1972</v>
      </c>
      <c r="D1548" s="7" t="s">
        <v>2007</v>
      </c>
      <c r="E1548" s="8">
        <v>35910</v>
      </c>
      <c r="F1548" s="9">
        <v>44085</v>
      </c>
    </row>
    <row r="1549" spans="1:6" ht="14.25" x14ac:dyDescent="0.45">
      <c r="A1549" s="6" t="str">
        <f ca="1">IFERROR(__xludf.DUMMYFUNCTION("""COMPUTED_VALUE"""),"X2C16E")</f>
        <v>X2C16E</v>
      </c>
      <c r="B1549" s="7" t="s">
        <v>1971</v>
      </c>
      <c r="C1549" s="7" t="s">
        <v>1972</v>
      </c>
      <c r="D1549" s="7" t="s">
        <v>1975</v>
      </c>
      <c r="E1549" s="8">
        <v>35922</v>
      </c>
      <c r="F1549" s="10" t="s">
        <v>2086</v>
      </c>
    </row>
    <row r="1550" spans="1:6" ht="14.25" x14ac:dyDescent="0.45">
      <c r="A1550" s="6" t="str">
        <f ca="1">IFERROR(__xludf.DUMMYFUNCTION("""COMPUTED_VALUE"""),"X4J3X6E")</f>
        <v>X4J3X6E</v>
      </c>
      <c r="B1550" s="7" t="s">
        <v>1971</v>
      </c>
      <c r="C1550" s="7" t="s">
        <v>1981</v>
      </c>
      <c r="D1550" s="7" t="s">
        <v>1974</v>
      </c>
      <c r="E1550" s="8">
        <v>35922</v>
      </c>
      <c r="F1550" s="9">
        <v>44420</v>
      </c>
    </row>
    <row r="1551" spans="1:6" ht="14.25" x14ac:dyDescent="0.45">
      <c r="A1551" s="6" t="str">
        <f ca="1">IFERROR(__xludf.DUMMYFUNCTION("""COMPUTED_VALUE"""),"XB3F9WO")</f>
        <v>XB3F9WO</v>
      </c>
      <c r="B1551" s="7" t="s">
        <v>1971</v>
      </c>
      <c r="C1551" s="7" t="s">
        <v>1972</v>
      </c>
      <c r="D1551" s="7" t="s">
        <v>2026</v>
      </c>
      <c r="E1551" s="8">
        <v>35923</v>
      </c>
      <c r="F1551" s="10" t="s">
        <v>2286</v>
      </c>
    </row>
    <row r="1552" spans="1:6" ht="14.25" x14ac:dyDescent="0.45">
      <c r="A1552" s="6" t="str">
        <f ca="1">IFERROR(__xludf.DUMMYFUNCTION("""COMPUTED_VALUE"""),"X3451")</f>
        <v>X3451</v>
      </c>
      <c r="B1552" s="7" t="s">
        <v>1971</v>
      </c>
      <c r="C1552" s="7" t="s">
        <v>1972</v>
      </c>
      <c r="D1552" s="7" t="s">
        <v>1974</v>
      </c>
      <c r="E1552" s="8">
        <v>35930</v>
      </c>
      <c r="F1552" s="9">
        <v>43139</v>
      </c>
    </row>
    <row r="1553" spans="1:6" ht="14.25" x14ac:dyDescent="0.45">
      <c r="A1553" s="6" t="str">
        <f ca="1">IFERROR(__xludf.DUMMYFUNCTION("""COMPUTED_VALUE"""),"X5IFU62")</f>
        <v>X5IFU62</v>
      </c>
      <c r="B1553" s="7" t="s">
        <v>1971</v>
      </c>
      <c r="C1553" s="7" t="s">
        <v>1972</v>
      </c>
      <c r="D1553" s="7" t="s">
        <v>1997</v>
      </c>
      <c r="E1553" s="8">
        <v>35933</v>
      </c>
      <c r="F1553" s="10" t="s">
        <v>2257</v>
      </c>
    </row>
    <row r="1554" spans="1:6" ht="14.25" x14ac:dyDescent="0.45">
      <c r="A1554" s="6" t="str">
        <f ca="1">IFERROR(__xludf.DUMMYFUNCTION("""COMPUTED_VALUE"""),"X5G1DU3")</f>
        <v>X5G1DU3</v>
      </c>
      <c r="B1554" s="7" t="s">
        <v>1971</v>
      </c>
      <c r="C1554" s="7" t="s">
        <v>1972</v>
      </c>
      <c r="D1554" s="7" t="s">
        <v>1982</v>
      </c>
      <c r="E1554" s="8">
        <v>35937</v>
      </c>
      <c r="F1554" s="10" t="s">
        <v>2245</v>
      </c>
    </row>
    <row r="1555" spans="1:6" ht="14.25" x14ac:dyDescent="0.45">
      <c r="A1555" s="6" t="str">
        <f ca="1">IFERROR(__xludf.DUMMYFUNCTION("""COMPUTED_VALUE"""),"X4FKF8C")</f>
        <v>X4FKF8C</v>
      </c>
      <c r="B1555" s="7" t="s">
        <v>1971</v>
      </c>
      <c r="C1555" s="7" t="s">
        <v>1972</v>
      </c>
      <c r="D1555" s="7" t="s">
        <v>1975</v>
      </c>
      <c r="E1555" s="8">
        <v>35943</v>
      </c>
      <c r="F1555" s="10" t="s">
        <v>2242</v>
      </c>
    </row>
    <row r="1556" spans="1:6" ht="14.25" x14ac:dyDescent="0.45">
      <c r="A1556" s="6" t="str">
        <f ca="1">IFERROR(__xludf.DUMMYFUNCTION("""COMPUTED_VALUE"""),"XQ6XY1Y")</f>
        <v>XQ6XY1Y</v>
      </c>
      <c r="B1556" s="7" t="s">
        <v>1971</v>
      </c>
      <c r="C1556" s="7" t="s">
        <v>1972</v>
      </c>
      <c r="D1556" s="7" t="s">
        <v>2007</v>
      </c>
      <c r="E1556" s="8">
        <v>35947</v>
      </c>
      <c r="F1556" s="10" t="s">
        <v>2246</v>
      </c>
    </row>
    <row r="1557" spans="1:6" ht="14.25" x14ac:dyDescent="0.45">
      <c r="A1557" s="6" t="str">
        <f ca="1">IFERROR(__xludf.DUMMYFUNCTION("""COMPUTED_VALUE"""),"X2BWH")</f>
        <v>X2BWH</v>
      </c>
      <c r="B1557" s="7" t="s">
        <v>1971</v>
      </c>
      <c r="C1557" s="7" t="s">
        <v>1972</v>
      </c>
      <c r="D1557" s="7" t="s">
        <v>2007</v>
      </c>
      <c r="E1557" s="8">
        <v>35949</v>
      </c>
      <c r="F1557" s="9">
        <v>43933</v>
      </c>
    </row>
    <row r="1558" spans="1:6" ht="14.25" x14ac:dyDescent="0.45">
      <c r="A1558" s="6" t="str">
        <f ca="1">IFERROR(__xludf.DUMMYFUNCTION("""COMPUTED_VALUE"""),"XY22KVM")</f>
        <v>XY22KVM</v>
      </c>
      <c r="B1558" s="7" t="s">
        <v>1971</v>
      </c>
      <c r="C1558" s="7" t="s">
        <v>1972</v>
      </c>
      <c r="D1558" s="7" t="s">
        <v>1975</v>
      </c>
      <c r="E1558" s="8">
        <v>35949</v>
      </c>
      <c r="F1558" s="9">
        <v>44200</v>
      </c>
    </row>
    <row r="1559" spans="1:6" ht="14.25" x14ac:dyDescent="0.45">
      <c r="A1559" s="6" t="str">
        <f ca="1">IFERROR(__xludf.DUMMYFUNCTION("""COMPUTED_VALUE"""),"XRXA2Q9")</f>
        <v>XRXA2Q9</v>
      </c>
      <c r="B1559" s="7" t="s">
        <v>1971</v>
      </c>
      <c r="C1559" s="7" t="s">
        <v>1972</v>
      </c>
      <c r="D1559" s="7" t="s">
        <v>1975</v>
      </c>
      <c r="E1559" s="8">
        <v>35954</v>
      </c>
      <c r="F1559" s="10" t="s">
        <v>2260</v>
      </c>
    </row>
    <row r="1560" spans="1:6" ht="14.25" x14ac:dyDescent="0.45">
      <c r="A1560" s="6" t="str">
        <f ca="1">IFERROR(__xludf.DUMMYFUNCTION("""COMPUTED_VALUE"""),"X2A22")</f>
        <v>X2A22</v>
      </c>
      <c r="B1560" s="7" t="s">
        <v>1980</v>
      </c>
      <c r="C1560" s="7" t="s">
        <v>1977</v>
      </c>
      <c r="D1560" s="7" t="s">
        <v>1975</v>
      </c>
      <c r="E1560" s="8">
        <v>35965</v>
      </c>
      <c r="F1560" s="10" t="s">
        <v>2128</v>
      </c>
    </row>
    <row r="1561" spans="1:6" ht="14.25" x14ac:dyDescent="0.45">
      <c r="A1561" s="6" t="str">
        <f ca="1">IFERROR(__xludf.DUMMYFUNCTION("""COMPUTED_VALUE"""),"XGTZH3H")</f>
        <v>XGTZH3H</v>
      </c>
      <c r="B1561" s="7" t="s">
        <v>1971</v>
      </c>
      <c r="C1561" s="7" t="s">
        <v>1974</v>
      </c>
      <c r="D1561" s="7" t="s">
        <v>1974</v>
      </c>
      <c r="E1561" s="8">
        <v>35967</v>
      </c>
      <c r="F1561" s="10" t="s">
        <v>2222</v>
      </c>
    </row>
    <row r="1562" spans="1:6" ht="14.25" x14ac:dyDescent="0.45">
      <c r="A1562" s="6" t="str">
        <f ca="1">IFERROR(__xludf.DUMMYFUNCTION("""COMPUTED_VALUE"""),"X2A9G")</f>
        <v>X2A9G</v>
      </c>
      <c r="B1562" s="7" t="s">
        <v>1971</v>
      </c>
      <c r="C1562" s="7" t="s">
        <v>1972</v>
      </c>
      <c r="D1562" s="7" t="s">
        <v>1975</v>
      </c>
      <c r="E1562" s="8">
        <v>35977</v>
      </c>
      <c r="F1562" s="10" t="s">
        <v>2138</v>
      </c>
    </row>
    <row r="1563" spans="1:6" ht="14.25" x14ac:dyDescent="0.45">
      <c r="A1563" s="6" t="str">
        <f ca="1">IFERROR(__xludf.DUMMYFUNCTION("""COMPUTED_VALUE"""),"XHD25PX")</f>
        <v>XHD25PX</v>
      </c>
      <c r="B1563" s="7" t="s">
        <v>1971</v>
      </c>
      <c r="C1563" s="7" t="s">
        <v>1972</v>
      </c>
      <c r="D1563" s="7" t="s">
        <v>1974</v>
      </c>
      <c r="E1563" s="8">
        <v>35977</v>
      </c>
      <c r="F1563" s="10" t="s">
        <v>2257</v>
      </c>
    </row>
    <row r="1564" spans="1:6" ht="14.25" x14ac:dyDescent="0.45">
      <c r="A1564" s="6" t="str">
        <f ca="1">IFERROR(__xludf.DUMMYFUNCTION("""COMPUTED_VALUE"""),"X2C13F")</f>
        <v>X2C13F</v>
      </c>
      <c r="B1564" s="7" t="s">
        <v>1986</v>
      </c>
      <c r="C1564" s="7" t="s">
        <v>1972</v>
      </c>
      <c r="D1564" s="7" t="s">
        <v>1982</v>
      </c>
      <c r="E1564" s="8">
        <v>35978</v>
      </c>
      <c r="F1564" s="10" t="s">
        <v>2019</v>
      </c>
    </row>
    <row r="1565" spans="1:6" ht="14.25" x14ac:dyDescent="0.45">
      <c r="A1565" s="6" t="str">
        <f ca="1">IFERROR(__xludf.DUMMYFUNCTION("""COMPUTED_VALUE"""),"X2B85")</f>
        <v>X2B85</v>
      </c>
      <c r="B1565" s="7" t="s">
        <v>1971</v>
      </c>
      <c r="C1565" s="7" t="s">
        <v>1972</v>
      </c>
      <c r="D1565" s="7" t="s">
        <v>1975</v>
      </c>
      <c r="E1565" s="8">
        <v>35979</v>
      </c>
      <c r="F1565" s="10" t="s">
        <v>2029</v>
      </c>
    </row>
    <row r="1566" spans="1:6" ht="14.25" x14ac:dyDescent="0.45">
      <c r="A1566" s="6" t="str">
        <f ca="1">IFERROR(__xludf.DUMMYFUNCTION("""COMPUTED_VALUE"""),"XZYKBPX")</f>
        <v>XZYKBPX</v>
      </c>
      <c r="B1566" s="7" t="s">
        <v>1971</v>
      </c>
      <c r="C1566" s="7" t="s">
        <v>1972</v>
      </c>
      <c r="D1566" s="7" t="s">
        <v>1975</v>
      </c>
      <c r="E1566" s="8">
        <v>35980</v>
      </c>
      <c r="F1566" s="9">
        <v>44263</v>
      </c>
    </row>
    <row r="1567" spans="1:6" ht="14.25" x14ac:dyDescent="0.45">
      <c r="A1567" s="6" t="str">
        <f ca="1">IFERROR(__xludf.DUMMYFUNCTION("""COMPUTED_VALUE"""),"X2DVX")</f>
        <v>X2DVX</v>
      </c>
      <c r="B1567" s="7" t="s">
        <v>1980</v>
      </c>
      <c r="C1567" s="7" t="s">
        <v>1972</v>
      </c>
      <c r="D1567" s="7" t="s">
        <v>1974</v>
      </c>
      <c r="E1567" s="8">
        <v>35985</v>
      </c>
      <c r="F1567" s="10" t="s">
        <v>2152</v>
      </c>
    </row>
    <row r="1568" spans="1:6" ht="14.25" x14ac:dyDescent="0.45">
      <c r="A1568" s="6" t="str">
        <f ca="1">IFERROR(__xludf.DUMMYFUNCTION("""COMPUTED_VALUE"""),"XEAZ12M")</f>
        <v>XEAZ12M</v>
      </c>
      <c r="B1568" s="7" t="s">
        <v>1971</v>
      </c>
      <c r="C1568" s="7" t="s">
        <v>1972</v>
      </c>
      <c r="D1568" s="7" t="s">
        <v>1987</v>
      </c>
      <c r="E1568" s="8">
        <v>35985</v>
      </c>
      <c r="F1568" s="10" t="s">
        <v>2242</v>
      </c>
    </row>
    <row r="1569" spans="1:6" ht="14.25" x14ac:dyDescent="0.45">
      <c r="A1569" s="6" t="str">
        <f ca="1">IFERROR(__xludf.DUMMYFUNCTION("""COMPUTED_VALUE"""),"XKJPYOZ")</f>
        <v>XKJPYOZ</v>
      </c>
      <c r="B1569" s="7" t="s">
        <v>1971</v>
      </c>
      <c r="C1569" s="7" t="s">
        <v>1972</v>
      </c>
      <c r="D1569" s="7" t="s">
        <v>1975</v>
      </c>
      <c r="E1569" s="8">
        <v>35990</v>
      </c>
      <c r="F1569" s="9">
        <v>44235</v>
      </c>
    </row>
    <row r="1570" spans="1:6" ht="14.25" x14ac:dyDescent="0.45">
      <c r="A1570" s="6" t="str">
        <f ca="1">IFERROR(__xludf.DUMMYFUNCTION("""COMPUTED_VALUE"""),"X1LJQ")</f>
        <v>X1LJQ</v>
      </c>
      <c r="B1570" s="7" t="s">
        <v>1971</v>
      </c>
      <c r="C1570" s="7" t="s">
        <v>1972</v>
      </c>
      <c r="D1570" s="7" t="s">
        <v>1975</v>
      </c>
      <c r="E1570" s="8">
        <v>35991</v>
      </c>
      <c r="F1570" s="9">
        <v>43414</v>
      </c>
    </row>
    <row r="1571" spans="1:6" ht="14.25" x14ac:dyDescent="0.45">
      <c r="A1571" s="6" t="str">
        <f ca="1">IFERROR(__xludf.DUMMYFUNCTION("""COMPUTED_VALUE"""),"XZAEH4T")</f>
        <v>XZAEH4T</v>
      </c>
      <c r="B1571" s="7" t="s">
        <v>1971</v>
      </c>
      <c r="C1571" s="7" t="s">
        <v>1972</v>
      </c>
      <c r="D1571" s="7" t="s">
        <v>2072</v>
      </c>
      <c r="E1571" s="8">
        <v>35996</v>
      </c>
      <c r="F1571" s="10" t="s">
        <v>2192</v>
      </c>
    </row>
    <row r="1572" spans="1:6" ht="14.25" x14ac:dyDescent="0.45">
      <c r="A1572" s="6" t="str">
        <f ca="1">IFERROR(__xludf.DUMMYFUNCTION("""COMPUTED_VALUE"""),"X1MLD")</f>
        <v>X1MLD</v>
      </c>
      <c r="B1572" s="7" t="s">
        <v>1971</v>
      </c>
      <c r="C1572" s="7" t="s">
        <v>1974</v>
      </c>
      <c r="D1572" s="7" t="s">
        <v>1982</v>
      </c>
      <c r="E1572" s="8">
        <v>36000</v>
      </c>
      <c r="F1572" s="10" t="s">
        <v>1992</v>
      </c>
    </row>
    <row r="1573" spans="1:6" ht="14.25" x14ac:dyDescent="0.45">
      <c r="A1573" s="6" t="str">
        <f ca="1">IFERROR(__xludf.DUMMYFUNCTION("""COMPUTED_VALUE"""),"X2DQ0")</f>
        <v>X2DQ0</v>
      </c>
      <c r="B1573" s="7" t="s">
        <v>1971</v>
      </c>
      <c r="C1573" s="7" t="s">
        <v>1972</v>
      </c>
      <c r="D1573" s="7" t="s">
        <v>1993</v>
      </c>
      <c r="E1573" s="8">
        <v>36000</v>
      </c>
      <c r="F1573" s="10" t="s">
        <v>2042</v>
      </c>
    </row>
    <row r="1574" spans="1:6" ht="14.25" x14ac:dyDescent="0.45">
      <c r="A1574" s="6" t="str">
        <f ca="1">IFERROR(__xludf.DUMMYFUNCTION("""COMPUTED_VALUE"""),"X22HE")</f>
        <v>X22HE</v>
      </c>
      <c r="B1574" s="7" t="s">
        <v>1971</v>
      </c>
      <c r="C1574" s="7" t="s">
        <v>1972</v>
      </c>
      <c r="D1574" s="7" t="s">
        <v>2026</v>
      </c>
      <c r="E1574" s="8">
        <v>36013</v>
      </c>
      <c r="F1574" s="9">
        <v>43924</v>
      </c>
    </row>
    <row r="1575" spans="1:6" ht="14.25" x14ac:dyDescent="0.45">
      <c r="A1575" s="6" t="str">
        <f ca="1">IFERROR(__xludf.DUMMYFUNCTION("""COMPUTED_VALUE"""),"XGIS3C8")</f>
        <v>XGIS3C8</v>
      </c>
      <c r="B1575" s="7" t="s">
        <v>1971</v>
      </c>
      <c r="C1575" s="7" t="s">
        <v>1981</v>
      </c>
      <c r="D1575" s="7" t="s">
        <v>1982</v>
      </c>
      <c r="E1575" s="8">
        <v>36014</v>
      </c>
      <c r="F1575" s="10" t="s">
        <v>2212</v>
      </c>
    </row>
    <row r="1576" spans="1:6" ht="14.25" x14ac:dyDescent="0.45">
      <c r="A1576" s="6" t="str">
        <f ca="1">IFERROR(__xludf.DUMMYFUNCTION("""COMPUTED_VALUE"""),"XXZ3BWF")</f>
        <v>XXZ3BWF</v>
      </c>
      <c r="B1576" s="7" t="s">
        <v>1971</v>
      </c>
      <c r="C1576" s="7" t="s">
        <v>1972</v>
      </c>
      <c r="D1576" s="7" t="s">
        <v>1987</v>
      </c>
      <c r="E1576" s="8">
        <v>36016</v>
      </c>
      <c r="F1576" s="9">
        <v>44535</v>
      </c>
    </row>
    <row r="1577" spans="1:6" ht="14.25" x14ac:dyDescent="0.45">
      <c r="A1577" s="6" t="str">
        <f ca="1">IFERROR(__xludf.DUMMYFUNCTION("""COMPUTED_VALUE"""),"X2A89")</f>
        <v>X2A89</v>
      </c>
      <c r="B1577" s="7" t="s">
        <v>1980</v>
      </c>
      <c r="C1577" s="7" t="s">
        <v>1972</v>
      </c>
      <c r="D1577" s="7" t="s">
        <v>1993</v>
      </c>
      <c r="E1577" s="8">
        <v>36017</v>
      </c>
      <c r="F1577" s="10" t="s">
        <v>2138</v>
      </c>
    </row>
    <row r="1578" spans="1:6" ht="14.25" x14ac:dyDescent="0.45">
      <c r="A1578" s="6" t="str">
        <f ca="1">IFERROR(__xludf.DUMMYFUNCTION("""COMPUTED_VALUE"""),"XZUE69E")</f>
        <v>XZUE69E</v>
      </c>
      <c r="B1578" s="7" t="s">
        <v>1971</v>
      </c>
      <c r="C1578" s="7" t="s">
        <v>1972</v>
      </c>
      <c r="D1578" s="7" t="s">
        <v>1975</v>
      </c>
      <c r="E1578" s="8">
        <v>36019</v>
      </c>
      <c r="F1578" s="9">
        <v>44472</v>
      </c>
    </row>
    <row r="1579" spans="1:6" ht="14.25" x14ac:dyDescent="0.45">
      <c r="A1579" s="6" t="str">
        <f ca="1">IFERROR(__xludf.DUMMYFUNCTION("""COMPUTED_VALUE"""),"X1YTM")</f>
        <v>X1YTM</v>
      </c>
      <c r="B1579" s="7" t="s">
        <v>1986</v>
      </c>
      <c r="C1579" s="7" t="s">
        <v>1981</v>
      </c>
      <c r="D1579" s="7" t="s">
        <v>1982</v>
      </c>
      <c r="E1579" s="8">
        <v>36020</v>
      </c>
      <c r="F1579" s="10" t="s">
        <v>2134</v>
      </c>
    </row>
    <row r="1580" spans="1:6" ht="14.25" x14ac:dyDescent="0.45">
      <c r="A1580" s="6" t="str">
        <f ca="1">IFERROR(__xludf.DUMMYFUNCTION("""COMPUTED_VALUE"""),"X2BW8")</f>
        <v>X2BW8</v>
      </c>
      <c r="B1580" s="7" t="s">
        <v>1971</v>
      </c>
      <c r="C1580" s="7" t="s">
        <v>1972</v>
      </c>
      <c r="D1580" s="7" t="s">
        <v>2007</v>
      </c>
      <c r="E1580" s="8">
        <v>36021</v>
      </c>
      <c r="F1580" s="9">
        <v>43902</v>
      </c>
    </row>
    <row r="1581" spans="1:6" ht="14.25" x14ac:dyDescent="0.45">
      <c r="A1581" s="6" t="str">
        <f ca="1">IFERROR(__xludf.DUMMYFUNCTION("""COMPUTED_VALUE"""),"XQIWO5S")</f>
        <v>XQIWO5S</v>
      </c>
      <c r="B1581" s="7" t="s">
        <v>1971</v>
      </c>
      <c r="C1581" s="7" t="s">
        <v>1977</v>
      </c>
      <c r="D1581" s="7" t="s">
        <v>1990</v>
      </c>
      <c r="E1581" s="8">
        <v>36028</v>
      </c>
      <c r="F1581" s="10" t="s">
        <v>2225</v>
      </c>
    </row>
    <row r="1582" spans="1:6" ht="14.25" x14ac:dyDescent="0.45">
      <c r="A1582" s="6" t="str">
        <f ca="1">IFERROR(__xludf.DUMMYFUNCTION("""COMPUTED_VALUE"""),"XXY4H1Q")</f>
        <v>XXY4H1Q</v>
      </c>
      <c r="B1582" s="7" t="s">
        <v>1971</v>
      </c>
      <c r="C1582" s="7" t="s">
        <v>1972</v>
      </c>
      <c r="D1582" s="7" t="s">
        <v>2241</v>
      </c>
      <c r="E1582" s="8">
        <v>36040</v>
      </c>
      <c r="F1582" s="9">
        <v>44535</v>
      </c>
    </row>
    <row r="1583" spans="1:6" ht="14.25" x14ac:dyDescent="0.45">
      <c r="A1583" s="6" t="str">
        <f ca="1">IFERROR(__xludf.DUMMYFUNCTION("""COMPUTED_VALUE"""),"XQ7Q5JP")</f>
        <v>XQ7Q5JP</v>
      </c>
      <c r="B1583" s="7" t="s">
        <v>1971</v>
      </c>
      <c r="C1583" s="7" t="s">
        <v>1972</v>
      </c>
      <c r="D1583" s="7" t="s">
        <v>1993</v>
      </c>
      <c r="E1583" s="8">
        <v>36041</v>
      </c>
      <c r="F1583" s="10" t="s">
        <v>2247</v>
      </c>
    </row>
    <row r="1584" spans="1:6" ht="14.25" x14ac:dyDescent="0.45">
      <c r="A1584" s="6" t="str">
        <f ca="1">IFERROR(__xludf.DUMMYFUNCTION("""COMPUTED_VALUE"""),"XQFVSVP")</f>
        <v>XQFVSVP</v>
      </c>
      <c r="B1584" s="7" t="s">
        <v>1971</v>
      </c>
      <c r="C1584" s="7" t="s">
        <v>1974</v>
      </c>
      <c r="D1584" s="7" t="s">
        <v>1982</v>
      </c>
      <c r="E1584" s="8">
        <v>36042</v>
      </c>
      <c r="F1584" s="9">
        <v>44475</v>
      </c>
    </row>
    <row r="1585" spans="1:6" ht="14.25" x14ac:dyDescent="0.45">
      <c r="A1585" s="6" t="str">
        <f ca="1">IFERROR(__xludf.DUMMYFUNCTION("""COMPUTED_VALUE"""),"XOVEJP7")</f>
        <v>XOVEJP7</v>
      </c>
      <c r="B1585" s="7" t="s">
        <v>1971</v>
      </c>
      <c r="C1585" s="7" t="s">
        <v>1972</v>
      </c>
      <c r="D1585" s="7" t="s">
        <v>1995</v>
      </c>
      <c r="E1585" s="8">
        <v>36047</v>
      </c>
      <c r="F1585" s="9">
        <v>44472</v>
      </c>
    </row>
    <row r="1586" spans="1:6" ht="14.25" x14ac:dyDescent="0.45">
      <c r="A1586" s="6" t="str">
        <f ca="1">IFERROR(__xludf.DUMMYFUNCTION("""COMPUTED_VALUE"""),"X3752")</f>
        <v>X3752</v>
      </c>
      <c r="B1586" s="7" t="s">
        <v>1980</v>
      </c>
      <c r="C1586" s="7" t="s">
        <v>1972</v>
      </c>
      <c r="D1586" s="7" t="s">
        <v>1975</v>
      </c>
      <c r="E1586" s="8">
        <v>36054</v>
      </c>
      <c r="F1586" s="10" t="s">
        <v>2185</v>
      </c>
    </row>
    <row r="1587" spans="1:6" ht="14.25" x14ac:dyDescent="0.45">
      <c r="A1587" s="6" t="str">
        <f ca="1">IFERROR(__xludf.DUMMYFUNCTION("""COMPUTED_VALUE"""),"XF6ESDB")</f>
        <v>XF6ESDB</v>
      </c>
      <c r="B1587" s="7" t="s">
        <v>2302</v>
      </c>
      <c r="C1587" s="7" t="s">
        <v>1972</v>
      </c>
      <c r="D1587" s="7" t="s">
        <v>1997</v>
      </c>
      <c r="E1587" s="8">
        <v>36054</v>
      </c>
      <c r="F1587" s="10" t="s">
        <v>2285</v>
      </c>
    </row>
    <row r="1588" spans="1:6" ht="14.25" x14ac:dyDescent="0.45">
      <c r="A1588" s="6" t="str">
        <f ca="1">IFERROR(__xludf.DUMMYFUNCTION("""COMPUTED_VALUE"""),"XI95M5P")</f>
        <v>XI95M5P</v>
      </c>
      <c r="B1588" s="7" t="s">
        <v>1971</v>
      </c>
      <c r="C1588" s="7" t="s">
        <v>1972</v>
      </c>
      <c r="D1588" s="7" t="s">
        <v>2026</v>
      </c>
      <c r="E1588" s="8">
        <v>36056</v>
      </c>
      <c r="F1588" s="10" t="s">
        <v>2258</v>
      </c>
    </row>
    <row r="1589" spans="1:6" ht="14.25" x14ac:dyDescent="0.45">
      <c r="A1589" s="6" t="str">
        <f ca="1">IFERROR(__xludf.DUMMYFUNCTION("""COMPUTED_VALUE"""),"X297U")</f>
        <v>X297U</v>
      </c>
      <c r="B1589" s="7" t="s">
        <v>1971</v>
      </c>
      <c r="C1589" s="7" t="s">
        <v>1972</v>
      </c>
      <c r="D1589" s="7" t="s">
        <v>1975</v>
      </c>
      <c r="E1589" s="8">
        <v>36058</v>
      </c>
      <c r="F1589" s="9">
        <v>43961</v>
      </c>
    </row>
    <row r="1590" spans="1:6" ht="14.25" x14ac:dyDescent="0.45">
      <c r="A1590" s="6" t="str">
        <f ca="1">IFERROR(__xludf.DUMMYFUNCTION("""COMPUTED_VALUE"""),"X1LBM")</f>
        <v>X1LBM</v>
      </c>
      <c r="B1590" s="7" t="s">
        <v>1971</v>
      </c>
      <c r="C1590" s="7" t="s">
        <v>1972</v>
      </c>
      <c r="D1590" s="7" t="s">
        <v>1982</v>
      </c>
      <c r="E1590" s="8">
        <v>36059</v>
      </c>
      <c r="F1590" s="9">
        <v>43322</v>
      </c>
    </row>
    <row r="1591" spans="1:6" ht="14.25" x14ac:dyDescent="0.45">
      <c r="A1591" s="6" t="str">
        <f ca="1">IFERROR(__xludf.DUMMYFUNCTION("""COMPUTED_VALUE"""),"X5ULP3S")</f>
        <v>X5ULP3S</v>
      </c>
      <c r="B1591" s="7" t="s">
        <v>1971</v>
      </c>
      <c r="C1591" s="7" t="s">
        <v>1981</v>
      </c>
      <c r="D1591" s="7" t="s">
        <v>1982</v>
      </c>
      <c r="E1591" s="8">
        <v>36060</v>
      </c>
      <c r="F1591" s="10" t="s">
        <v>2246</v>
      </c>
    </row>
    <row r="1592" spans="1:6" ht="14.25" x14ac:dyDescent="0.45">
      <c r="A1592" s="6" t="str">
        <f ca="1">IFERROR(__xludf.DUMMYFUNCTION("""COMPUTED_VALUE"""),"X36DEKL")</f>
        <v>X36DEKL</v>
      </c>
      <c r="B1592" s="7" t="s">
        <v>1971</v>
      </c>
      <c r="C1592" s="7" t="s">
        <v>1972</v>
      </c>
      <c r="D1592" s="7" t="s">
        <v>1975</v>
      </c>
      <c r="E1592" s="8">
        <v>36065</v>
      </c>
      <c r="F1592" s="9">
        <v>44418</v>
      </c>
    </row>
    <row r="1593" spans="1:6" ht="14.25" x14ac:dyDescent="0.45">
      <c r="A1593" s="6" t="str">
        <f ca="1">IFERROR(__xludf.DUMMYFUNCTION("""COMPUTED_VALUE"""),"XWWEUK8")</f>
        <v>XWWEUK8</v>
      </c>
      <c r="B1593" s="7" t="s">
        <v>1971</v>
      </c>
      <c r="C1593" s="7" t="s">
        <v>1972</v>
      </c>
      <c r="D1593" s="7" t="s">
        <v>1993</v>
      </c>
      <c r="E1593" s="8">
        <v>36068</v>
      </c>
      <c r="F1593" s="10" t="s">
        <v>2258</v>
      </c>
    </row>
    <row r="1594" spans="1:6" ht="14.25" x14ac:dyDescent="0.45">
      <c r="A1594" s="6" t="str">
        <f ca="1">IFERROR(__xludf.DUMMYFUNCTION("""COMPUTED_VALUE"""),"X1996B7")</f>
        <v>X1996B7</v>
      </c>
      <c r="B1594" s="7" t="s">
        <v>1971</v>
      </c>
      <c r="C1594" s="7" t="s">
        <v>1972</v>
      </c>
      <c r="D1594" s="7" t="s">
        <v>1975</v>
      </c>
      <c r="E1594" s="8">
        <v>36068</v>
      </c>
      <c r="F1594" s="10" t="s">
        <v>2290</v>
      </c>
    </row>
    <row r="1595" spans="1:6" ht="14.25" x14ac:dyDescent="0.45">
      <c r="A1595" s="6" t="str">
        <f ca="1">IFERROR(__xludf.DUMMYFUNCTION("""COMPUTED_VALUE"""),"XH7N7VH")</f>
        <v>XH7N7VH</v>
      </c>
      <c r="B1595" s="7" t="s">
        <v>1971</v>
      </c>
      <c r="C1595" s="7" t="s">
        <v>1972</v>
      </c>
      <c r="D1595" s="7" t="s">
        <v>1975</v>
      </c>
      <c r="E1595" s="8">
        <v>36069</v>
      </c>
      <c r="F1595" s="9">
        <v>44414</v>
      </c>
    </row>
    <row r="1596" spans="1:6" ht="14.25" x14ac:dyDescent="0.45">
      <c r="A1596" s="6" t="str">
        <f ca="1">IFERROR(__xludf.DUMMYFUNCTION("""COMPUTED_VALUE"""),"X3660")</f>
        <v>X3660</v>
      </c>
      <c r="B1596" s="7" t="s">
        <v>1980</v>
      </c>
      <c r="C1596" s="7" t="s">
        <v>1977</v>
      </c>
      <c r="D1596" s="7" t="s">
        <v>1982</v>
      </c>
      <c r="E1596" s="8">
        <v>36074</v>
      </c>
      <c r="F1596" s="10" t="s">
        <v>2180</v>
      </c>
    </row>
    <row r="1597" spans="1:6" ht="14.25" x14ac:dyDescent="0.45">
      <c r="A1597" s="6" t="str">
        <f ca="1">IFERROR(__xludf.DUMMYFUNCTION("""COMPUTED_VALUE"""),"XRSML57")</f>
        <v>XRSML57</v>
      </c>
      <c r="B1597" s="7" t="s">
        <v>1971</v>
      </c>
      <c r="C1597" s="7" t="s">
        <v>1972</v>
      </c>
      <c r="D1597" s="7" t="s">
        <v>1975</v>
      </c>
      <c r="E1597" s="8">
        <v>36077</v>
      </c>
      <c r="F1597" s="10" t="s">
        <v>2247</v>
      </c>
    </row>
    <row r="1598" spans="1:6" ht="14.25" x14ac:dyDescent="0.45">
      <c r="A1598" s="6" t="str">
        <f ca="1">IFERROR(__xludf.DUMMYFUNCTION("""COMPUTED_VALUE"""),"XI9EA7D")</f>
        <v>XI9EA7D</v>
      </c>
      <c r="B1598" s="7" t="s">
        <v>1971</v>
      </c>
      <c r="C1598" s="7" t="s">
        <v>1972</v>
      </c>
      <c r="D1598" s="7" t="s">
        <v>1974</v>
      </c>
      <c r="E1598" s="8">
        <v>36077</v>
      </c>
      <c r="F1598" s="10" t="s">
        <v>2304</v>
      </c>
    </row>
    <row r="1599" spans="1:6" ht="14.25" x14ac:dyDescent="0.45">
      <c r="A1599" s="6" t="str">
        <f ca="1">IFERROR(__xludf.DUMMYFUNCTION("""COMPUTED_VALUE"""),"X2CHU")</f>
        <v>X2CHU</v>
      </c>
      <c r="B1599" s="7" t="s">
        <v>1971</v>
      </c>
      <c r="C1599" s="7" t="s">
        <v>1974</v>
      </c>
      <c r="D1599" s="7" t="s">
        <v>1982</v>
      </c>
      <c r="E1599" s="8">
        <v>36078</v>
      </c>
      <c r="F1599" s="10" t="s">
        <v>2024</v>
      </c>
    </row>
    <row r="1600" spans="1:6" ht="14.25" x14ac:dyDescent="0.45">
      <c r="A1600" s="6" t="str">
        <f ca="1">IFERROR(__xludf.DUMMYFUNCTION("""COMPUTED_VALUE"""),"X2CIL")</f>
        <v>X2CIL</v>
      </c>
      <c r="B1600" s="7" t="s">
        <v>2021</v>
      </c>
      <c r="C1600" s="7" t="s">
        <v>1972</v>
      </c>
      <c r="D1600" s="7" t="s">
        <v>1973</v>
      </c>
      <c r="E1600" s="8">
        <v>36087</v>
      </c>
      <c r="F1600" s="10" t="s">
        <v>2024</v>
      </c>
    </row>
    <row r="1601" spans="1:6" ht="14.25" x14ac:dyDescent="0.45">
      <c r="A1601" s="6" t="str">
        <f ca="1">IFERROR(__xludf.DUMMYFUNCTION("""COMPUTED_VALUE"""),"X1ORU")</f>
        <v>X1ORU</v>
      </c>
      <c r="B1601" s="7" t="s">
        <v>1980</v>
      </c>
      <c r="C1601" s="7" t="s">
        <v>1981</v>
      </c>
      <c r="D1601" s="7" t="s">
        <v>1982</v>
      </c>
      <c r="E1601" s="8">
        <v>36091</v>
      </c>
      <c r="F1601" s="10" t="s">
        <v>2255</v>
      </c>
    </row>
    <row r="1602" spans="1:6" ht="14.25" x14ac:dyDescent="0.45">
      <c r="A1602" s="6" t="str">
        <f ca="1">IFERROR(__xludf.DUMMYFUNCTION("""COMPUTED_VALUE"""),"XMKMUEP")</f>
        <v>XMKMUEP</v>
      </c>
      <c r="B1602" s="7" t="s">
        <v>1971</v>
      </c>
      <c r="C1602" s="7" t="s">
        <v>1972</v>
      </c>
      <c r="D1602" s="7" t="s">
        <v>1990</v>
      </c>
      <c r="E1602" s="8">
        <v>36094</v>
      </c>
      <c r="F1602" s="10" t="s">
        <v>2242</v>
      </c>
    </row>
    <row r="1603" spans="1:6" ht="14.25" x14ac:dyDescent="0.45">
      <c r="A1603" s="6" t="str">
        <f ca="1">IFERROR(__xludf.DUMMYFUNCTION("""COMPUTED_VALUE"""),"X24CB")</f>
        <v>X24CB</v>
      </c>
      <c r="B1603" s="7" t="s">
        <v>1971</v>
      </c>
      <c r="C1603" s="7" t="s">
        <v>1972</v>
      </c>
      <c r="D1603" s="7" t="s">
        <v>1990</v>
      </c>
      <c r="E1603" s="8">
        <v>36095</v>
      </c>
      <c r="F1603" s="9">
        <v>44170</v>
      </c>
    </row>
    <row r="1604" spans="1:6" ht="14.25" x14ac:dyDescent="0.45">
      <c r="A1604" s="6" t="str">
        <f ca="1">IFERROR(__xludf.DUMMYFUNCTION("""COMPUTED_VALUE"""),"X29N5")</f>
        <v>X29N5</v>
      </c>
      <c r="B1604" s="7" t="s">
        <v>1971</v>
      </c>
      <c r="C1604" s="7" t="s">
        <v>1972</v>
      </c>
      <c r="D1604" s="7" t="s">
        <v>1993</v>
      </c>
      <c r="E1604" s="8">
        <v>36098</v>
      </c>
      <c r="F1604" s="9">
        <v>44053</v>
      </c>
    </row>
    <row r="1605" spans="1:6" ht="14.25" x14ac:dyDescent="0.45">
      <c r="A1605" s="6" t="str">
        <f ca="1">IFERROR(__xludf.DUMMYFUNCTION("""COMPUTED_VALUE"""),"X2C16C")</f>
        <v>X2C16C</v>
      </c>
      <c r="B1605" s="7" t="s">
        <v>1980</v>
      </c>
      <c r="C1605" s="7" t="s">
        <v>1972</v>
      </c>
      <c r="D1605" s="7" t="s">
        <v>1973</v>
      </c>
      <c r="E1605" s="8">
        <v>36099</v>
      </c>
      <c r="F1605" s="10" t="s">
        <v>2086</v>
      </c>
    </row>
    <row r="1606" spans="1:6" ht="14.25" x14ac:dyDescent="0.45">
      <c r="A1606" s="6" t="str">
        <f ca="1">IFERROR(__xludf.DUMMYFUNCTION("""COMPUTED_VALUE"""),"X2CAH")</f>
        <v>X2CAH</v>
      </c>
      <c r="B1606" s="7" t="s">
        <v>2025</v>
      </c>
      <c r="C1606" s="7" t="s">
        <v>1981</v>
      </c>
      <c r="D1606" s="7" t="s">
        <v>1982</v>
      </c>
      <c r="E1606" s="8">
        <v>36101</v>
      </c>
      <c r="F1606" s="10" t="s">
        <v>2035</v>
      </c>
    </row>
    <row r="1607" spans="1:6" ht="14.25" x14ac:dyDescent="0.45">
      <c r="A1607" s="6" t="str">
        <f ca="1">IFERROR(__xludf.DUMMYFUNCTION("""COMPUTED_VALUE"""),"X2A25")</f>
        <v>X2A25</v>
      </c>
      <c r="B1607" s="7" t="s">
        <v>1971</v>
      </c>
      <c r="C1607" s="7" t="s">
        <v>1972</v>
      </c>
      <c r="D1607" s="7" t="s">
        <v>1982</v>
      </c>
      <c r="E1607" s="8">
        <v>36103</v>
      </c>
      <c r="F1607" s="10" t="s">
        <v>2128</v>
      </c>
    </row>
    <row r="1608" spans="1:6" ht="14.25" x14ac:dyDescent="0.45">
      <c r="A1608" s="6" t="str">
        <f ca="1">IFERROR(__xludf.DUMMYFUNCTION("""COMPUTED_VALUE"""),"X9Q8QYU")</f>
        <v>X9Q8QYU</v>
      </c>
      <c r="B1608" s="7" t="s">
        <v>1971</v>
      </c>
      <c r="C1608" s="7" t="s">
        <v>1972</v>
      </c>
      <c r="D1608" s="7" t="s">
        <v>1975</v>
      </c>
      <c r="E1608" s="8">
        <v>36107</v>
      </c>
      <c r="F1608" s="10" t="s">
        <v>2193</v>
      </c>
    </row>
    <row r="1609" spans="1:6" ht="14.25" x14ac:dyDescent="0.45">
      <c r="A1609" s="6" t="str">
        <f ca="1">IFERROR(__xludf.DUMMYFUNCTION("""COMPUTED_VALUE"""),"XMQ52XC")</f>
        <v>XMQ52XC</v>
      </c>
      <c r="B1609" s="7" t="s">
        <v>1971</v>
      </c>
      <c r="C1609" s="7" t="s">
        <v>1972</v>
      </c>
      <c r="D1609" s="7" t="s">
        <v>1974</v>
      </c>
      <c r="E1609" s="8">
        <v>36109</v>
      </c>
      <c r="F1609" s="9">
        <v>44356</v>
      </c>
    </row>
    <row r="1610" spans="1:6" ht="14.25" x14ac:dyDescent="0.45">
      <c r="A1610" s="6" t="str">
        <f ca="1">IFERROR(__xludf.DUMMYFUNCTION("""COMPUTED_VALUE"""),"X244Z")</f>
        <v>X244Z</v>
      </c>
      <c r="B1610" s="7" t="s">
        <v>1971</v>
      </c>
      <c r="C1610" s="7" t="s">
        <v>1993</v>
      </c>
      <c r="D1610" s="7" t="s">
        <v>1993</v>
      </c>
      <c r="E1610" s="8">
        <v>36119</v>
      </c>
      <c r="F1610" s="9">
        <v>43926</v>
      </c>
    </row>
    <row r="1611" spans="1:6" ht="14.25" x14ac:dyDescent="0.45">
      <c r="A1611" s="6" t="str">
        <f ca="1">IFERROR(__xludf.DUMMYFUNCTION("""COMPUTED_VALUE"""),"X2D9J")</f>
        <v>X2D9J</v>
      </c>
      <c r="B1611" s="7" t="s">
        <v>1980</v>
      </c>
      <c r="C1611" s="7" t="s">
        <v>1972</v>
      </c>
      <c r="D1611" s="7" t="s">
        <v>1993</v>
      </c>
      <c r="E1611" s="8">
        <v>36123</v>
      </c>
      <c r="F1611" s="9">
        <v>44501</v>
      </c>
    </row>
    <row r="1612" spans="1:6" ht="14.25" x14ac:dyDescent="0.45">
      <c r="A1612" s="6" t="str">
        <f ca="1">IFERROR(__xludf.DUMMYFUNCTION("""COMPUTED_VALUE"""),"X2912G")</f>
        <v>X2912G</v>
      </c>
      <c r="B1612" s="7" t="s">
        <v>1971</v>
      </c>
      <c r="C1612" s="7" t="s">
        <v>1972</v>
      </c>
      <c r="D1612" s="7" t="s">
        <v>1993</v>
      </c>
      <c r="E1612" s="8">
        <v>36128</v>
      </c>
      <c r="F1612" s="10" t="s">
        <v>2039</v>
      </c>
    </row>
    <row r="1613" spans="1:6" ht="14.25" x14ac:dyDescent="0.45">
      <c r="A1613" s="6" t="str">
        <f ca="1">IFERROR(__xludf.DUMMYFUNCTION("""COMPUTED_VALUE"""),"XJ24UI1")</f>
        <v>XJ24UI1</v>
      </c>
      <c r="B1613" s="7" t="s">
        <v>1971</v>
      </c>
      <c r="C1613" s="7" t="s">
        <v>1972</v>
      </c>
      <c r="D1613" s="7" t="s">
        <v>1982</v>
      </c>
      <c r="E1613" s="8">
        <v>36131</v>
      </c>
      <c r="F1613" s="10" t="s">
        <v>2257</v>
      </c>
    </row>
    <row r="1614" spans="1:6" ht="14.25" x14ac:dyDescent="0.45">
      <c r="A1614" s="6" t="str">
        <f ca="1">IFERROR(__xludf.DUMMYFUNCTION("""COMPUTED_VALUE"""),"X2DN4")</f>
        <v>X2DN4</v>
      </c>
      <c r="B1614" s="7" t="s">
        <v>1971</v>
      </c>
      <c r="C1614" s="7" t="s">
        <v>1972</v>
      </c>
      <c r="D1614" s="7" t="s">
        <v>1974</v>
      </c>
      <c r="E1614" s="8">
        <v>36140</v>
      </c>
      <c r="F1614" s="10" t="s">
        <v>2082</v>
      </c>
    </row>
    <row r="1615" spans="1:6" ht="14.25" x14ac:dyDescent="0.45">
      <c r="A1615" s="6" t="str">
        <f ca="1">IFERROR(__xludf.DUMMYFUNCTION("""COMPUTED_VALUE"""),"XUTI5VH")</f>
        <v>XUTI5VH</v>
      </c>
      <c r="B1615" s="7" t="s">
        <v>1971</v>
      </c>
      <c r="C1615" s="7" t="s">
        <v>1972</v>
      </c>
      <c r="D1615" s="7" t="s">
        <v>1975</v>
      </c>
      <c r="E1615" s="8">
        <v>36140</v>
      </c>
      <c r="F1615" s="10" t="s">
        <v>2246</v>
      </c>
    </row>
    <row r="1616" spans="1:6" ht="14.25" x14ac:dyDescent="0.45">
      <c r="A1616" s="6" t="str">
        <f ca="1">IFERROR(__xludf.DUMMYFUNCTION("""COMPUTED_VALUE"""),"X2D2U")</f>
        <v>X2D2U</v>
      </c>
      <c r="B1616" s="7" t="s">
        <v>2021</v>
      </c>
      <c r="C1616" s="7" t="s">
        <v>1972</v>
      </c>
      <c r="D1616" s="7" t="s">
        <v>2167</v>
      </c>
      <c r="E1616" s="8">
        <v>36143</v>
      </c>
      <c r="F1616" s="9">
        <v>44348</v>
      </c>
    </row>
    <row r="1617" spans="1:6" ht="14.25" x14ac:dyDescent="0.45">
      <c r="A1617" s="6" t="str">
        <f ca="1">IFERROR(__xludf.DUMMYFUNCTION("""COMPUTED_VALUE"""),"X27G8")</f>
        <v>X27G8</v>
      </c>
      <c r="B1617" s="7" t="s">
        <v>1971</v>
      </c>
      <c r="C1617" s="7" t="s">
        <v>1972</v>
      </c>
      <c r="D1617" s="7" t="s">
        <v>1975</v>
      </c>
      <c r="E1617" s="8">
        <v>36144</v>
      </c>
      <c r="F1617" s="10" t="s">
        <v>2017</v>
      </c>
    </row>
    <row r="1618" spans="1:6" ht="14.25" x14ac:dyDescent="0.45">
      <c r="A1618" s="6" t="str">
        <f ca="1">IFERROR(__xludf.DUMMYFUNCTION("""COMPUTED_VALUE"""),"XKLX65N")</f>
        <v>XKLX65N</v>
      </c>
      <c r="B1618" s="7" t="s">
        <v>1971</v>
      </c>
      <c r="C1618" s="7" t="s">
        <v>1972</v>
      </c>
      <c r="D1618" s="7" t="s">
        <v>1974</v>
      </c>
      <c r="E1618" s="8">
        <v>36154</v>
      </c>
      <c r="F1618" s="9">
        <v>44538</v>
      </c>
    </row>
    <row r="1619" spans="1:6" ht="14.25" x14ac:dyDescent="0.45">
      <c r="A1619" s="6" t="str">
        <f ca="1">IFERROR(__xludf.DUMMYFUNCTION("""COMPUTED_VALUE"""),"XOBVH5U")</f>
        <v>XOBVH5U</v>
      </c>
      <c r="B1619" s="7" t="s">
        <v>1971</v>
      </c>
      <c r="C1619" s="7" t="s">
        <v>1981</v>
      </c>
      <c r="D1619" s="7" t="s">
        <v>1974</v>
      </c>
      <c r="E1619" s="8">
        <v>36157</v>
      </c>
      <c r="F1619" s="10" t="s">
        <v>2261</v>
      </c>
    </row>
    <row r="1620" spans="1:6" ht="14.25" x14ac:dyDescent="0.45">
      <c r="A1620" s="6" t="str">
        <f ca="1">IFERROR(__xludf.DUMMYFUNCTION("""COMPUTED_VALUE"""),"X2DCD")</f>
        <v>X2DCD</v>
      </c>
      <c r="B1620" s="7" t="s">
        <v>1980</v>
      </c>
      <c r="C1620" s="7" t="s">
        <v>1972</v>
      </c>
      <c r="D1620" s="7" t="s">
        <v>1993</v>
      </c>
      <c r="E1620" s="8">
        <v>36161</v>
      </c>
      <c r="F1620" s="9">
        <v>44501</v>
      </c>
    </row>
    <row r="1621" spans="1:6" ht="14.25" x14ac:dyDescent="0.45">
      <c r="A1621" s="6" t="str">
        <f ca="1">IFERROR(__xludf.DUMMYFUNCTION("""COMPUTED_VALUE"""),"XTIWUSM")</f>
        <v>XTIWUSM</v>
      </c>
      <c r="B1621" s="7" t="s">
        <v>1971</v>
      </c>
      <c r="C1621" s="7" t="s">
        <v>1972</v>
      </c>
      <c r="D1621" s="7" t="s">
        <v>1978</v>
      </c>
      <c r="E1621" s="8">
        <v>36162</v>
      </c>
      <c r="F1621" s="10" t="s">
        <v>2300</v>
      </c>
    </row>
    <row r="1622" spans="1:6" ht="14.25" x14ac:dyDescent="0.45">
      <c r="A1622" s="6" t="str">
        <f ca="1">IFERROR(__xludf.DUMMYFUNCTION("""COMPUTED_VALUE"""),"XTJWCVK")</f>
        <v>XTJWCVK</v>
      </c>
      <c r="B1622" s="7" t="s">
        <v>1971</v>
      </c>
      <c r="C1622" s="7" t="s">
        <v>1974</v>
      </c>
      <c r="D1622" s="7" t="s">
        <v>1982</v>
      </c>
      <c r="E1622" s="8">
        <v>36164</v>
      </c>
      <c r="F1622" s="10" t="s">
        <v>2225</v>
      </c>
    </row>
    <row r="1623" spans="1:6" ht="14.25" x14ac:dyDescent="0.45">
      <c r="A1623" s="6" t="str">
        <f ca="1">IFERROR(__xludf.DUMMYFUNCTION("""COMPUTED_VALUE"""),"X2DV8")</f>
        <v>X2DV8</v>
      </c>
      <c r="B1623" s="7" t="s">
        <v>1980</v>
      </c>
      <c r="C1623" s="7" t="s">
        <v>1977</v>
      </c>
      <c r="D1623" s="7" t="s">
        <v>1974</v>
      </c>
      <c r="E1623" s="8">
        <v>36169</v>
      </c>
      <c r="F1623" s="10" t="s">
        <v>2180</v>
      </c>
    </row>
    <row r="1624" spans="1:6" ht="14.25" x14ac:dyDescent="0.45">
      <c r="A1624" s="6" t="str">
        <f ca="1">IFERROR(__xludf.DUMMYFUNCTION("""COMPUTED_VALUE"""),"X6HBWDZ")</f>
        <v>X6HBWDZ</v>
      </c>
      <c r="B1624" s="7" t="s">
        <v>1971</v>
      </c>
      <c r="C1624" s="7" t="s">
        <v>1981</v>
      </c>
      <c r="D1624" s="7" t="s">
        <v>1982</v>
      </c>
      <c r="E1624" s="8">
        <v>36169</v>
      </c>
      <c r="F1624" s="10" t="s">
        <v>2261</v>
      </c>
    </row>
    <row r="1625" spans="1:6" ht="14.25" x14ac:dyDescent="0.45">
      <c r="A1625" s="6" t="str">
        <f ca="1">IFERROR(__xludf.DUMMYFUNCTION("""COMPUTED_VALUE"""),"XYDQIJX")</f>
        <v>XYDQIJX</v>
      </c>
      <c r="B1625" s="7" t="s">
        <v>1971</v>
      </c>
      <c r="C1625" s="7" t="s">
        <v>1972</v>
      </c>
      <c r="D1625" s="7" t="s">
        <v>1975</v>
      </c>
      <c r="E1625" s="8">
        <v>36171</v>
      </c>
      <c r="F1625" s="10" t="s">
        <v>2258</v>
      </c>
    </row>
    <row r="1626" spans="1:6" ht="14.25" x14ac:dyDescent="0.45">
      <c r="A1626" s="6" t="str">
        <f ca="1">IFERROR(__xludf.DUMMYFUNCTION("""COMPUTED_VALUE"""),"XOSM7C7")</f>
        <v>XOSM7C7</v>
      </c>
      <c r="B1626" s="7" t="s">
        <v>1971</v>
      </c>
      <c r="C1626" s="7" t="s">
        <v>1974</v>
      </c>
      <c r="D1626" s="7" t="s">
        <v>1982</v>
      </c>
      <c r="E1626" s="8">
        <v>36174</v>
      </c>
      <c r="F1626" s="10" t="s">
        <v>2289</v>
      </c>
    </row>
    <row r="1627" spans="1:6" ht="14.25" x14ac:dyDescent="0.45">
      <c r="A1627" s="6" t="str">
        <f ca="1">IFERROR(__xludf.DUMMYFUNCTION("""COMPUTED_VALUE"""),"X4GT866")</f>
        <v>X4GT866</v>
      </c>
      <c r="B1627" s="7" t="s">
        <v>1980</v>
      </c>
      <c r="C1627" s="7" t="s">
        <v>1972</v>
      </c>
      <c r="D1627" s="7" t="s">
        <v>2072</v>
      </c>
      <c r="E1627" s="8">
        <v>36200</v>
      </c>
      <c r="F1627" s="9">
        <v>44451</v>
      </c>
    </row>
    <row r="1628" spans="1:6" ht="14.25" x14ac:dyDescent="0.45">
      <c r="A1628" s="6" t="str">
        <f ca="1">IFERROR(__xludf.DUMMYFUNCTION("""COMPUTED_VALUE"""),"X2C96")</f>
        <v>X2C96</v>
      </c>
      <c r="B1628" s="7" t="s">
        <v>1980</v>
      </c>
      <c r="C1628" s="7" t="s">
        <v>1972</v>
      </c>
      <c r="D1628" s="7" t="s">
        <v>1982</v>
      </c>
      <c r="E1628" s="8">
        <v>36207</v>
      </c>
      <c r="F1628" s="10" t="s">
        <v>2032</v>
      </c>
    </row>
    <row r="1629" spans="1:6" ht="14.25" x14ac:dyDescent="0.45">
      <c r="A1629" s="6" t="str">
        <f ca="1">IFERROR(__xludf.DUMMYFUNCTION("""COMPUTED_VALUE"""),"XISACRZ")</f>
        <v>XISACRZ</v>
      </c>
      <c r="B1629" s="7" t="s">
        <v>1971</v>
      </c>
      <c r="C1629" s="7" t="s">
        <v>1972</v>
      </c>
      <c r="D1629" s="7" t="s">
        <v>1974</v>
      </c>
      <c r="E1629" s="8">
        <v>36220</v>
      </c>
      <c r="F1629" s="10" t="s">
        <v>2320</v>
      </c>
    </row>
    <row r="1630" spans="1:6" ht="14.25" x14ac:dyDescent="0.45">
      <c r="A1630" s="6" t="str">
        <f ca="1">IFERROR(__xludf.DUMMYFUNCTION("""COMPUTED_VALUE"""),"XR1HU7G")</f>
        <v>XR1HU7G</v>
      </c>
      <c r="B1630" s="7" t="s">
        <v>1971</v>
      </c>
      <c r="C1630" s="7" t="s">
        <v>1972</v>
      </c>
      <c r="D1630" s="7" t="s">
        <v>2072</v>
      </c>
      <c r="E1630" s="8">
        <v>36220</v>
      </c>
      <c r="F1630" s="9">
        <v>44266</v>
      </c>
    </row>
    <row r="1631" spans="1:6" ht="14.25" x14ac:dyDescent="0.45">
      <c r="A1631" s="6" t="str">
        <f ca="1">IFERROR(__xludf.DUMMYFUNCTION("""COMPUTED_VALUE"""),"X1PEU")</f>
        <v>X1PEU</v>
      </c>
      <c r="B1631" s="7" t="s">
        <v>1971</v>
      </c>
      <c r="C1631" s="7" t="s">
        <v>1993</v>
      </c>
      <c r="D1631" s="7" t="s">
        <v>1982</v>
      </c>
      <c r="E1631" s="8">
        <v>36222</v>
      </c>
      <c r="F1631" s="10" t="s">
        <v>2163</v>
      </c>
    </row>
    <row r="1632" spans="1:6" ht="14.25" x14ac:dyDescent="0.45">
      <c r="A1632" s="6" t="str">
        <f ca="1">IFERROR(__xludf.DUMMYFUNCTION("""COMPUTED_VALUE"""),"XTM96OI")</f>
        <v>XTM96OI</v>
      </c>
      <c r="B1632" s="7" t="s">
        <v>1971</v>
      </c>
      <c r="C1632" s="7" t="s">
        <v>1972</v>
      </c>
      <c r="D1632" s="7" t="s">
        <v>1982</v>
      </c>
      <c r="E1632" s="8">
        <v>36222</v>
      </c>
      <c r="F1632" s="9">
        <v>44263</v>
      </c>
    </row>
    <row r="1633" spans="1:6" ht="14.25" x14ac:dyDescent="0.45">
      <c r="A1633" s="6" t="str">
        <f ca="1">IFERROR(__xludf.DUMMYFUNCTION("""COMPUTED_VALUE"""),"X1TEF6R")</f>
        <v>X1TEF6R</v>
      </c>
      <c r="B1633" s="7" t="s">
        <v>1971</v>
      </c>
      <c r="C1633" s="7" t="s">
        <v>1981</v>
      </c>
      <c r="D1633" s="7" t="s">
        <v>1982</v>
      </c>
      <c r="E1633" s="8">
        <v>36230</v>
      </c>
      <c r="F1633" s="9">
        <v>44200</v>
      </c>
    </row>
    <row r="1634" spans="1:6" ht="14.25" x14ac:dyDescent="0.45">
      <c r="A1634" s="6" t="str">
        <f ca="1">IFERROR(__xludf.DUMMYFUNCTION("""COMPUTED_VALUE"""),"XRHZYTZ")</f>
        <v>XRHZYTZ</v>
      </c>
      <c r="B1634" s="7" t="s">
        <v>1971</v>
      </c>
      <c r="C1634" s="7" t="s">
        <v>1972</v>
      </c>
      <c r="D1634" s="7" t="s">
        <v>1987</v>
      </c>
      <c r="E1634" s="8">
        <v>36239</v>
      </c>
      <c r="F1634" s="10" t="s">
        <v>2261</v>
      </c>
    </row>
    <row r="1635" spans="1:6" ht="14.25" x14ac:dyDescent="0.45">
      <c r="A1635" s="6" t="str">
        <f ca="1">IFERROR(__xludf.DUMMYFUNCTION("""COMPUTED_VALUE"""),"XYEOXR5")</f>
        <v>XYEOXR5</v>
      </c>
      <c r="B1635" s="7" t="s">
        <v>1971</v>
      </c>
      <c r="C1635" s="7" t="s">
        <v>1981</v>
      </c>
      <c r="D1635" s="7" t="s">
        <v>1982</v>
      </c>
      <c r="E1635" s="8">
        <v>36241</v>
      </c>
      <c r="F1635" s="10" t="s">
        <v>2338</v>
      </c>
    </row>
    <row r="1636" spans="1:6" ht="14.25" x14ac:dyDescent="0.45">
      <c r="A1636" s="6" t="str">
        <f ca="1">IFERROR(__xludf.DUMMYFUNCTION("""COMPUTED_VALUE"""),"XC2FJZS")</f>
        <v>XC2FJZS</v>
      </c>
      <c r="B1636" s="7" t="s">
        <v>1971</v>
      </c>
      <c r="C1636" s="7" t="s">
        <v>1981</v>
      </c>
      <c r="D1636" s="7" t="s">
        <v>1982</v>
      </c>
      <c r="E1636" s="8">
        <v>36255</v>
      </c>
      <c r="F1636" s="9">
        <v>44235</v>
      </c>
    </row>
    <row r="1637" spans="1:6" ht="14.25" x14ac:dyDescent="0.45">
      <c r="A1637" s="6" t="str">
        <f ca="1">IFERROR(__xludf.DUMMYFUNCTION("""COMPUTED_VALUE"""),"X3479")</f>
        <v>X3479</v>
      </c>
      <c r="B1637" s="7" t="s">
        <v>1980</v>
      </c>
      <c r="C1637" s="7" t="s">
        <v>1981</v>
      </c>
      <c r="D1637" s="7" t="s">
        <v>1975</v>
      </c>
      <c r="E1637" s="8">
        <v>36258</v>
      </c>
      <c r="F1637" s="9">
        <v>43259</v>
      </c>
    </row>
    <row r="1638" spans="1:6" ht="14.25" x14ac:dyDescent="0.45">
      <c r="A1638" s="6" t="str">
        <f ca="1">IFERROR(__xludf.DUMMYFUNCTION("""COMPUTED_VALUE"""),"X1Y6S")</f>
        <v>X1Y6S</v>
      </c>
      <c r="B1638" s="7" t="s">
        <v>1971</v>
      </c>
      <c r="C1638" s="7" t="s">
        <v>1981</v>
      </c>
      <c r="D1638" s="7" t="s">
        <v>1982</v>
      </c>
      <c r="E1638" s="8">
        <v>36260</v>
      </c>
      <c r="F1638" s="10" t="s">
        <v>2078</v>
      </c>
    </row>
    <row r="1639" spans="1:6" ht="14.25" x14ac:dyDescent="0.45">
      <c r="A1639" s="6" t="str">
        <f ca="1">IFERROR(__xludf.DUMMYFUNCTION("""COMPUTED_VALUE"""),"XTBYD8S")</f>
        <v>XTBYD8S</v>
      </c>
      <c r="B1639" s="7" t="s">
        <v>1971</v>
      </c>
      <c r="C1639" s="7" t="s">
        <v>1972</v>
      </c>
      <c r="D1639" s="7" t="s">
        <v>1993</v>
      </c>
      <c r="E1639" s="8">
        <v>36269</v>
      </c>
      <c r="F1639" s="10" t="s">
        <v>2246</v>
      </c>
    </row>
    <row r="1640" spans="1:6" ht="14.25" x14ac:dyDescent="0.45">
      <c r="A1640" s="6" t="str">
        <f ca="1">IFERROR(__xludf.DUMMYFUNCTION("""COMPUTED_VALUE"""),"XHH4XCJ")</f>
        <v>XHH4XCJ</v>
      </c>
      <c r="B1640" s="7" t="s">
        <v>1971</v>
      </c>
      <c r="C1640" s="7" t="s">
        <v>1981</v>
      </c>
      <c r="D1640" s="7" t="s">
        <v>1990</v>
      </c>
      <c r="E1640" s="8">
        <v>36276</v>
      </c>
      <c r="F1640" s="10" t="s">
        <v>2218</v>
      </c>
    </row>
    <row r="1641" spans="1:6" ht="14.25" x14ac:dyDescent="0.45">
      <c r="A1641" s="6" t="str">
        <f ca="1">IFERROR(__xludf.DUMMYFUNCTION("""COMPUTED_VALUE"""),"X2DMZ")</f>
        <v>X2DMZ</v>
      </c>
      <c r="B1641" s="7" t="s">
        <v>1986</v>
      </c>
      <c r="C1641" s="7" t="s">
        <v>1972</v>
      </c>
      <c r="D1641" s="7" t="s">
        <v>1975</v>
      </c>
      <c r="E1641" s="8">
        <v>36278</v>
      </c>
      <c r="F1641" s="10" t="s">
        <v>2082</v>
      </c>
    </row>
    <row r="1642" spans="1:6" ht="14.25" x14ac:dyDescent="0.45">
      <c r="A1642" s="6" t="str">
        <f ca="1">IFERROR(__xludf.DUMMYFUNCTION("""COMPUTED_VALUE"""),"X3698")</f>
        <v>X3698</v>
      </c>
      <c r="B1642" s="7" t="s">
        <v>1980</v>
      </c>
      <c r="C1642" s="7" t="s">
        <v>1981</v>
      </c>
      <c r="D1642" s="7" t="s">
        <v>1993</v>
      </c>
      <c r="E1642" s="8">
        <v>36287</v>
      </c>
      <c r="F1642" s="10" t="s">
        <v>2180</v>
      </c>
    </row>
    <row r="1643" spans="1:6" ht="14.25" x14ac:dyDescent="0.45">
      <c r="A1643" s="6" t="str">
        <f ca="1">IFERROR(__xludf.DUMMYFUNCTION("""COMPUTED_VALUE"""),"XH3IX9D")</f>
        <v>XH3IX9D</v>
      </c>
      <c r="B1643" s="7" t="s">
        <v>1971</v>
      </c>
      <c r="C1643" s="7" t="s">
        <v>1974</v>
      </c>
      <c r="D1643" s="7" t="s">
        <v>1993</v>
      </c>
      <c r="E1643" s="8">
        <v>36291</v>
      </c>
      <c r="F1643" s="10" t="s">
        <v>2319</v>
      </c>
    </row>
    <row r="1644" spans="1:6" ht="14.25" x14ac:dyDescent="0.45">
      <c r="A1644" s="6" t="str">
        <f ca="1">IFERROR(__xludf.DUMMYFUNCTION("""COMPUTED_VALUE"""),"X3661")</f>
        <v>X3661</v>
      </c>
      <c r="B1644" s="7" t="s">
        <v>1980</v>
      </c>
      <c r="C1644" s="7" t="s">
        <v>1972</v>
      </c>
      <c r="D1644" s="7" t="s">
        <v>1978</v>
      </c>
      <c r="E1644" s="8">
        <v>36292</v>
      </c>
      <c r="F1644" s="10" t="s">
        <v>2180</v>
      </c>
    </row>
    <row r="1645" spans="1:6" ht="14.25" x14ac:dyDescent="0.45">
      <c r="A1645" s="6" t="str">
        <f ca="1">IFERROR(__xludf.DUMMYFUNCTION("""COMPUTED_VALUE"""),"XMGSCO1")</f>
        <v>XMGSCO1</v>
      </c>
      <c r="B1645" s="7" t="s">
        <v>2021</v>
      </c>
      <c r="C1645" s="7" t="s">
        <v>1981</v>
      </c>
      <c r="D1645" s="7" t="s">
        <v>1982</v>
      </c>
      <c r="E1645" s="8">
        <v>36298</v>
      </c>
      <c r="F1645" s="9">
        <v>44292</v>
      </c>
    </row>
    <row r="1646" spans="1:6" ht="14.25" x14ac:dyDescent="0.45">
      <c r="A1646" s="6" t="str">
        <f ca="1">IFERROR(__xludf.DUMMYFUNCTION("""COMPUTED_VALUE"""),"X3K38IG")</f>
        <v>X3K38IG</v>
      </c>
      <c r="B1646" s="7" t="s">
        <v>1971</v>
      </c>
      <c r="C1646" s="7" t="s">
        <v>1977</v>
      </c>
      <c r="D1646" s="7" t="s">
        <v>1982</v>
      </c>
      <c r="E1646" s="8">
        <v>36298</v>
      </c>
      <c r="F1646" s="9">
        <v>44324</v>
      </c>
    </row>
    <row r="1647" spans="1:6" ht="14.25" x14ac:dyDescent="0.45">
      <c r="A1647" s="6" t="str">
        <f ca="1">IFERROR(__xludf.DUMMYFUNCTION("""COMPUTED_VALUE"""),"XCGTRNJ")</f>
        <v>XCGTRNJ</v>
      </c>
      <c r="B1647" s="7" t="s">
        <v>1971</v>
      </c>
      <c r="C1647" s="7" t="s">
        <v>1977</v>
      </c>
      <c r="D1647" s="7" t="s">
        <v>1982</v>
      </c>
      <c r="E1647" s="8">
        <v>36300</v>
      </c>
      <c r="F1647" s="10" t="s">
        <v>2242</v>
      </c>
    </row>
    <row r="1648" spans="1:6" ht="14.25" x14ac:dyDescent="0.45">
      <c r="A1648" s="6" t="str">
        <f ca="1">IFERROR(__xludf.DUMMYFUNCTION("""COMPUTED_VALUE"""),"X1UHSGQ")</f>
        <v>X1UHSGQ</v>
      </c>
      <c r="B1648" s="7" t="s">
        <v>1971</v>
      </c>
      <c r="C1648" s="7" t="s">
        <v>1972</v>
      </c>
      <c r="D1648" s="7" t="s">
        <v>1997</v>
      </c>
      <c r="E1648" s="8">
        <v>36301</v>
      </c>
      <c r="F1648" s="9">
        <v>44533</v>
      </c>
    </row>
    <row r="1649" spans="1:6" ht="14.25" x14ac:dyDescent="0.45">
      <c r="A1649" s="6" t="str">
        <f ca="1">IFERROR(__xludf.DUMMYFUNCTION("""COMPUTED_VALUE"""),"X9B7SFP")</f>
        <v>X9B7SFP</v>
      </c>
      <c r="B1649" s="7" t="s">
        <v>1971</v>
      </c>
      <c r="C1649" s="7" t="s">
        <v>1972</v>
      </c>
      <c r="D1649" s="7" t="s">
        <v>2007</v>
      </c>
      <c r="E1649" s="8">
        <v>36312</v>
      </c>
      <c r="F1649" s="10" t="s">
        <v>2242</v>
      </c>
    </row>
    <row r="1650" spans="1:6" ht="14.25" x14ac:dyDescent="0.45">
      <c r="A1650" s="6" t="str">
        <f ca="1">IFERROR(__xludf.DUMMYFUNCTION("""COMPUTED_VALUE"""),"X2D8M")</f>
        <v>X2D8M</v>
      </c>
      <c r="B1650" s="7" t="s">
        <v>1980</v>
      </c>
      <c r="C1650" s="7" t="s">
        <v>1977</v>
      </c>
      <c r="D1650" s="7" t="s">
        <v>1982</v>
      </c>
      <c r="E1650" s="8">
        <v>36313</v>
      </c>
      <c r="F1650" s="9">
        <v>44409</v>
      </c>
    </row>
    <row r="1651" spans="1:6" ht="14.25" x14ac:dyDescent="0.45">
      <c r="A1651" s="6" t="str">
        <f ca="1">IFERROR(__xludf.DUMMYFUNCTION("""COMPUTED_VALUE"""),"X2B8K")</f>
        <v>X2B8K</v>
      </c>
      <c r="B1651" s="7" t="s">
        <v>1986</v>
      </c>
      <c r="C1651" s="7" t="s">
        <v>1981</v>
      </c>
      <c r="D1651" s="7" t="s">
        <v>1982</v>
      </c>
      <c r="E1651" s="8">
        <v>36330</v>
      </c>
      <c r="F1651" s="10" t="s">
        <v>2029</v>
      </c>
    </row>
    <row r="1652" spans="1:6" ht="14.25" x14ac:dyDescent="0.45">
      <c r="A1652" s="6" t="str">
        <f ca="1">IFERROR(__xludf.DUMMYFUNCTION("""COMPUTED_VALUE"""),"XFJJHOV")</f>
        <v>XFJJHOV</v>
      </c>
      <c r="B1652" s="7" t="s">
        <v>1971</v>
      </c>
      <c r="C1652" s="7" t="s">
        <v>1974</v>
      </c>
      <c r="D1652" s="7" t="s">
        <v>1982</v>
      </c>
      <c r="E1652" s="8">
        <v>36333</v>
      </c>
      <c r="F1652" s="10" t="s">
        <v>2298</v>
      </c>
    </row>
    <row r="1653" spans="1:6" ht="14.25" x14ac:dyDescent="0.45">
      <c r="A1653" s="6" t="str">
        <f ca="1">IFERROR(__xludf.DUMMYFUNCTION("""COMPUTED_VALUE"""),"XSBVOBV")</f>
        <v>XSBVOBV</v>
      </c>
      <c r="B1653" s="7" t="s">
        <v>1971</v>
      </c>
      <c r="C1653" s="7" t="s">
        <v>1972</v>
      </c>
      <c r="D1653" s="7" t="s">
        <v>1974</v>
      </c>
      <c r="E1653" s="8">
        <v>36336</v>
      </c>
      <c r="F1653" s="10" t="s">
        <v>2246</v>
      </c>
    </row>
    <row r="1654" spans="1:6" ht="14.25" x14ac:dyDescent="0.45">
      <c r="A1654" s="6" t="str">
        <f ca="1">IFERROR(__xludf.DUMMYFUNCTION("""COMPUTED_VALUE"""),"XYSNYZS")</f>
        <v>XYSNYZS</v>
      </c>
      <c r="B1654" s="7" t="s">
        <v>1971</v>
      </c>
      <c r="C1654" s="7" t="s">
        <v>1981</v>
      </c>
      <c r="D1654" s="7" t="s">
        <v>1982</v>
      </c>
      <c r="E1654" s="8">
        <v>36336</v>
      </c>
      <c r="F1654" s="9">
        <v>44355</v>
      </c>
    </row>
    <row r="1655" spans="1:6" ht="14.25" x14ac:dyDescent="0.45">
      <c r="A1655" s="6" t="str">
        <f ca="1">IFERROR(__xludf.DUMMYFUNCTION("""COMPUTED_VALUE"""),"XNS5TJ8")</f>
        <v>XNS5TJ8</v>
      </c>
      <c r="B1655" s="7" t="s">
        <v>1971</v>
      </c>
      <c r="C1655" s="7" t="s">
        <v>1981</v>
      </c>
      <c r="D1655" s="7" t="s">
        <v>1982</v>
      </c>
      <c r="E1655" s="8">
        <v>36339</v>
      </c>
      <c r="F1655" s="10" t="s">
        <v>2287</v>
      </c>
    </row>
    <row r="1656" spans="1:6" ht="14.25" x14ac:dyDescent="0.45">
      <c r="A1656" s="6" t="str">
        <f ca="1">IFERROR(__xludf.DUMMYFUNCTION("""COMPUTED_VALUE"""),"XQEU6SJ")</f>
        <v>XQEU6SJ</v>
      </c>
      <c r="B1656" s="7" t="s">
        <v>1986</v>
      </c>
      <c r="C1656" s="7" t="s">
        <v>1981</v>
      </c>
      <c r="D1656" s="7" t="s">
        <v>1982</v>
      </c>
      <c r="E1656" s="8">
        <v>36348</v>
      </c>
      <c r="F1656" s="9">
        <v>44481</v>
      </c>
    </row>
    <row r="1657" spans="1:6" ht="14.25" x14ac:dyDescent="0.45">
      <c r="A1657" s="6" t="str">
        <f ca="1">IFERROR(__xludf.DUMMYFUNCTION("""COMPUTED_VALUE"""),"XDP64SI")</f>
        <v>XDP64SI</v>
      </c>
      <c r="B1657" s="7" t="s">
        <v>1971</v>
      </c>
      <c r="C1657" s="7" t="s">
        <v>1977</v>
      </c>
      <c r="D1657" s="7" t="s">
        <v>1982</v>
      </c>
      <c r="E1657" s="8">
        <v>36350</v>
      </c>
      <c r="F1657" s="10" t="s">
        <v>2282</v>
      </c>
    </row>
    <row r="1658" spans="1:6" ht="14.25" x14ac:dyDescent="0.45">
      <c r="A1658" s="6" t="str">
        <f ca="1">IFERROR(__xludf.DUMMYFUNCTION("""COMPUTED_VALUE"""),"XCRL57V")</f>
        <v>XCRL57V</v>
      </c>
      <c r="B1658" s="7" t="s">
        <v>1971</v>
      </c>
      <c r="C1658" s="7" t="s">
        <v>1972</v>
      </c>
      <c r="D1658" s="7" t="s">
        <v>1997</v>
      </c>
      <c r="E1658" s="8">
        <v>36351</v>
      </c>
      <c r="F1658" s="10" t="s">
        <v>2245</v>
      </c>
    </row>
    <row r="1659" spans="1:6" ht="14.25" x14ac:dyDescent="0.45">
      <c r="A1659" s="6" t="str">
        <f ca="1">IFERROR(__xludf.DUMMYFUNCTION("""COMPUTED_VALUE"""),"XIR1N7G")</f>
        <v>XIR1N7G</v>
      </c>
      <c r="B1659" s="7" t="s">
        <v>1986</v>
      </c>
      <c r="C1659" s="7" t="s">
        <v>1981</v>
      </c>
      <c r="D1659" s="7" t="s">
        <v>1982</v>
      </c>
      <c r="E1659" s="8">
        <v>36354</v>
      </c>
      <c r="F1659" s="9">
        <v>44200</v>
      </c>
    </row>
    <row r="1660" spans="1:6" ht="14.25" x14ac:dyDescent="0.45">
      <c r="A1660" s="6" t="str">
        <f ca="1">IFERROR(__xludf.DUMMYFUNCTION("""COMPUTED_VALUE"""),"XRRZHCJ")</f>
        <v>XRRZHCJ</v>
      </c>
      <c r="B1660" s="7" t="s">
        <v>1971</v>
      </c>
      <c r="C1660" s="7" t="s">
        <v>1972</v>
      </c>
      <c r="D1660" s="7" t="s">
        <v>2026</v>
      </c>
      <c r="E1660" s="8">
        <v>36355</v>
      </c>
      <c r="F1660" s="10" t="s">
        <v>2242</v>
      </c>
    </row>
    <row r="1661" spans="1:6" ht="14.25" x14ac:dyDescent="0.45">
      <c r="A1661" s="6" t="str">
        <f ca="1">IFERROR(__xludf.DUMMYFUNCTION("""COMPUTED_VALUE"""),"X1DNIBW")</f>
        <v>X1DNIBW</v>
      </c>
      <c r="B1661" s="7" t="s">
        <v>1971</v>
      </c>
      <c r="C1661" s="7" t="s">
        <v>1974</v>
      </c>
      <c r="D1661" s="7" t="s">
        <v>1982</v>
      </c>
      <c r="E1661" s="8">
        <v>36355</v>
      </c>
      <c r="F1661" s="10" t="s">
        <v>2247</v>
      </c>
    </row>
    <row r="1662" spans="1:6" ht="14.25" x14ac:dyDescent="0.45">
      <c r="A1662" s="6" t="str">
        <f ca="1">IFERROR(__xludf.DUMMYFUNCTION("""COMPUTED_VALUE"""),"X2CFC")</f>
        <v>X2CFC</v>
      </c>
      <c r="B1662" s="7" t="s">
        <v>1980</v>
      </c>
      <c r="C1662" s="7" t="s">
        <v>1972</v>
      </c>
      <c r="D1662" s="7" t="s">
        <v>1982</v>
      </c>
      <c r="E1662" s="8">
        <v>36361</v>
      </c>
      <c r="F1662" s="10" t="s">
        <v>2032</v>
      </c>
    </row>
    <row r="1663" spans="1:6" ht="14.25" x14ac:dyDescent="0.45">
      <c r="A1663" s="6" t="str">
        <f ca="1">IFERROR(__xludf.DUMMYFUNCTION("""COMPUTED_VALUE"""),"X3291")</f>
        <v>X3291</v>
      </c>
      <c r="B1663" s="7" t="s">
        <v>1971</v>
      </c>
      <c r="C1663" s="7" t="s">
        <v>1972</v>
      </c>
      <c r="D1663" s="7" t="s">
        <v>1982</v>
      </c>
      <c r="E1663" s="8">
        <v>36374</v>
      </c>
      <c r="F1663" s="10" t="s">
        <v>2066</v>
      </c>
    </row>
    <row r="1664" spans="1:6" ht="14.25" x14ac:dyDescent="0.45">
      <c r="A1664" s="6" t="str">
        <f ca="1">IFERROR(__xludf.DUMMYFUNCTION("""COMPUTED_VALUE"""),"XEATHVY")</f>
        <v>XEATHVY</v>
      </c>
      <c r="B1664" s="7" t="s">
        <v>1971</v>
      </c>
      <c r="C1664" s="7" t="s">
        <v>1981</v>
      </c>
      <c r="D1664" s="7" t="s">
        <v>1975</v>
      </c>
      <c r="E1664" s="8">
        <v>36385</v>
      </c>
      <c r="F1664" s="9">
        <v>44475</v>
      </c>
    </row>
    <row r="1665" spans="1:6" ht="14.25" x14ac:dyDescent="0.45">
      <c r="A1665" s="6" t="str">
        <f ca="1">IFERROR(__xludf.DUMMYFUNCTION("""COMPUTED_VALUE"""),"XLHIU8U")</f>
        <v>XLHIU8U</v>
      </c>
      <c r="B1665" s="7" t="s">
        <v>1971</v>
      </c>
      <c r="C1665" s="7" t="s">
        <v>1981</v>
      </c>
      <c r="D1665" s="7" t="s">
        <v>1982</v>
      </c>
      <c r="E1665" s="8">
        <v>36387</v>
      </c>
      <c r="F1665" s="10" t="s">
        <v>2277</v>
      </c>
    </row>
    <row r="1666" spans="1:6" ht="14.25" x14ac:dyDescent="0.45">
      <c r="A1666" s="6" t="str">
        <f ca="1">IFERROR(__xludf.DUMMYFUNCTION("""COMPUTED_VALUE"""),"X2B10J")</f>
        <v>X2B10J</v>
      </c>
      <c r="B1666" s="7" t="s">
        <v>1986</v>
      </c>
      <c r="C1666" s="7" t="s">
        <v>1981</v>
      </c>
      <c r="D1666" s="7" t="s">
        <v>1982</v>
      </c>
      <c r="E1666" s="8">
        <v>36389</v>
      </c>
      <c r="F1666" s="9">
        <v>44116</v>
      </c>
    </row>
    <row r="1667" spans="1:6" ht="14.25" x14ac:dyDescent="0.45">
      <c r="A1667" s="6" t="str">
        <f ca="1">IFERROR(__xludf.DUMMYFUNCTION("""COMPUTED_VALUE"""),"XEZPPDP")</f>
        <v>XEZPPDP</v>
      </c>
      <c r="B1667" s="7" t="s">
        <v>1971</v>
      </c>
      <c r="C1667" s="7" t="s">
        <v>1974</v>
      </c>
      <c r="D1667" s="7" t="s">
        <v>1975</v>
      </c>
      <c r="E1667" s="8">
        <v>36390</v>
      </c>
      <c r="F1667" s="10" t="s">
        <v>2298</v>
      </c>
    </row>
    <row r="1668" spans="1:6" ht="14.25" x14ac:dyDescent="0.45">
      <c r="A1668" s="6" t="str">
        <f ca="1">IFERROR(__xludf.DUMMYFUNCTION("""COMPUTED_VALUE"""),"X27J8")</f>
        <v>X27J8</v>
      </c>
      <c r="B1668" s="7" t="s">
        <v>2025</v>
      </c>
      <c r="C1668" s="7" t="s">
        <v>1977</v>
      </c>
      <c r="D1668" s="7" t="s">
        <v>1982</v>
      </c>
      <c r="E1668" s="8">
        <v>36396</v>
      </c>
      <c r="F1668" s="10" t="s">
        <v>2148</v>
      </c>
    </row>
    <row r="1669" spans="1:6" ht="14.25" x14ac:dyDescent="0.45">
      <c r="A1669" s="6" t="str">
        <f ca="1">IFERROR(__xludf.DUMMYFUNCTION("""COMPUTED_VALUE"""),"XA3DLQI")</f>
        <v>XA3DLQI</v>
      </c>
      <c r="B1669" s="7" t="s">
        <v>2025</v>
      </c>
      <c r="C1669" s="7" t="s">
        <v>1996</v>
      </c>
      <c r="D1669" s="7" t="s">
        <v>1973</v>
      </c>
      <c r="E1669" s="8">
        <v>36396</v>
      </c>
      <c r="F1669" s="10" t="s">
        <v>2217</v>
      </c>
    </row>
    <row r="1670" spans="1:6" ht="14.25" x14ac:dyDescent="0.45">
      <c r="A1670" s="6" t="str">
        <f ca="1">IFERROR(__xludf.DUMMYFUNCTION("""COMPUTED_VALUE"""),"XYEA912")</f>
        <v>XYEA912</v>
      </c>
      <c r="B1670" s="7" t="s">
        <v>1980</v>
      </c>
      <c r="C1670" s="7" t="s">
        <v>1972</v>
      </c>
      <c r="D1670" s="7" t="s">
        <v>1975</v>
      </c>
      <c r="E1670" s="8">
        <v>36400</v>
      </c>
      <c r="F1670" s="10" t="s">
        <v>2303</v>
      </c>
    </row>
    <row r="1671" spans="1:6" ht="14.25" x14ac:dyDescent="0.45">
      <c r="A1671" s="6" t="str">
        <f ca="1">IFERROR(__xludf.DUMMYFUNCTION("""COMPUTED_VALUE"""),"X29ZX")</f>
        <v>X29ZX</v>
      </c>
      <c r="B1671" s="7" t="s">
        <v>1986</v>
      </c>
      <c r="C1671" s="7" t="s">
        <v>1981</v>
      </c>
      <c r="D1671" s="7" t="s">
        <v>1982</v>
      </c>
      <c r="E1671" s="8">
        <v>36401</v>
      </c>
      <c r="F1671" s="10" t="s">
        <v>2023</v>
      </c>
    </row>
    <row r="1672" spans="1:6" ht="14.25" x14ac:dyDescent="0.45">
      <c r="A1672" s="6" t="str">
        <f ca="1">IFERROR(__xludf.DUMMYFUNCTION("""COMPUTED_VALUE"""),"X1MOG")</f>
        <v>X1MOG</v>
      </c>
      <c r="B1672" s="7" t="s">
        <v>1980</v>
      </c>
      <c r="C1672" s="7" t="s">
        <v>1972</v>
      </c>
      <c r="D1672" s="7" t="s">
        <v>1974</v>
      </c>
      <c r="E1672" s="8">
        <v>36402</v>
      </c>
      <c r="F1672" s="10" t="s">
        <v>2034</v>
      </c>
    </row>
    <row r="1673" spans="1:6" ht="14.25" x14ac:dyDescent="0.45">
      <c r="A1673" s="6" t="str">
        <f ca="1">IFERROR(__xludf.DUMMYFUNCTION("""COMPUTED_VALUE"""),"X27XC")</f>
        <v>X27XC</v>
      </c>
      <c r="B1673" s="7" t="s">
        <v>1980</v>
      </c>
      <c r="C1673" s="7" t="s">
        <v>1981</v>
      </c>
      <c r="D1673" s="7" t="s">
        <v>1982</v>
      </c>
      <c r="E1673" s="8">
        <v>36404</v>
      </c>
      <c r="F1673" s="10" t="s">
        <v>2017</v>
      </c>
    </row>
    <row r="1674" spans="1:6" ht="14.25" x14ac:dyDescent="0.45">
      <c r="A1674" s="6" t="str">
        <f ca="1">IFERROR(__xludf.DUMMYFUNCTION("""COMPUTED_VALUE"""),"XQRNDYU")</f>
        <v>XQRNDYU</v>
      </c>
      <c r="B1674" s="7" t="s">
        <v>1971</v>
      </c>
      <c r="C1674" s="7" t="s">
        <v>1981</v>
      </c>
      <c r="D1674" s="7" t="s">
        <v>1982</v>
      </c>
      <c r="E1674" s="8">
        <v>36427</v>
      </c>
      <c r="F1674" s="9">
        <v>44510</v>
      </c>
    </row>
    <row r="1675" spans="1:6" ht="14.25" x14ac:dyDescent="0.45">
      <c r="A1675" s="6" t="str">
        <f ca="1">IFERROR(__xludf.DUMMYFUNCTION("""COMPUTED_VALUE"""),"XY7Y1SS")</f>
        <v>XY7Y1SS</v>
      </c>
      <c r="B1675" s="7" t="s">
        <v>1971</v>
      </c>
      <c r="C1675" s="7" t="s">
        <v>1981</v>
      </c>
      <c r="D1675" s="7" t="s">
        <v>1982</v>
      </c>
      <c r="E1675" s="8">
        <v>36429</v>
      </c>
      <c r="F1675" s="10" t="s">
        <v>2220</v>
      </c>
    </row>
    <row r="1676" spans="1:6" ht="14.25" x14ac:dyDescent="0.45">
      <c r="A1676" s="6" t="str">
        <f ca="1">IFERROR(__xludf.DUMMYFUNCTION("""COMPUTED_VALUE"""),"X2C10R")</f>
        <v>X2C10R</v>
      </c>
      <c r="B1676" s="7" t="s">
        <v>1971</v>
      </c>
      <c r="C1676" s="7" t="s">
        <v>1981</v>
      </c>
      <c r="D1676" s="7" t="s">
        <v>1975</v>
      </c>
      <c r="E1676" s="8">
        <v>36435</v>
      </c>
      <c r="F1676" s="9">
        <v>44287</v>
      </c>
    </row>
    <row r="1677" spans="1:6" ht="14.25" x14ac:dyDescent="0.45">
      <c r="A1677" s="6" t="str">
        <f ca="1">IFERROR(__xludf.DUMMYFUNCTION("""COMPUTED_VALUE"""),"XLB2FKP")</f>
        <v>XLB2FKP</v>
      </c>
      <c r="B1677" s="7" t="s">
        <v>1980</v>
      </c>
      <c r="C1677" s="7" t="s">
        <v>1972</v>
      </c>
      <c r="D1677" s="7" t="s">
        <v>1973</v>
      </c>
      <c r="E1677" s="8">
        <v>36442</v>
      </c>
      <c r="F1677" s="10" t="s">
        <v>2192</v>
      </c>
    </row>
    <row r="1678" spans="1:6" ht="14.25" x14ac:dyDescent="0.45">
      <c r="A1678" s="6" t="str">
        <f ca="1">IFERROR(__xludf.DUMMYFUNCTION("""COMPUTED_VALUE"""),"X1IYG2A")</f>
        <v>X1IYG2A</v>
      </c>
      <c r="B1678" s="7" t="s">
        <v>1971</v>
      </c>
      <c r="C1678" s="7" t="s">
        <v>1972</v>
      </c>
      <c r="D1678" s="7" t="s">
        <v>1982</v>
      </c>
      <c r="E1678" s="8">
        <v>36443</v>
      </c>
      <c r="F1678" s="10" t="s">
        <v>2280</v>
      </c>
    </row>
    <row r="1679" spans="1:6" ht="14.25" x14ac:dyDescent="0.45">
      <c r="A1679" s="6" t="str">
        <f ca="1">IFERROR(__xludf.DUMMYFUNCTION("""COMPUTED_VALUE"""),"X22ER")</f>
        <v>X22ER</v>
      </c>
      <c r="B1679" s="7" t="s">
        <v>1971</v>
      </c>
      <c r="C1679" s="7" t="s">
        <v>1981</v>
      </c>
      <c r="D1679" s="7" t="s">
        <v>1982</v>
      </c>
      <c r="E1679" s="8">
        <v>36453</v>
      </c>
      <c r="F1679" s="9">
        <v>43893</v>
      </c>
    </row>
    <row r="1680" spans="1:6" ht="14.25" x14ac:dyDescent="0.45">
      <c r="A1680" s="6" t="str">
        <f ca="1">IFERROR(__xludf.DUMMYFUNCTION("""COMPUTED_VALUE"""),"X3707")</f>
        <v>X3707</v>
      </c>
      <c r="B1680" s="7" t="s">
        <v>1980</v>
      </c>
      <c r="C1680" s="7" t="s">
        <v>1981</v>
      </c>
      <c r="D1680" s="7" t="s">
        <v>1975</v>
      </c>
      <c r="E1680" s="8">
        <v>36453</v>
      </c>
      <c r="F1680" s="10" t="s">
        <v>2180</v>
      </c>
    </row>
    <row r="1681" spans="1:6" ht="14.25" x14ac:dyDescent="0.45">
      <c r="A1681" s="6" t="str">
        <f ca="1">IFERROR(__xludf.DUMMYFUNCTION("""COMPUTED_VALUE"""),"XM3J95O")</f>
        <v>XM3J95O</v>
      </c>
      <c r="B1681" s="7" t="s">
        <v>1971</v>
      </c>
      <c r="C1681" s="7" t="s">
        <v>1974</v>
      </c>
      <c r="D1681" s="7" t="s">
        <v>1982</v>
      </c>
      <c r="E1681" s="8">
        <v>36455</v>
      </c>
      <c r="F1681" s="10" t="s">
        <v>2247</v>
      </c>
    </row>
    <row r="1682" spans="1:6" ht="14.25" x14ac:dyDescent="0.45">
      <c r="A1682" s="6" t="str">
        <f ca="1">IFERROR(__xludf.DUMMYFUNCTION("""COMPUTED_VALUE"""),"XJFGNSN")</f>
        <v>XJFGNSN</v>
      </c>
      <c r="B1682" s="7" t="s">
        <v>1971</v>
      </c>
      <c r="C1682" s="7" t="s">
        <v>1974</v>
      </c>
      <c r="D1682" s="7" t="s">
        <v>1993</v>
      </c>
      <c r="E1682" s="8">
        <v>36457</v>
      </c>
      <c r="F1682" s="10" t="s">
        <v>2212</v>
      </c>
    </row>
    <row r="1683" spans="1:6" ht="14.25" x14ac:dyDescent="0.45">
      <c r="A1683" s="6" t="str">
        <f ca="1">IFERROR(__xludf.DUMMYFUNCTION("""COMPUTED_VALUE"""),"XELJETV")</f>
        <v>XELJETV</v>
      </c>
      <c r="B1683" s="7" t="s">
        <v>2215</v>
      </c>
      <c r="C1683" s="7" t="s">
        <v>2215</v>
      </c>
      <c r="D1683" s="7" t="s">
        <v>2215</v>
      </c>
      <c r="E1683" s="8">
        <v>36459</v>
      </c>
      <c r="F1683" s="10" t="s">
        <v>2308</v>
      </c>
    </row>
    <row r="1684" spans="1:6" ht="14.25" x14ac:dyDescent="0.45">
      <c r="A1684" s="6" t="str">
        <f ca="1">IFERROR(__xludf.DUMMYFUNCTION("""COMPUTED_VALUE"""),"XER4QG5")</f>
        <v>XER4QG5</v>
      </c>
      <c r="B1684" s="7" t="s">
        <v>1971</v>
      </c>
      <c r="C1684" s="7" t="s">
        <v>1981</v>
      </c>
      <c r="D1684" s="7" t="s">
        <v>1975</v>
      </c>
      <c r="E1684" s="8">
        <v>36464</v>
      </c>
      <c r="F1684" s="10" t="s">
        <v>2260</v>
      </c>
    </row>
    <row r="1685" spans="1:6" ht="14.25" x14ac:dyDescent="0.45">
      <c r="A1685" s="6" t="str">
        <f ca="1">IFERROR(__xludf.DUMMYFUNCTION("""COMPUTED_VALUE"""),"XF8ZY5T")</f>
        <v>XF8ZY5T</v>
      </c>
      <c r="B1685" s="7" t="s">
        <v>1971</v>
      </c>
      <c r="C1685" s="7" t="s">
        <v>1974</v>
      </c>
      <c r="D1685" s="7" t="s">
        <v>1982</v>
      </c>
      <c r="E1685" s="8">
        <v>36466</v>
      </c>
      <c r="F1685" s="9">
        <v>44418</v>
      </c>
    </row>
    <row r="1686" spans="1:6" ht="14.25" x14ac:dyDescent="0.45">
      <c r="A1686" s="6" t="str">
        <f ca="1">IFERROR(__xludf.DUMMYFUNCTION("""COMPUTED_VALUE"""),"XE9D4UN")</f>
        <v>XE9D4UN</v>
      </c>
      <c r="B1686" s="7" t="s">
        <v>1971</v>
      </c>
      <c r="C1686" s="7" t="s">
        <v>1981</v>
      </c>
      <c r="D1686" s="7" t="s">
        <v>1982</v>
      </c>
      <c r="E1686" s="8">
        <v>36470</v>
      </c>
      <c r="F1686" s="9">
        <v>44508</v>
      </c>
    </row>
    <row r="1687" spans="1:6" ht="14.25" x14ac:dyDescent="0.45">
      <c r="A1687" s="6" t="str">
        <f ca="1">IFERROR(__xludf.DUMMYFUNCTION("""COMPUTED_VALUE"""),"X2DGG")</f>
        <v>X2DGG</v>
      </c>
      <c r="B1687" s="7" t="s">
        <v>1971</v>
      </c>
      <c r="C1687" s="7" t="s">
        <v>1981</v>
      </c>
      <c r="D1687" s="7" t="s">
        <v>1982</v>
      </c>
      <c r="E1687" s="8">
        <v>36482</v>
      </c>
      <c r="F1687" s="10" t="s">
        <v>2046</v>
      </c>
    </row>
    <row r="1688" spans="1:6" ht="14.25" x14ac:dyDescent="0.45">
      <c r="A1688" s="6" t="str">
        <f ca="1">IFERROR(__xludf.DUMMYFUNCTION("""COMPUTED_VALUE"""),"XL8EA97")</f>
        <v>XL8EA97</v>
      </c>
      <c r="B1688" s="7" t="s">
        <v>1971</v>
      </c>
      <c r="C1688" s="7" t="s">
        <v>1981</v>
      </c>
      <c r="D1688" s="7" t="s">
        <v>1982</v>
      </c>
      <c r="E1688" s="8">
        <v>36493</v>
      </c>
      <c r="F1688" s="10" t="s">
        <v>2191</v>
      </c>
    </row>
    <row r="1689" spans="1:6" ht="14.25" x14ac:dyDescent="0.45">
      <c r="A1689" s="6" t="str">
        <f ca="1">IFERROR(__xludf.DUMMYFUNCTION("""COMPUTED_VALUE"""),"XOU3UDQ")</f>
        <v>XOU3UDQ</v>
      </c>
      <c r="B1689" s="7" t="s">
        <v>1971</v>
      </c>
      <c r="C1689" s="7" t="s">
        <v>1977</v>
      </c>
      <c r="D1689" s="7" t="s">
        <v>1993</v>
      </c>
      <c r="E1689" s="8">
        <v>36498</v>
      </c>
      <c r="F1689" s="10" t="s">
        <v>2260</v>
      </c>
    </row>
    <row r="1690" spans="1:6" ht="14.25" x14ac:dyDescent="0.45">
      <c r="A1690" s="6" t="str">
        <f ca="1">IFERROR(__xludf.DUMMYFUNCTION("""COMPUTED_VALUE"""),"XCP53MK")</f>
        <v>XCP53MK</v>
      </c>
      <c r="B1690" s="7" t="s">
        <v>1971</v>
      </c>
      <c r="C1690" s="7" t="s">
        <v>1974</v>
      </c>
      <c r="D1690" s="7" t="s">
        <v>1982</v>
      </c>
      <c r="E1690" s="8">
        <v>36516</v>
      </c>
      <c r="F1690" s="10" t="s">
        <v>2191</v>
      </c>
    </row>
    <row r="1691" spans="1:6" ht="14.25" x14ac:dyDescent="0.45">
      <c r="A1691" s="6" t="str">
        <f ca="1">IFERROR(__xludf.DUMMYFUNCTION("""COMPUTED_VALUE"""),"XC4HGXH")</f>
        <v>XC4HGXH</v>
      </c>
      <c r="B1691" s="7" t="s">
        <v>1971</v>
      </c>
      <c r="C1691" s="7" t="s">
        <v>1981</v>
      </c>
      <c r="D1691" s="7" t="s">
        <v>1975</v>
      </c>
      <c r="E1691" s="8">
        <v>36517</v>
      </c>
      <c r="F1691" s="9">
        <v>44503</v>
      </c>
    </row>
    <row r="1692" spans="1:6" ht="14.25" x14ac:dyDescent="0.45">
      <c r="A1692" s="6" t="str">
        <f ca="1">IFERROR(__xludf.DUMMYFUNCTION("""COMPUTED_VALUE"""),"X2CND")</f>
        <v>X2CND</v>
      </c>
      <c r="B1692" s="7" t="s">
        <v>1986</v>
      </c>
      <c r="C1692" s="7" t="s">
        <v>1981</v>
      </c>
      <c r="D1692" s="7" t="s">
        <v>1982</v>
      </c>
      <c r="E1692" s="8">
        <v>36521</v>
      </c>
      <c r="F1692" s="10" t="s">
        <v>2001</v>
      </c>
    </row>
    <row r="1693" spans="1:6" ht="14.25" x14ac:dyDescent="0.45">
      <c r="A1693" s="6" t="str">
        <f ca="1">IFERROR(__xludf.DUMMYFUNCTION("""COMPUTED_VALUE"""),"XXCVA87")</f>
        <v>XXCVA87</v>
      </c>
      <c r="B1693" s="7" t="s">
        <v>1986</v>
      </c>
      <c r="C1693" s="7" t="s">
        <v>1974</v>
      </c>
      <c r="D1693" s="7" t="s">
        <v>1982</v>
      </c>
      <c r="E1693" s="8">
        <v>36527</v>
      </c>
      <c r="F1693" s="10" t="s">
        <v>2314</v>
      </c>
    </row>
    <row r="1694" spans="1:6" ht="14.25" x14ac:dyDescent="0.45">
      <c r="A1694" s="6" t="str">
        <f ca="1">IFERROR(__xludf.DUMMYFUNCTION("""COMPUTED_VALUE"""),"XHD2B3W")</f>
        <v>XHD2B3W</v>
      </c>
      <c r="B1694" s="7" t="s">
        <v>1971</v>
      </c>
      <c r="C1694" s="7" t="s">
        <v>1974</v>
      </c>
      <c r="D1694" s="7" t="s">
        <v>1982</v>
      </c>
      <c r="E1694" s="8">
        <v>36529</v>
      </c>
      <c r="F1694" s="10" t="s">
        <v>2287</v>
      </c>
    </row>
    <row r="1695" spans="1:6" ht="14.25" x14ac:dyDescent="0.45">
      <c r="A1695" s="6" t="str">
        <f ca="1">IFERROR(__xludf.DUMMYFUNCTION("""COMPUTED_VALUE"""),"X20G0")</f>
        <v>X20G0</v>
      </c>
      <c r="B1695" s="7" t="s">
        <v>1971</v>
      </c>
      <c r="C1695" s="7" t="s">
        <v>1975</v>
      </c>
      <c r="D1695" s="7" t="s">
        <v>1975</v>
      </c>
      <c r="E1695" s="8">
        <v>36533</v>
      </c>
      <c r="F1695" s="10" t="s">
        <v>2169</v>
      </c>
    </row>
    <row r="1696" spans="1:6" ht="14.25" x14ac:dyDescent="0.45">
      <c r="A1696" s="6" t="str">
        <f ca="1">IFERROR(__xludf.DUMMYFUNCTION("""COMPUTED_VALUE"""),"X2916N")</f>
        <v>X2916N</v>
      </c>
      <c r="B1696" s="7" t="s">
        <v>1971</v>
      </c>
      <c r="C1696" s="7" t="s">
        <v>1972</v>
      </c>
      <c r="D1696" s="7" t="s">
        <v>1975</v>
      </c>
      <c r="E1696" s="8">
        <v>36544</v>
      </c>
      <c r="F1696" s="10" t="s">
        <v>1979</v>
      </c>
    </row>
    <row r="1697" spans="1:6" ht="14.25" x14ac:dyDescent="0.45">
      <c r="A1697" s="6" t="str">
        <f ca="1">IFERROR(__xludf.DUMMYFUNCTION("""COMPUTED_VALUE"""),"XWXVA4E")</f>
        <v>XWXVA4E</v>
      </c>
      <c r="B1697" s="7" t="s">
        <v>1971</v>
      </c>
      <c r="C1697" s="7" t="s">
        <v>1974</v>
      </c>
      <c r="D1697" s="7" t="s">
        <v>1982</v>
      </c>
      <c r="E1697" s="8">
        <v>36544</v>
      </c>
      <c r="F1697" s="9">
        <v>44445</v>
      </c>
    </row>
    <row r="1698" spans="1:6" ht="14.25" x14ac:dyDescent="0.45">
      <c r="A1698" s="6" t="str">
        <f ca="1">IFERROR(__xludf.DUMMYFUNCTION("""COMPUTED_VALUE"""),"X2D20")</f>
        <v>X2D20</v>
      </c>
      <c r="B1698" s="7" t="s">
        <v>1971</v>
      </c>
      <c r="C1698" s="7" t="s">
        <v>1974</v>
      </c>
      <c r="D1698" s="7" t="s">
        <v>1982</v>
      </c>
      <c r="E1698" s="8">
        <v>36546</v>
      </c>
      <c r="F1698" s="9">
        <v>44378</v>
      </c>
    </row>
    <row r="1699" spans="1:6" ht="14.25" x14ac:dyDescent="0.45">
      <c r="A1699" s="6" t="str">
        <f ca="1">IFERROR(__xludf.DUMMYFUNCTION("""COMPUTED_VALUE"""),"XL2N66X")</f>
        <v>XL2N66X</v>
      </c>
      <c r="B1699" s="7" t="s">
        <v>1971</v>
      </c>
      <c r="C1699" s="7" t="s">
        <v>1972</v>
      </c>
      <c r="D1699" s="7" t="s">
        <v>1982</v>
      </c>
      <c r="E1699" s="8">
        <v>36550</v>
      </c>
      <c r="F1699" s="10" t="s">
        <v>2277</v>
      </c>
    </row>
    <row r="1700" spans="1:6" ht="14.25" x14ac:dyDescent="0.45">
      <c r="A1700" s="6" t="str">
        <f ca="1">IFERROR(__xludf.DUMMYFUNCTION("""COMPUTED_VALUE"""),"XVHG48W")</f>
        <v>XVHG48W</v>
      </c>
      <c r="B1700" s="7" t="s">
        <v>1971</v>
      </c>
      <c r="C1700" s="7" t="s">
        <v>1981</v>
      </c>
      <c r="D1700" s="7" t="s">
        <v>1982</v>
      </c>
      <c r="E1700" s="8">
        <v>36554</v>
      </c>
      <c r="F1700" s="9">
        <v>44356</v>
      </c>
    </row>
    <row r="1701" spans="1:6" ht="14.25" x14ac:dyDescent="0.45">
      <c r="A1701" s="6" t="str">
        <f ca="1">IFERROR(__xludf.DUMMYFUNCTION("""COMPUTED_VALUE"""),"XXH2MJP")</f>
        <v>XXH2MJP</v>
      </c>
      <c r="B1701" s="7" t="s">
        <v>1971</v>
      </c>
      <c r="C1701" s="7" t="s">
        <v>1981</v>
      </c>
      <c r="D1701" s="7" t="s">
        <v>1982</v>
      </c>
      <c r="E1701" s="8">
        <v>36557</v>
      </c>
      <c r="F1701" s="10" t="s">
        <v>2246</v>
      </c>
    </row>
    <row r="1702" spans="1:6" ht="14.25" x14ac:dyDescent="0.45">
      <c r="A1702" s="6" t="str">
        <f ca="1">IFERROR(__xludf.DUMMYFUNCTION("""COMPUTED_VALUE"""),"XRI3QVC")</f>
        <v>XRI3QVC</v>
      </c>
      <c r="B1702" s="7" t="s">
        <v>1971</v>
      </c>
      <c r="C1702" s="7" t="s">
        <v>1981</v>
      </c>
      <c r="D1702" s="7" t="s">
        <v>1982</v>
      </c>
      <c r="E1702" s="8">
        <v>36558</v>
      </c>
      <c r="F1702" s="10" t="s">
        <v>2291</v>
      </c>
    </row>
    <row r="1703" spans="1:6" ht="14.25" x14ac:dyDescent="0.45">
      <c r="A1703" s="6" t="str">
        <f ca="1">IFERROR(__xludf.DUMMYFUNCTION("""COMPUTED_VALUE"""),"XPV1FSI")</f>
        <v>XPV1FSI</v>
      </c>
      <c r="B1703" s="7" t="s">
        <v>1971</v>
      </c>
      <c r="C1703" s="7" t="s">
        <v>1981</v>
      </c>
      <c r="D1703" s="7" t="s">
        <v>1982</v>
      </c>
      <c r="E1703" s="8">
        <v>36560</v>
      </c>
      <c r="F1703" s="9">
        <v>44418</v>
      </c>
    </row>
    <row r="1704" spans="1:6" ht="14.25" x14ac:dyDescent="0.45">
      <c r="A1704" s="6" t="str">
        <f ca="1">IFERROR(__xludf.DUMMYFUNCTION("""COMPUTED_VALUE"""),"XGVRFPZ")</f>
        <v>XGVRFPZ</v>
      </c>
      <c r="B1704" s="7" t="s">
        <v>1971</v>
      </c>
      <c r="C1704" s="7" t="s">
        <v>1977</v>
      </c>
      <c r="D1704" s="7" t="s">
        <v>1982</v>
      </c>
      <c r="E1704" s="8">
        <v>36564</v>
      </c>
      <c r="F1704" s="10" t="s">
        <v>2284</v>
      </c>
    </row>
    <row r="1705" spans="1:6" ht="14.25" x14ac:dyDescent="0.45">
      <c r="A1705" s="6" t="str">
        <f ca="1">IFERROR(__xludf.DUMMYFUNCTION("""COMPUTED_VALUE"""),"XF8114S")</f>
        <v>XF8114S</v>
      </c>
      <c r="B1705" s="7" t="s">
        <v>1971</v>
      </c>
      <c r="C1705" s="7" t="s">
        <v>1981</v>
      </c>
      <c r="D1705" s="7" t="s">
        <v>1982</v>
      </c>
      <c r="E1705" s="8">
        <v>36566</v>
      </c>
      <c r="F1705" s="10" t="s">
        <v>2287</v>
      </c>
    </row>
    <row r="1706" spans="1:6" ht="14.25" x14ac:dyDescent="0.45">
      <c r="A1706" s="6" t="str">
        <f ca="1">IFERROR(__xludf.DUMMYFUNCTION("""COMPUTED_VALUE"""),"X2C15S")</f>
        <v>X2C15S</v>
      </c>
      <c r="B1706" s="7" t="s">
        <v>1971</v>
      </c>
      <c r="C1706" s="7" t="s">
        <v>1981</v>
      </c>
      <c r="D1706" s="7" t="s">
        <v>1984</v>
      </c>
      <c r="E1706" s="8">
        <v>36572</v>
      </c>
      <c r="F1706" s="10" t="s">
        <v>2051</v>
      </c>
    </row>
    <row r="1707" spans="1:6" ht="14.25" x14ac:dyDescent="0.45">
      <c r="A1707" s="6" t="str">
        <f ca="1">IFERROR(__xludf.DUMMYFUNCTION("""COMPUTED_VALUE"""),"X9YPZ5T")</f>
        <v>X9YPZ5T</v>
      </c>
      <c r="B1707" s="7" t="s">
        <v>1971</v>
      </c>
      <c r="C1707" s="7" t="s">
        <v>1981</v>
      </c>
      <c r="D1707" s="7" t="s">
        <v>1993</v>
      </c>
      <c r="E1707" s="8">
        <v>36573</v>
      </c>
      <c r="F1707" s="10" t="s">
        <v>2258</v>
      </c>
    </row>
    <row r="1708" spans="1:6" ht="14.25" x14ac:dyDescent="0.45">
      <c r="A1708" s="6" t="str">
        <f ca="1">IFERROR(__xludf.DUMMYFUNCTION("""COMPUTED_VALUE"""),"X88MJVC")</f>
        <v>X88MJVC</v>
      </c>
      <c r="B1708" s="7" t="s">
        <v>1971</v>
      </c>
      <c r="C1708" s="7" t="s">
        <v>1981</v>
      </c>
      <c r="D1708" s="7" t="s">
        <v>1993</v>
      </c>
      <c r="E1708" s="8">
        <v>36576</v>
      </c>
      <c r="F1708" s="10" t="s">
        <v>2242</v>
      </c>
    </row>
    <row r="1709" spans="1:6" ht="14.25" x14ac:dyDescent="0.45">
      <c r="A1709" s="6" t="str">
        <f ca="1">IFERROR(__xludf.DUMMYFUNCTION("""COMPUTED_VALUE"""),"X2A16K")</f>
        <v>X2A16K</v>
      </c>
      <c r="B1709" s="7" t="s">
        <v>1971</v>
      </c>
      <c r="C1709" s="7" t="s">
        <v>1974</v>
      </c>
      <c r="D1709" s="7" t="s">
        <v>1982</v>
      </c>
      <c r="E1709" s="8">
        <v>36582</v>
      </c>
      <c r="F1709" s="10" t="s">
        <v>2071</v>
      </c>
    </row>
    <row r="1710" spans="1:6" ht="14.25" x14ac:dyDescent="0.45">
      <c r="A1710" s="6" t="str">
        <f ca="1">IFERROR(__xludf.DUMMYFUNCTION("""COMPUTED_VALUE"""),"XY8HUL2")</f>
        <v>XY8HUL2</v>
      </c>
      <c r="B1710" s="7" t="s">
        <v>1980</v>
      </c>
      <c r="C1710" s="7" t="s">
        <v>1981</v>
      </c>
      <c r="D1710" s="7" t="s">
        <v>1982</v>
      </c>
      <c r="E1710" s="8">
        <v>36586</v>
      </c>
      <c r="F1710" s="9">
        <v>44200</v>
      </c>
    </row>
    <row r="1711" spans="1:6" ht="14.25" x14ac:dyDescent="0.45">
      <c r="A1711" s="6" t="str">
        <f ca="1">IFERROR(__xludf.DUMMYFUNCTION("""COMPUTED_VALUE"""),"XBX83QA")</f>
        <v>XBX83QA</v>
      </c>
      <c r="B1711" s="7" t="s">
        <v>1971</v>
      </c>
      <c r="C1711" s="7" t="s">
        <v>1972</v>
      </c>
      <c r="D1711" s="7" t="s">
        <v>1975</v>
      </c>
      <c r="E1711" s="8">
        <v>36590</v>
      </c>
      <c r="F1711" s="10" t="s">
        <v>2294</v>
      </c>
    </row>
    <row r="1712" spans="1:6" ht="14.25" x14ac:dyDescent="0.45">
      <c r="A1712" s="6" t="str">
        <f ca="1">IFERROR(__xludf.DUMMYFUNCTION("""COMPUTED_VALUE"""),"X2BLJ")</f>
        <v>X2BLJ</v>
      </c>
      <c r="B1712" s="7" t="s">
        <v>1971</v>
      </c>
      <c r="C1712" s="7" t="s">
        <v>1981</v>
      </c>
      <c r="D1712" s="7" t="s">
        <v>1982</v>
      </c>
      <c r="E1712" s="8">
        <v>36592</v>
      </c>
      <c r="F1712" s="10" t="s">
        <v>2005</v>
      </c>
    </row>
    <row r="1713" spans="1:6" ht="14.25" x14ac:dyDescent="0.45">
      <c r="A1713" s="6" t="str">
        <f ca="1">IFERROR(__xludf.DUMMYFUNCTION("""COMPUTED_VALUE"""),"XUFTBSN")</f>
        <v>XUFTBSN</v>
      </c>
      <c r="B1713" s="7" t="s">
        <v>1971</v>
      </c>
      <c r="C1713" s="7" t="s">
        <v>1977</v>
      </c>
      <c r="D1713" s="7" t="s">
        <v>1993</v>
      </c>
      <c r="E1713" s="8">
        <v>36595</v>
      </c>
      <c r="F1713" s="10" t="s">
        <v>2225</v>
      </c>
    </row>
    <row r="1714" spans="1:6" ht="14.25" x14ac:dyDescent="0.45">
      <c r="A1714" s="6" t="str">
        <f ca="1">IFERROR(__xludf.DUMMYFUNCTION("""COMPUTED_VALUE"""),"XJH1H12")</f>
        <v>XJH1H12</v>
      </c>
      <c r="B1714" s="7" t="s">
        <v>1971</v>
      </c>
      <c r="C1714" s="7" t="s">
        <v>1981</v>
      </c>
      <c r="D1714" s="7" t="s">
        <v>1990</v>
      </c>
      <c r="E1714" s="8">
        <v>36595</v>
      </c>
      <c r="F1714" s="10" t="s">
        <v>2339</v>
      </c>
    </row>
    <row r="1715" spans="1:6" ht="14.25" x14ac:dyDescent="0.45">
      <c r="A1715" s="6" t="str">
        <f ca="1">IFERROR(__xludf.DUMMYFUNCTION("""COMPUTED_VALUE"""),"XBOQBGF")</f>
        <v>XBOQBGF</v>
      </c>
      <c r="B1715" s="7" t="s">
        <v>1971</v>
      </c>
      <c r="C1715" s="7" t="s">
        <v>1975</v>
      </c>
      <c r="D1715" s="7" t="s">
        <v>1982</v>
      </c>
      <c r="E1715" s="8">
        <v>36597</v>
      </c>
      <c r="F1715" s="10" t="s">
        <v>2258</v>
      </c>
    </row>
    <row r="1716" spans="1:6" ht="14.25" x14ac:dyDescent="0.45">
      <c r="A1716" s="6" t="str">
        <f ca="1">IFERROR(__xludf.DUMMYFUNCTION("""COMPUTED_VALUE"""),"X6OH5BR")</f>
        <v>X6OH5BR</v>
      </c>
      <c r="B1716" s="7" t="s">
        <v>1971</v>
      </c>
      <c r="C1716" s="7" t="s">
        <v>1977</v>
      </c>
      <c r="D1716" s="7" t="s">
        <v>1982</v>
      </c>
      <c r="E1716" s="8">
        <v>36600</v>
      </c>
      <c r="F1716" s="10" t="s">
        <v>2274</v>
      </c>
    </row>
    <row r="1717" spans="1:6" ht="14.25" x14ac:dyDescent="0.45">
      <c r="A1717" s="6" t="str">
        <f ca="1">IFERROR(__xludf.DUMMYFUNCTION("""COMPUTED_VALUE"""),"X3680")</f>
        <v>X3680</v>
      </c>
      <c r="B1717" s="7" t="s">
        <v>1980</v>
      </c>
      <c r="C1717" s="7" t="s">
        <v>1981</v>
      </c>
      <c r="D1717" s="7" t="s">
        <v>1975</v>
      </c>
      <c r="E1717" s="8">
        <v>36628</v>
      </c>
      <c r="F1717" s="10" t="s">
        <v>2180</v>
      </c>
    </row>
    <row r="1718" spans="1:6" ht="14.25" x14ac:dyDescent="0.45">
      <c r="A1718" s="6" t="str">
        <f ca="1">IFERROR(__xludf.DUMMYFUNCTION("""COMPUTED_VALUE"""),"X2CVP")</f>
        <v>X2CVP</v>
      </c>
      <c r="B1718" s="7" t="s">
        <v>1971</v>
      </c>
      <c r="C1718" s="7" t="s">
        <v>1974</v>
      </c>
      <c r="D1718" s="7" t="s">
        <v>1982</v>
      </c>
      <c r="E1718" s="8">
        <v>36636</v>
      </c>
      <c r="F1718" s="9">
        <v>44287</v>
      </c>
    </row>
    <row r="1719" spans="1:6" ht="14.25" x14ac:dyDescent="0.45">
      <c r="A1719" s="6" t="str">
        <f ca="1">IFERROR(__xludf.DUMMYFUNCTION("""COMPUTED_VALUE"""),"X2CQPXF")</f>
        <v>X2CQPXF</v>
      </c>
      <c r="B1719" s="7" t="s">
        <v>1971</v>
      </c>
      <c r="C1719" s="7" t="s">
        <v>1981</v>
      </c>
      <c r="D1719" s="7" t="s">
        <v>1982</v>
      </c>
      <c r="E1719" s="8">
        <v>36636</v>
      </c>
      <c r="F1719" s="9">
        <v>44323</v>
      </c>
    </row>
    <row r="1720" spans="1:6" ht="14.25" x14ac:dyDescent="0.45">
      <c r="A1720" s="6" t="str">
        <f ca="1">IFERROR(__xludf.DUMMYFUNCTION("""COMPUTED_VALUE"""),"X2C9P")</f>
        <v>X2C9P</v>
      </c>
      <c r="B1720" s="7" t="s">
        <v>1986</v>
      </c>
      <c r="C1720" s="7" t="s">
        <v>1981</v>
      </c>
      <c r="D1720" s="7" t="s">
        <v>1982</v>
      </c>
      <c r="E1720" s="8">
        <v>36641</v>
      </c>
      <c r="F1720" s="9">
        <v>44024</v>
      </c>
    </row>
    <row r="1721" spans="1:6" ht="14.25" x14ac:dyDescent="0.45">
      <c r="A1721" s="6" t="str">
        <f ca="1">IFERROR(__xludf.DUMMYFUNCTION("""COMPUTED_VALUE"""),"X2E7M")</f>
        <v>X2E7M</v>
      </c>
      <c r="B1721" s="7" t="s">
        <v>1971</v>
      </c>
      <c r="C1721" s="7" t="s">
        <v>1977</v>
      </c>
      <c r="D1721" s="7" t="s">
        <v>1982</v>
      </c>
      <c r="E1721" s="8">
        <v>36658</v>
      </c>
      <c r="F1721" s="10" t="s">
        <v>2196</v>
      </c>
    </row>
    <row r="1722" spans="1:6" ht="14.25" x14ac:dyDescent="0.45">
      <c r="A1722" s="6" t="str">
        <f ca="1">IFERROR(__xludf.DUMMYFUNCTION("""COMPUTED_VALUE"""),"XYDPIWO")</f>
        <v>XYDPIWO</v>
      </c>
      <c r="B1722" s="7" t="s">
        <v>1980</v>
      </c>
      <c r="C1722" s="7" t="s">
        <v>1977</v>
      </c>
      <c r="D1722" s="7" t="s">
        <v>1982</v>
      </c>
      <c r="E1722" s="8">
        <v>36660</v>
      </c>
      <c r="F1722" s="10" t="s">
        <v>2193</v>
      </c>
    </row>
    <row r="1723" spans="1:6" ht="14.25" x14ac:dyDescent="0.45">
      <c r="A1723" s="6" t="str">
        <f ca="1">IFERROR(__xludf.DUMMYFUNCTION("""COMPUTED_VALUE"""),"X3741")</f>
        <v>X3741</v>
      </c>
      <c r="B1723" s="7" t="s">
        <v>1980</v>
      </c>
      <c r="C1723" s="7" t="s">
        <v>1977</v>
      </c>
      <c r="D1723" s="7" t="s">
        <v>2026</v>
      </c>
      <c r="E1723" s="8">
        <v>36664</v>
      </c>
      <c r="F1723" s="10" t="s">
        <v>2185</v>
      </c>
    </row>
    <row r="1724" spans="1:6" ht="14.25" x14ac:dyDescent="0.45">
      <c r="A1724" s="6" t="str">
        <f ca="1">IFERROR(__xludf.DUMMYFUNCTION("""COMPUTED_VALUE"""),"XGIIQX4")</f>
        <v>XGIIQX4</v>
      </c>
      <c r="B1724" s="7" t="s">
        <v>1971</v>
      </c>
      <c r="C1724" s="7" t="s">
        <v>1974</v>
      </c>
      <c r="D1724" s="7" t="s">
        <v>1982</v>
      </c>
      <c r="E1724" s="8">
        <v>36664</v>
      </c>
      <c r="F1724" s="10" t="s">
        <v>2304</v>
      </c>
    </row>
    <row r="1725" spans="1:6" ht="14.25" x14ac:dyDescent="0.45">
      <c r="A1725" s="6" t="str">
        <f ca="1">IFERROR(__xludf.DUMMYFUNCTION("""COMPUTED_VALUE"""),"X262DZB")</f>
        <v>X262DZB</v>
      </c>
      <c r="B1725" s="7" t="s">
        <v>1971</v>
      </c>
      <c r="C1725" s="7" t="s">
        <v>1981</v>
      </c>
      <c r="D1725" s="7" t="s">
        <v>1982</v>
      </c>
      <c r="E1725" s="8">
        <v>36670</v>
      </c>
      <c r="F1725" s="10" t="s">
        <v>2213</v>
      </c>
    </row>
    <row r="1726" spans="1:6" ht="14.25" x14ac:dyDescent="0.45">
      <c r="A1726" s="6" t="str">
        <f ca="1">IFERROR(__xludf.DUMMYFUNCTION("""COMPUTED_VALUE"""),"XOC8C89")</f>
        <v>XOC8C89</v>
      </c>
      <c r="B1726" s="7" t="s">
        <v>1971</v>
      </c>
      <c r="C1726" s="7" t="s">
        <v>1974</v>
      </c>
      <c r="D1726" s="7" t="s">
        <v>1975</v>
      </c>
      <c r="E1726" s="8">
        <v>36673</v>
      </c>
      <c r="F1726" s="10" t="s">
        <v>2247</v>
      </c>
    </row>
    <row r="1727" spans="1:6" ht="14.25" x14ac:dyDescent="0.45">
      <c r="A1727" s="6" t="str">
        <f ca="1">IFERROR(__xludf.DUMMYFUNCTION("""COMPUTED_VALUE"""),"X2LNSF8")</f>
        <v>X2LNSF8</v>
      </c>
      <c r="B1727" s="7" t="s">
        <v>1971</v>
      </c>
      <c r="C1727" s="7" t="s">
        <v>1993</v>
      </c>
      <c r="D1727" s="7" t="s">
        <v>1993</v>
      </c>
      <c r="E1727" s="8">
        <v>36675</v>
      </c>
      <c r="F1727" s="10" t="s">
        <v>2245</v>
      </c>
    </row>
    <row r="1728" spans="1:6" ht="14.25" x14ac:dyDescent="0.45">
      <c r="A1728" s="6" t="str">
        <f ca="1">IFERROR(__xludf.DUMMYFUNCTION("""COMPUTED_VALUE"""),"XVZI56O")</f>
        <v>XVZI56O</v>
      </c>
      <c r="B1728" s="7" t="s">
        <v>1971</v>
      </c>
      <c r="C1728" s="7" t="s">
        <v>1981</v>
      </c>
      <c r="D1728" s="7" t="s">
        <v>1978</v>
      </c>
      <c r="E1728" s="8">
        <v>36679</v>
      </c>
      <c r="F1728" s="10" t="s">
        <v>2247</v>
      </c>
    </row>
    <row r="1729" spans="1:6" ht="14.25" x14ac:dyDescent="0.45">
      <c r="A1729" s="6" t="str">
        <f ca="1">IFERROR(__xludf.DUMMYFUNCTION("""COMPUTED_VALUE"""),"XU7C5T8")</f>
        <v>XU7C5T8</v>
      </c>
      <c r="B1729" s="7" t="s">
        <v>1971</v>
      </c>
      <c r="C1729" s="7" t="s">
        <v>1974</v>
      </c>
      <c r="D1729" s="7" t="s">
        <v>1982</v>
      </c>
      <c r="E1729" s="8">
        <v>36683</v>
      </c>
      <c r="F1729" s="10" t="s">
        <v>2258</v>
      </c>
    </row>
    <row r="1730" spans="1:6" ht="14.25" x14ac:dyDescent="0.45">
      <c r="A1730" s="6" t="str">
        <f ca="1">IFERROR(__xludf.DUMMYFUNCTION("""COMPUTED_VALUE"""),"X8EPEHP")</f>
        <v>X8EPEHP</v>
      </c>
      <c r="B1730" s="7" t="s">
        <v>1980</v>
      </c>
      <c r="C1730" s="7" t="s">
        <v>1977</v>
      </c>
      <c r="D1730" s="7" t="s">
        <v>1982</v>
      </c>
      <c r="E1730" s="8">
        <v>36693</v>
      </c>
      <c r="F1730" s="9">
        <v>44533</v>
      </c>
    </row>
    <row r="1731" spans="1:6" ht="14.25" x14ac:dyDescent="0.45">
      <c r="A1731" s="6" t="str">
        <f ca="1">IFERROR(__xludf.DUMMYFUNCTION("""COMPUTED_VALUE"""),"X27IG")</f>
        <v>X27IG</v>
      </c>
      <c r="B1731" s="7" t="s">
        <v>1980</v>
      </c>
      <c r="C1731" s="7" t="s">
        <v>1977</v>
      </c>
      <c r="D1731" s="7" t="s">
        <v>1982</v>
      </c>
      <c r="E1731" s="8">
        <v>36695</v>
      </c>
      <c r="F1731" s="10" t="s">
        <v>2148</v>
      </c>
    </row>
    <row r="1732" spans="1:6" ht="14.25" x14ac:dyDescent="0.45">
      <c r="A1732" s="6" t="str">
        <f ca="1">IFERROR(__xludf.DUMMYFUNCTION("""COMPUTED_VALUE"""),"X3A56WY")</f>
        <v>X3A56WY</v>
      </c>
      <c r="B1732" s="7" t="s">
        <v>1971</v>
      </c>
      <c r="C1732" s="7" t="s">
        <v>1981</v>
      </c>
      <c r="D1732" s="7" t="s">
        <v>1982</v>
      </c>
      <c r="E1732" s="8">
        <v>36715</v>
      </c>
      <c r="F1732" s="10" t="s">
        <v>2258</v>
      </c>
    </row>
    <row r="1733" spans="1:6" ht="14.25" x14ac:dyDescent="0.45">
      <c r="A1733" s="6" t="str">
        <f ca="1">IFERROR(__xludf.DUMMYFUNCTION("""COMPUTED_VALUE"""),"XTJFZSP")</f>
        <v>XTJFZSP</v>
      </c>
      <c r="B1733" s="7" t="s">
        <v>1971</v>
      </c>
      <c r="C1733" s="7" t="s">
        <v>1981</v>
      </c>
      <c r="D1733" s="7" t="s">
        <v>1975</v>
      </c>
      <c r="E1733" s="8">
        <v>36715</v>
      </c>
      <c r="F1733" s="10" t="s">
        <v>2245</v>
      </c>
    </row>
    <row r="1734" spans="1:6" ht="14.25" x14ac:dyDescent="0.45">
      <c r="A1734" s="6" t="str">
        <f ca="1">IFERROR(__xludf.DUMMYFUNCTION("""COMPUTED_VALUE"""),"XIOI76W")</f>
        <v>XIOI76W</v>
      </c>
      <c r="B1734" s="7" t="s">
        <v>1971</v>
      </c>
      <c r="C1734" s="7" t="s">
        <v>1981</v>
      </c>
      <c r="D1734" s="7" t="s">
        <v>1975</v>
      </c>
      <c r="E1734" s="8">
        <v>36717</v>
      </c>
      <c r="F1734" s="9">
        <v>44292</v>
      </c>
    </row>
    <row r="1735" spans="1:6" ht="14.25" x14ac:dyDescent="0.45">
      <c r="A1735" s="6" t="str">
        <f ca="1">IFERROR(__xludf.DUMMYFUNCTION("""COMPUTED_VALUE"""),"X4RJPSE")</f>
        <v>X4RJPSE</v>
      </c>
      <c r="B1735" s="7" t="s">
        <v>1971</v>
      </c>
      <c r="C1735" s="7" t="s">
        <v>1981</v>
      </c>
      <c r="D1735" s="7" t="s">
        <v>1982</v>
      </c>
      <c r="E1735" s="8">
        <v>36725</v>
      </c>
      <c r="F1735" s="10" t="s">
        <v>2289</v>
      </c>
    </row>
    <row r="1736" spans="1:6" ht="14.25" x14ac:dyDescent="0.45">
      <c r="A1736" s="6" t="str">
        <f ca="1">IFERROR(__xludf.DUMMYFUNCTION("""COMPUTED_VALUE"""),"X9OAP5K")</f>
        <v>X9OAP5K</v>
      </c>
      <c r="B1736" s="7" t="s">
        <v>1971</v>
      </c>
      <c r="C1736" s="7" t="s">
        <v>1977</v>
      </c>
      <c r="D1736" s="7" t="s">
        <v>1982</v>
      </c>
      <c r="E1736" s="8">
        <v>36731</v>
      </c>
      <c r="F1736" s="9">
        <v>44508</v>
      </c>
    </row>
    <row r="1737" spans="1:6" ht="14.25" x14ac:dyDescent="0.45">
      <c r="A1737" s="6" t="str">
        <f ca="1">IFERROR(__xludf.DUMMYFUNCTION("""COMPUTED_VALUE"""),"XQ4BFSW")</f>
        <v>XQ4BFSW</v>
      </c>
      <c r="B1737" s="7" t="s">
        <v>1971</v>
      </c>
      <c r="C1737" s="7" t="s">
        <v>1972</v>
      </c>
      <c r="D1737" s="7" t="s">
        <v>1982</v>
      </c>
      <c r="E1737" s="8">
        <v>36742</v>
      </c>
      <c r="F1737" s="9">
        <v>44538</v>
      </c>
    </row>
    <row r="1738" spans="1:6" ht="14.25" x14ac:dyDescent="0.45">
      <c r="A1738" s="6" t="str">
        <f ca="1">IFERROR(__xludf.DUMMYFUNCTION("""COMPUTED_VALUE"""),"X523J5I")</f>
        <v>X523J5I</v>
      </c>
      <c r="B1738" s="7" t="s">
        <v>1971</v>
      </c>
      <c r="C1738" s="7" t="s">
        <v>1981</v>
      </c>
      <c r="D1738" s="7" t="s">
        <v>1982</v>
      </c>
      <c r="E1738" s="8">
        <v>36744</v>
      </c>
      <c r="F1738" s="9">
        <v>44511</v>
      </c>
    </row>
    <row r="1739" spans="1:6" ht="14.25" x14ac:dyDescent="0.45">
      <c r="A1739" s="6" t="str">
        <f ca="1">IFERROR(__xludf.DUMMYFUNCTION("""COMPUTED_VALUE"""),"XFCI9F3")</f>
        <v>XFCI9F3</v>
      </c>
      <c r="B1739" s="7" t="s">
        <v>1971</v>
      </c>
      <c r="C1739" s="7" t="s">
        <v>1974</v>
      </c>
      <c r="D1739" s="7" t="s">
        <v>1982</v>
      </c>
      <c r="E1739" s="8">
        <v>36750</v>
      </c>
      <c r="F1739" s="10" t="s">
        <v>2289</v>
      </c>
    </row>
    <row r="1740" spans="1:6" ht="14.25" x14ac:dyDescent="0.45">
      <c r="A1740" s="6" t="str">
        <f ca="1">IFERROR(__xludf.DUMMYFUNCTION("""COMPUTED_VALUE"""),"X5WY3L7")</f>
        <v>X5WY3L7</v>
      </c>
      <c r="B1740" s="7" t="s">
        <v>1971</v>
      </c>
      <c r="C1740" s="7" t="s">
        <v>1974</v>
      </c>
      <c r="D1740" s="7" t="s">
        <v>1982</v>
      </c>
      <c r="E1740" s="8">
        <v>36758</v>
      </c>
      <c r="F1740" s="10" t="s">
        <v>2313</v>
      </c>
    </row>
    <row r="1741" spans="1:6" ht="14.25" x14ac:dyDescent="0.45">
      <c r="A1741" s="6" t="str">
        <f ca="1">IFERROR(__xludf.DUMMYFUNCTION("""COMPUTED_VALUE"""),"XVATZJY")</f>
        <v>XVATZJY</v>
      </c>
      <c r="B1741" s="7" t="s">
        <v>1971</v>
      </c>
      <c r="C1741" s="7" t="s">
        <v>1981</v>
      </c>
      <c r="D1741" s="7" t="s">
        <v>1982</v>
      </c>
      <c r="E1741" s="8">
        <v>36767</v>
      </c>
      <c r="F1741" s="10" t="s">
        <v>2285</v>
      </c>
    </row>
    <row r="1742" spans="1:6" ht="14.25" x14ac:dyDescent="0.45">
      <c r="A1742" s="6" t="str">
        <f ca="1">IFERROR(__xludf.DUMMYFUNCTION("""COMPUTED_VALUE"""),"X7J687G")</f>
        <v>X7J687G</v>
      </c>
      <c r="B1742" s="7" t="s">
        <v>1971</v>
      </c>
      <c r="C1742" s="7" t="s">
        <v>1993</v>
      </c>
      <c r="D1742" s="7" t="s">
        <v>1993</v>
      </c>
      <c r="E1742" s="8">
        <v>36772</v>
      </c>
      <c r="F1742" s="10" t="s">
        <v>2226</v>
      </c>
    </row>
    <row r="1743" spans="1:6" ht="14.25" x14ac:dyDescent="0.45">
      <c r="A1743" s="6" t="str">
        <f ca="1">IFERROR(__xludf.DUMMYFUNCTION("""COMPUTED_VALUE"""),"X8922NJ")</f>
        <v>X8922NJ</v>
      </c>
      <c r="B1743" s="7" t="s">
        <v>1971</v>
      </c>
      <c r="C1743" s="7" t="s">
        <v>1975</v>
      </c>
      <c r="D1743" s="7" t="s">
        <v>1982</v>
      </c>
      <c r="E1743" s="8">
        <v>36801</v>
      </c>
      <c r="F1743" s="9">
        <v>44323</v>
      </c>
    </row>
    <row r="1744" spans="1:6" ht="14.25" x14ac:dyDescent="0.45">
      <c r="A1744" s="6" t="str">
        <f ca="1">IFERROR(__xludf.DUMMYFUNCTION("""COMPUTED_VALUE"""),"XJ5CIMG")</f>
        <v>XJ5CIMG</v>
      </c>
      <c r="B1744" s="7" t="s">
        <v>1971</v>
      </c>
      <c r="C1744" s="7" t="s">
        <v>1981</v>
      </c>
      <c r="D1744" s="7" t="s">
        <v>1982</v>
      </c>
      <c r="E1744" s="8">
        <v>36805</v>
      </c>
      <c r="F1744" s="10" t="s">
        <v>2192</v>
      </c>
    </row>
    <row r="1745" spans="1:6" ht="14.25" x14ac:dyDescent="0.45">
      <c r="A1745" s="6" t="str">
        <f ca="1">IFERROR(__xludf.DUMMYFUNCTION("""COMPUTED_VALUE"""),"X2C14G")</f>
        <v>X2C14G</v>
      </c>
      <c r="B1745" s="7" t="s">
        <v>1980</v>
      </c>
      <c r="C1745" s="7" t="s">
        <v>1972</v>
      </c>
      <c r="D1745" s="7" t="s">
        <v>1982</v>
      </c>
      <c r="E1745" s="8">
        <v>36806</v>
      </c>
      <c r="F1745" s="10" t="s">
        <v>2046</v>
      </c>
    </row>
    <row r="1746" spans="1:6" ht="14.25" x14ac:dyDescent="0.45">
      <c r="A1746" s="6" t="str">
        <f ca="1">IFERROR(__xludf.DUMMYFUNCTION("""COMPUTED_VALUE"""),"XUV9QIW")</f>
        <v>XUV9QIW</v>
      </c>
      <c r="B1746" s="7" t="s">
        <v>1971</v>
      </c>
      <c r="C1746" s="7" t="s">
        <v>1981</v>
      </c>
      <c r="D1746" s="7" t="s">
        <v>1982</v>
      </c>
      <c r="E1746" s="8">
        <v>36807</v>
      </c>
      <c r="F1746" s="10" t="s">
        <v>2278</v>
      </c>
    </row>
    <row r="1747" spans="1:6" ht="14.25" x14ac:dyDescent="0.45">
      <c r="A1747" s="6" t="str">
        <f ca="1">IFERROR(__xludf.DUMMYFUNCTION("""COMPUTED_VALUE"""),"X3685")</f>
        <v>X3685</v>
      </c>
      <c r="B1747" s="7" t="s">
        <v>1980</v>
      </c>
      <c r="C1747" s="7" t="s">
        <v>1981</v>
      </c>
      <c r="D1747" s="7" t="s">
        <v>1982</v>
      </c>
      <c r="E1747" s="8">
        <v>36816</v>
      </c>
      <c r="F1747" s="10" t="s">
        <v>2180</v>
      </c>
    </row>
    <row r="1748" spans="1:6" ht="14.25" x14ac:dyDescent="0.45">
      <c r="A1748" s="6" t="str">
        <f ca="1">IFERROR(__xludf.DUMMYFUNCTION("""COMPUTED_VALUE"""),"XJPB2DZ")</f>
        <v>XJPB2DZ</v>
      </c>
      <c r="B1748" s="7" t="s">
        <v>1971</v>
      </c>
      <c r="C1748" s="7" t="s">
        <v>1981</v>
      </c>
      <c r="D1748" s="7" t="s">
        <v>1982</v>
      </c>
      <c r="E1748" s="8">
        <v>36823</v>
      </c>
      <c r="F1748" s="10" t="s">
        <v>2247</v>
      </c>
    </row>
    <row r="1749" spans="1:6" ht="14.25" x14ac:dyDescent="0.45">
      <c r="A1749" s="6" t="str">
        <f ca="1">IFERROR(__xludf.DUMMYFUNCTION("""COMPUTED_VALUE"""),"XXBAHON")</f>
        <v>XXBAHON</v>
      </c>
      <c r="B1749" s="7" t="s">
        <v>1971</v>
      </c>
      <c r="C1749" s="7" t="s">
        <v>1977</v>
      </c>
      <c r="D1749" s="7" t="s">
        <v>1974</v>
      </c>
      <c r="E1749" s="8">
        <v>36843</v>
      </c>
      <c r="F1749" s="9">
        <v>44387</v>
      </c>
    </row>
    <row r="1750" spans="1:6" ht="14.25" x14ac:dyDescent="0.45">
      <c r="A1750" s="6" t="str">
        <f ca="1">IFERROR(__xludf.DUMMYFUNCTION("""COMPUTED_VALUE"""),"X4RIAOM")</f>
        <v>X4RIAOM</v>
      </c>
      <c r="B1750" s="7" t="s">
        <v>1971</v>
      </c>
      <c r="C1750" s="7" t="s">
        <v>1972</v>
      </c>
      <c r="D1750" s="7" t="s">
        <v>1982</v>
      </c>
      <c r="E1750" s="8">
        <v>36847</v>
      </c>
      <c r="F1750" s="9">
        <v>44447</v>
      </c>
    </row>
    <row r="1751" spans="1:6" ht="14.25" x14ac:dyDescent="0.45">
      <c r="A1751" s="6" t="str">
        <f ca="1">IFERROR(__xludf.DUMMYFUNCTION("""COMPUTED_VALUE"""),"X2C7O")</f>
        <v>X2C7O</v>
      </c>
      <c r="B1751" s="7" t="s">
        <v>1971</v>
      </c>
      <c r="C1751" s="7" t="s">
        <v>1981</v>
      </c>
      <c r="D1751" s="7" t="s">
        <v>1982</v>
      </c>
      <c r="E1751" s="8">
        <v>36851</v>
      </c>
      <c r="F1751" s="10" t="s">
        <v>2052</v>
      </c>
    </row>
    <row r="1752" spans="1:6" ht="14.25" x14ac:dyDescent="0.45">
      <c r="A1752" s="6" t="str">
        <f ca="1">IFERROR(__xludf.DUMMYFUNCTION("""COMPUTED_VALUE"""),"XD8RITJ")</f>
        <v>XD8RITJ</v>
      </c>
      <c r="B1752" s="7" t="s">
        <v>1971</v>
      </c>
      <c r="C1752" s="7" t="s">
        <v>1974</v>
      </c>
      <c r="D1752" s="7" t="s">
        <v>1982</v>
      </c>
      <c r="E1752" s="8">
        <v>36855</v>
      </c>
      <c r="F1752" s="10" t="s">
        <v>2287</v>
      </c>
    </row>
    <row r="1753" spans="1:6" ht="14.25" x14ac:dyDescent="0.45">
      <c r="A1753" s="6" t="str">
        <f ca="1">IFERROR(__xludf.DUMMYFUNCTION("""COMPUTED_VALUE"""),"XCVJX8U")</f>
        <v>XCVJX8U</v>
      </c>
      <c r="B1753" s="7" t="s">
        <v>1971</v>
      </c>
      <c r="C1753" s="7" t="s">
        <v>1974</v>
      </c>
      <c r="D1753" s="7" t="s">
        <v>1982</v>
      </c>
      <c r="E1753" s="8">
        <v>36864</v>
      </c>
      <c r="F1753" s="9">
        <v>44418</v>
      </c>
    </row>
    <row r="1754" spans="1:6" ht="14.25" x14ac:dyDescent="0.45">
      <c r="A1754" s="6" t="str">
        <f ca="1">IFERROR(__xludf.DUMMYFUNCTION("""COMPUTED_VALUE"""),"X9JTC9M")</f>
        <v>X9JTC9M</v>
      </c>
      <c r="B1754" s="7" t="s">
        <v>1971</v>
      </c>
      <c r="C1754" s="7" t="s">
        <v>1974</v>
      </c>
      <c r="D1754" s="7" t="s">
        <v>1982</v>
      </c>
      <c r="E1754" s="8">
        <v>36871</v>
      </c>
      <c r="F1754" s="10" t="s">
        <v>2258</v>
      </c>
    </row>
    <row r="1755" spans="1:6" ht="14.25" x14ac:dyDescent="0.45">
      <c r="A1755" s="6" t="str">
        <f ca="1">IFERROR(__xludf.DUMMYFUNCTION("""COMPUTED_VALUE"""),"X97AFRK")</f>
        <v>X97AFRK</v>
      </c>
      <c r="B1755" s="7" t="s">
        <v>1971</v>
      </c>
      <c r="C1755" s="7" t="s">
        <v>1977</v>
      </c>
      <c r="D1755" s="7" t="s">
        <v>1974</v>
      </c>
      <c r="E1755" s="8">
        <v>36879</v>
      </c>
      <c r="F1755" s="10" t="s">
        <v>2242</v>
      </c>
    </row>
    <row r="1756" spans="1:6" ht="14.25" x14ac:dyDescent="0.45">
      <c r="A1756" s="6" t="str">
        <f ca="1">IFERROR(__xludf.DUMMYFUNCTION("""COMPUTED_VALUE"""),"X2C6R")</f>
        <v>X2C6R</v>
      </c>
      <c r="B1756" s="7" t="s">
        <v>1971</v>
      </c>
      <c r="C1756" s="7" t="s">
        <v>1981</v>
      </c>
      <c r="D1756" s="7" t="s">
        <v>1982</v>
      </c>
      <c r="E1756" s="8">
        <v>36880</v>
      </c>
      <c r="F1756" s="9">
        <v>44147</v>
      </c>
    </row>
    <row r="1757" spans="1:6" ht="14.25" x14ac:dyDescent="0.45">
      <c r="A1757" s="6" t="str">
        <f ca="1">IFERROR(__xludf.DUMMYFUNCTION("""COMPUTED_VALUE"""),"X5AELUW")</f>
        <v>X5AELUW</v>
      </c>
      <c r="B1757" s="7" t="s">
        <v>1971</v>
      </c>
      <c r="C1757" s="7" t="s">
        <v>1974</v>
      </c>
      <c r="D1757" s="7" t="s">
        <v>1975</v>
      </c>
      <c r="E1757" s="8">
        <v>36884</v>
      </c>
      <c r="F1757" s="9">
        <v>44446</v>
      </c>
    </row>
    <row r="1758" spans="1:6" ht="14.25" x14ac:dyDescent="0.45">
      <c r="A1758" s="6" t="str">
        <f ca="1">IFERROR(__xludf.DUMMYFUNCTION("""COMPUTED_VALUE"""),"XW7JDOK")</f>
        <v>XW7JDOK</v>
      </c>
      <c r="B1758" s="7" t="s">
        <v>1971</v>
      </c>
      <c r="C1758" s="7" t="s">
        <v>1977</v>
      </c>
      <c r="D1758" s="7" t="s">
        <v>1982</v>
      </c>
      <c r="E1758" s="8">
        <v>36898</v>
      </c>
      <c r="F1758" s="9">
        <v>44447</v>
      </c>
    </row>
    <row r="1759" spans="1:6" ht="14.25" x14ac:dyDescent="0.45">
      <c r="A1759" s="6" t="str">
        <f ca="1">IFERROR(__xludf.DUMMYFUNCTION("""COMPUTED_VALUE"""),"XLB989C")</f>
        <v>XLB989C</v>
      </c>
      <c r="B1759" s="7" t="s">
        <v>1971</v>
      </c>
      <c r="C1759" s="7" t="s">
        <v>1977</v>
      </c>
      <c r="D1759" s="7" t="s">
        <v>1982</v>
      </c>
      <c r="E1759" s="8">
        <v>36901</v>
      </c>
      <c r="F1759" s="10" t="s">
        <v>2318</v>
      </c>
    </row>
    <row r="1760" spans="1:6" ht="14.25" x14ac:dyDescent="0.45">
      <c r="A1760" s="6" t="str">
        <f ca="1">IFERROR(__xludf.DUMMYFUNCTION("""COMPUTED_VALUE"""),"XNTHBKM")</f>
        <v>XNTHBKM</v>
      </c>
      <c r="B1760" s="7" t="s">
        <v>1971</v>
      </c>
      <c r="C1760" s="7" t="s">
        <v>1972</v>
      </c>
      <c r="D1760" s="7" t="s">
        <v>1982</v>
      </c>
      <c r="E1760" s="8">
        <v>36903</v>
      </c>
      <c r="F1760" s="9">
        <v>44508</v>
      </c>
    </row>
    <row r="1761" spans="1:6" ht="14.25" x14ac:dyDescent="0.45">
      <c r="A1761" s="6" t="str">
        <f ca="1">IFERROR(__xludf.DUMMYFUNCTION("""COMPUTED_VALUE"""),"X576J5L")</f>
        <v>X576J5L</v>
      </c>
      <c r="B1761" s="7" t="s">
        <v>1971</v>
      </c>
      <c r="C1761" s="7" t="s">
        <v>1993</v>
      </c>
      <c r="D1761" s="7" t="s">
        <v>1982</v>
      </c>
      <c r="E1761" s="8">
        <v>36904</v>
      </c>
      <c r="F1761" s="10" t="s">
        <v>2246</v>
      </c>
    </row>
    <row r="1762" spans="1:6" ht="14.25" x14ac:dyDescent="0.45">
      <c r="A1762" s="6" t="str">
        <f ca="1">IFERROR(__xludf.DUMMYFUNCTION("""COMPUTED_VALUE"""),"XHARKF1")</f>
        <v>XHARKF1</v>
      </c>
      <c r="B1762" s="7" t="s">
        <v>1971</v>
      </c>
      <c r="C1762" s="7" t="s">
        <v>1974</v>
      </c>
      <c r="D1762" s="7" t="s">
        <v>1982</v>
      </c>
      <c r="E1762" s="8">
        <v>36906</v>
      </c>
      <c r="F1762" s="9">
        <v>44356</v>
      </c>
    </row>
    <row r="1763" spans="1:6" ht="14.25" x14ac:dyDescent="0.45">
      <c r="A1763" s="6" t="str">
        <f ca="1">IFERROR(__xludf.DUMMYFUNCTION("""COMPUTED_VALUE"""),"XXJL1ZF")</f>
        <v>XXJL1ZF</v>
      </c>
      <c r="B1763" s="7" t="s">
        <v>1971</v>
      </c>
      <c r="C1763" s="7" t="s">
        <v>1977</v>
      </c>
      <c r="D1763" s="7" t="s">
        <v>1982</v>
      </c>
      <c r="E1763" s="8">
        <v>36917</v>
      </c>
      <c r="F1763" s="10" t="s">
        <v>2247</v>
      </c>
    </row>
    <row r="1764" spans="1:6" ht="14.25" x14ac:dyDescent="0.45">
      <c r="A1764" s="6" t="str">
        <f ca="1">IFERROR(__xludf.DUMMYFUNCTION("""COMPUTED_VALUE"""),"X2LVCLG")</f>
        <v>X2LVCLG</v>
      </c>
      <c r="B1764" s="7" t="s">
        <v>1971</v>
      </c>
      <c r="C1764" s="7" t="s">
        <v>1981</v>
      </c>
      <c r="D1764" s="7" t="s">
        <v>1982</v>
      </c>
      <c r="E1764" s="8">
        <v>36927</v>
      </c>
      <c r="F1764" s="10" t="s">
        <v>2258</v>
      </c>
    </row>
    <row r="1765" spans="1:6" ht="14.25" x14ac:dyDescent="0.45">
      <c r="A1765" s="6" t="str">
        <f ca="1">IFERROR(__xludf.DUMMYFUNCTION("""COMPUTED_VALUE"""),"X2AM8")</f>
        <v>X2AM8</v>
      </c>
      <c r="B1765" s="7" t="s">
        <v>1971</v>
      </c>
      <c r="C1765" s="7" t="s">
        <v>1974</v>
      </c>
      <c r="D1765" s="7" t="s">
        <v>1993</v>
      </c>
      <c r="E1765" s="8">
        <v>36946</v>
      </c>
      <c r="F1765" s="9">
        <v>43872</v>
      </c>
    </row>
    <row r="1766" spans="1:6" ht="14.25" x14ac:dyDescent="0.45">
      <c r="A1766" s="6" t="str">
        <f ca="1">IFERROR(__xludf.DUMMYFUNCTION("""COMPUTED_VALUE"""),"X2C16B")</f>
        <v>X2C16B</v>
      </c>
      <c r="B1766" s="7" t="s">
        <v>1971</v>
      </c>
      <c r="C1766" s="7" t="s">
        <v>1974</v>
      </c>
      <c r="D1766" s="7" t="s">
        <v>1982</v>
      </c>
      <c r="E1766" s="8">
        <v>36951</v>
      </c>
      <c r="F1766" s="10" t="s">
        <v>2086</v>
      </c>
    </row>
    <row r="1767" spans="1:6" ht="14.25" x14ac:dyDescent="0.45">
      <c r="A1767" s="6" t="str">
        <f ca="1">IFERROR(__xludf.DUMMYFUNCTION("""COMPUTED_VALUE"""),"XI6NF84")</f>
        <v>XI6NF84</v>
      </c>
      <c r="B1767" s="7" t="s">
        <v>1971</v>
      </c>
      <c r="C1767" s="7" t="s">
        <v>1974</v>
      </c>
      <c r="D1767" s="7" t="s">
        <v>1973</v>
      </c>
      <c r="E1767" s="8">
        <v>36971</v>
      </c>
      <c r="F1767" s="10" t="s">
        <v>2290</v>
      </c>
    </row>
    <row r="1768" spans="1:6" ht="14.25" x14ac:dyDescent="0.45">
      <c r="A1768" s="6" t="str">
        <f ca="1">IFERROR(__xludf.DUMMYFUNCTION("""COMPUTED_VALUE"""),"X20VX")</f>
        <v>X20VX</v>
      </c>
      <c r="B1768" s="7" t="s">
        <v>1971</v>
      </c>
      <c r="C1768" s="7" t="s">
        <v>1981</v>
      </c>
      <c r="D1768" s="7" t="s">
        <v>1982</v>
      </c>
      <c r="E1768" s="8">
        <v>36980</v>
      </c>
      <c r="F1768" s="10" t="s">
        <v>2063</v>
      </c>
    </row>
    <row r="1769" spans="1:6" ht="14.25" x14ac:dyDescent="0.45">
      <c r="A1769" s="6" t="str">
        <f ca="1">IFERROR(__xludf.DUMMYFUNCTION("""COMPUTED_VALUE"""),"XOEENAA")</f>
        <v>XOEENAA</v>
      </c>
      <c r="B1769" s="7" t="s">
        <v>1971</v>
      </c>
      <c r="C1769" s="7" t="s">
        <v>1981</v>
      </c>
      <c r="D1769" s="7" t="s">
        <v>1982</v>
      </c>
      <c r="E1769" s="8">
        <v>36984</v>
      </c>
      <c r="F1769" s="9">
        <v>44414</v>
      </c>
    </row>
    <row r="1770" spans="1:6" ht="14.25" x14ac:dyDescent="0.45">
      <c r="A1770" s="6" t="str">
        <f ca="1">IFERROR(__xludf.DUMMYFUNCTION("""COMPUTED_VALUE"""),"X72TZE7")</f>
        <v>X72TZE7</v>
      </c>
      <c r="B1770" s="7" t="s">
        <v>1971</v>
      </c>
      <c r="C1770" s="7" t="s">
        <v>1981</v>
      </c>
      <c r="D1770" s="7" t="s">
        <v>1974</v>
      </c>
      <c r="E1770" s="8">
        <v>36985</v>
      </c>
      <c r="F1770" s="10" t="s">
        <v>2242</v>
      </c>
    </row>
    <row r="1771" spans="1:6" ht="14.25" x14ac:dyDescent="0.45">
      <c r="A1771" s="6" t="str">
        <f ca="1">IFERROR(__xludf.DUMMYFUNCTION("""COMPUTED_VALUE"""),"XCACOS4")</f>
        <v>XCACOS4</v>
      </c>
      <c r="B1771" s="7" t="s">
        <v>1971</v>
      </c>
      <c r="C1771" s="7" t="s">
        <v>1981</v>
      </c>
      <c r="D1771" s="7" t="s">
        <v>1982</v>
      </c>
      <c r="E1771" s="8">
        <v>36987</v>
      </c>
      <c r="F1771" s="10" t="s">
        <v>2314</v>
      </c>
    </row>
    <row r="1772" spans="1:6" ht="14.25" x14ac:dyDescent="0.45">
      <c r="A1772" s="6" t="str">
        <f ca="1">IFERROR(__xludf.DUMMYFUNCTION("""COMPUTED_VALUE"""),"X3DCBRL")</f>
        <v>X3DCBRL</v>
      </c>
      <c r="B1772" s="7" t="s">
        <v>1971</v>
      </c>
      <c r="C1772" s="7" t="s">
        <v>1981</v>
      </c>
      <c r="D1772" s="7" t="s">
        <v>1982</v>
      </c>
      <c r="E1772" s="8">
        <v>36999</v>
      </c>
      <c r="F1772" s="10" t="s">
        <v>2246</v>
      </c>
    </row>
    <row r="1773" spans="1:6" ht="14.25" x14ac:dyDescent="0.45">
      <c r="A1773" s="6" t="str">
        <f ca="1">IFERROR(__xludf.DUMMYFUNCTION("""COMPUTED_VALUE"""),"X3VDYJK")</f>
        <v>X3VDYJK</v>
      </c>
      <c r="B1773" s="7" t="s">
        <v>1986</v>
      </c>
      <c r="C1773" s="7" t="s">
        <v>1981</v>
      </c>
      <c r="D1773" s="7" t="s">
        <v>1973</v>
      </c>
      <c r="E1773" s="8">
        <v>37002</v>
      </c>
      <c r="F1773" s="9">
        <v>44503</v>
      </c>
    </row>
    <row r="1774" spans="1:6" ht="14.25" x14ac:dyDescent="0.45">
      <c r="A1774" s="6" t="str">
        <f ca="1">IFERROR(__xludf.DUMMYFUNCTION("""COMPUTED_VALUE"""),"X4PZWS3")</f>
        <v>X4PZWS3</v>
      </c>
      <c r="B1774" s="7" t="s">
        <v>1971</v>
      </c>
      <c r="C1774" s="7" t="s">
        <v>1974</v>
      </c>
      <c r="D1774" s="7" t="s">
        <v>1975</v>
      </c>
      <c r="E1774" s="8">
        <v>37008</v>
      </c>
      <c r="F1774" s="9">
        <v>44235</v>
      </c>
    </row>
    <row r="1775" spans="1:6" ht="14.25" x14ac:dyDescent="0.45">
      <c r="A1775" s="6" t="str">
        <f ca="1">IFERROR(__xludf.DUMMYFUNCTION("""COMPUTED_VALUE"""),"XKAYEUF")</f>
        <v>XKAYEUF</v>
      </c>
      <c r="B1775" s="7" t="s">
        <v>1971</v>
      </c>
      <c r="C1775" s="7" t="s">
        <v>1977</v>
      </c>
      <c r="D1775" s="7" t="s">
        <v>1997</v>
      </c>
      <c r="E1775" s="8">
        <v>37009</v>
      </c>
      <c r="F1775" s="10" t="s">
        <v>2290</v>
      </c>
    </row>
    <row r="1776" spans="1:6" ht="14.25" x14ac:dyDescent="0.45">
      <c r="A1776" s="6" t="str">
        <f ca="1">IFERROR(__xludf.DUMMYFUNCTION("""COMPUTED_VALUE"""),"XQV3A9G")</f>
        <v>XQV3A9G</v>
      </c>
      <c r="B1776" s="7" t="s">
        <v>1971</v>
      </c>
      <c r="C1776" s="7" t="s">
        <v>1981</v>
      </c>
      <c r="D1776" s="7" t="s">
        <v>1993</v>
      </c>
      <c r="E1776" s="8">
        <v>37012</v>
      </c>
      <c r="F1776" s="10" t="s">
        <v>2305</v>
      </c>
    </row>
    <row r="1777" spans="1:6" ht="14.25" x14ac:dyDescent="0.45">
      <c r="A1777" s="6" t="str">
        <f ca="1">IFERROR(__xludf.DUMMYFUNCTION("""COMPUTED_VALUE"""),"X2CGI")</f>
        <v>X2CGI</v>
      </c>
      <c r="B1777" s="7" t="s">
        <v>1980</v>
      </c>
      <c r="C1777" s="7" t="s">
        <v>1977</v>
      </c>
      <c r="D1777" s="7" t="s">
        <v>1982</v>
      </c>
      <c r="E1777" s="8">
        <v>37052</v>
      </c>
      <c r="F1777" s="10" t="s">
        <v>2032</v>
      </c>
    </row>
    <row r="1778" spans="1:6" ht="14.25" x14ac:dyDescent="0.45">
      <c r="A1778" s="6" t="str">
        <f ca="1">IFERROR(__xludf.DUMMYFUNCTION("""COMPUTED_VALUE"""),"XIBPZSS")</f>
        <v>XIBPZSS</v>
      </c>
      <c r="B1778" s="7" t="s">
        <v>1971</v>
      </c>
      <c r="C1778" s="7" t="s">
        <v>1981</v>
      </c>
      <c r="D1778" s="7" t="s">
        <v>1982</v>
      </c>
      <c r="E1778" s="8">
        <v>37053</v>
      </c>
      <c r="F1778" s="10" t="s">
        <v>2246</v>
      </c>
    </row>
    <row r="1779" spans="1:6" ht="14.25" x14ac:dyDescent="0.45">
      <c r="A1779" s="6" t="str">
        <f ca="1">IFERROR(__xludf.DUMMYFUNCTION("""COMPUTED_VALUE"""),"X2AM2")</f>
        <v>X2AM2</v>
      </c>
      <c r="B1779" s="7" t="s">
        <v>1971</v>
      </c>
      <c r="C1779" s="7" t="s">
        <v>1981</v>
      </c>
      <c r="D1779" s="7" t="s">
        <v>1982</v>
      </c>
      <c r="E1779" s="8">
        <v>37055</v>
      </c>
      <c r="F1779" s="9">
        <v>43872</v>
      </c>
    </row>
    <row r="1780" spans="1:6" ht="14.25" x14ac:dyDescent="0.45">
      <c r="A1780" s="6" t="str">
        <f ca="1">IFERROR(__xludf.DUMMYFUNCTION("""COMPUTED_VALUE"""),"XLZFEI4")</f>
        <v>XLZFEI4</v>
      </c>
      <c r="B1780" s="7" t="s">
        <v>1971</v>
      </c>
      <c r="C1780" s="7" t="s">
        <v>1974</v>
      </c>
      <c r="D1780" s="7" t="s">
        <v>1993</v>
      </c>
      <c r="E1780" s="8">
        <v>37058</v>
      </c>
      <c r="F1780" s="9">
        <v>44354</v>
      </c>
    </row>
    <row r="1781" spans="1:6" ht="14.25" x14ac:dyDescent="0.45">
      <c r="A1781" s="6" t="str">
        <f ca="1">IFERROR(__xludf.DUMMYFUNCTION("""COMPUTED_VALUE"""),"X2C8S")</f>
        <v>X2C8S</v>
      </c>
      <c r="B1781" s="7" t="s">
        <v>1971</v>
      </c>
      <c r="C1781" s="7" t="s">
        <v>1972</v>
      </c>
      <c r="D1781" s="7" t="s">
        <v>1982</v>
      </c>
      <c r="E1781" s="8">
        <v>37072</v>
      </c>
      <c r="F1781" s="10" t="s">
        <v>2001</v>
      </c>
    </row>
    <row r="1782" spans="1:6" ht="14.25" x14ac:dyDescent="0.45">
      <c r="A1782" s="6" t="str">
        <f ca="1">IFERROR(__xludf.DUMMYFUNCTION("""COMPUTED_VALUE"""),"XS8WR2L")</f>
        <v>XS8WR2L</v>
      </c>
      <c r="B1782" s="7" t="s">
        <v>1971</v>
      </c>
      <c r="C1782" s="7" t="s">
        <v>1977</v>
      </c>
      <c r="D1782" s="7" t="s">
        <v>1982</v>
      </c>
      <c r="E1782" s="8">
        <v>37075</v>
      </c>
      <c r="F1782" s="9">
        <v>44236</v>
      </c>
    </row>
    <row r="1783" spans="1:6" ht="14.25" x14ac:dyDescent="0.45">
      <c r="A1783" s="6" t="str">
        <f ca="1">IFERROR(__xludf.DUMMYFUNCTION("""COMPUTED_VALUE"""),"XVRN5S2")</f>
        <v>XVRN5S2</v>
      </c>
      <c r="B1783" s="7" t="s">
        <v>1971</v>
      </c>
      <c r="C1783" s="7" t="s">
        <v>1981</v>
      </c>
      <c r="D1783" s="7" t="s">
        <v>1982</v>
      </c>
      <c r="E1783" s="8">
        <v>37078</v>
      </c>
      <c r="F1783" s="9">
        <v>44508</v>
      </c>
    </row>
    <row r="1784" spans="1:6" ht="14.25" x14ac:dyDescent="0.45">
      <c r="A1784" s="6" t="str">
        <f ca="1">IFERROR(__xludf.DUMMYFUNCTION("""COMPUTED_VALUE"""),"X3673")</f>
        <v>X3673</v>
      </c>
      <c r="B1784" s="7" t="s">
        <v>1980</v>
      </c>
      <c r="C1784" s="7" t="s">
        <v>1977</v>
      </c>
      <c r="D1784" s="7" t="s">
        <v>1982</v>
      </c>
      <c r="E1784" s="8">
        <v>37086</v>
      </c>
      <c r="F1784" s="10" t="s">
        <v>2180</v>
      </c>
    </row>
    <row r="1785" spans="1:6" ht="14.25" x14ac:dyDescent="0.45">
      <c r="A1785" s="6" t="str">
        <f ca="1">IFERROR(__xludf.DUMMYFUNCTION("""COMPUTED_VALUE"""),"X2AK3")</f>
        <v>X2AK3</v>
      </c>
      <c r="B1785" s="7" t="s">
        <v>1986</v>
      </c>
      <c r="C1785" s="7" t="s">
        <v>1981</v>
      </c>
      <c r="D1785" s="7" t="s">
        <v>1990</v>
      </c>
      <c r="E1785" s="8">
        <v>37103</v>
      </c>
      <c r="F1785" s="10" t="s">
        <v>2040</v>
      </c>
    </row>
    <row r="1786" spans="1:6" ht="14.25" x14ac:dyDescent="0.45">
      <c r="A1786" s="6" t="str">
        <f ca="1">IFERROR(__xludf.DUMMYFUNCTION("""COMPUTED_VALUE"""),"XK9A28E")</f>
        <v>XK9A28E</v>
      </c>
      <c r="B1786" s="7" t="s">
        <v>1971</v>
      </c>
      <c r="C1786" s="7" t="s">
        <v>1981</v>
      </c>
      <c r="D1786" s="7" t="s">
        <v>1982</v>
      </c>
      <c r="E1786" s="8">
        <v>37120</v>
      </c>
      <c r="F1786" s="10" t="s">
        <v>2289</v>
      </c>
    </row>
    <row r="1787" spans="1:6" ht="14.25" x14ac:dyDescent="0.45">
      <c r="A1787" s="6" t="str">
        <f ca="1">IFERROR(__xludf.DUMMYFUNCTION("""COMPUTED_VALUE"""),"X2CFJ")</f>
        <v>X2CFJ</v>
      </c>
      <c r="B1787" s="7" t="s">
        <v>1980</v>
      </c>
      <c r="C1787" s="7" t="s">
        <v>1981</v>
      </c>
      <c r="D1787" s="7" t="s">
        <v>1975</v>
      </c>
      <c r="E1787" s="8">
        <v>37137</v>
      </c>
      <c r="F1787" s="10" t="s">
        <v>2032</v>
      </c>
    </row>
    <row r="1788" spans="1:6" ht="14.25" x14ac:dyDescent="0.45">
      <c r="A1788" s="6" t="str">
        <f ca="1">IFERROR(__xludf.DUMMYFUNCTION("""COMPUTED_VALUE"""),"XWD2YS6")</f>
        <v>XWD2YS6</v>
      </c>
      <c r="B1788" s="7" t="s">
        <v>1971</v>
      </c>
      <c r="C1788" s="7" t="s">
        <v>1993</v>
      </c>
      <c r="D1788" s="7" t="s">
        <v>1982</v>
      </c>
      <c r="E1788" s="8">
        <v>37140</v>
      </c>
      <c r="F1788" s="10" t="s">
        <v>2315</v>
      </c>
    </row>
    <row r="1789" spans="1:6" ht="14.25" x14ac:dyDescent="0.45">
      <c r="A1789" s="6" t="str">
        <f ca="1">IFERROR(__xludf.DUMMYFUNCTION("""COMPUTED_VALUE"""),"X696UWN")</f>
        <v>X696UWN</v>
      </c>
      <c r="B1789" s="7" t="s">
        <v>1971</v>
      </c>
      <c r="C1789" s="7" t="s">
        <v>1972</v>
      </c>
      <c r="D1789" s="7" t="s">
        <v>1982</v>
      </c>
      <c r="E1789" s="8">
        <v>37144</v>
      </c>
      <c r="F1789" s="10" t="s">
        <v>2220</v>
      </c>
    </row>
    <row r="1790" spans="1:6" ht="14.25" x14ac:dyDescent="0.45">
      <c r="A1790" s="6" t="str">
        <f ca="1">IFERROR(__xludf.DUMMYFUNCTION("""COMPUTED_VALUE"""),"X5SHKV5")</f>
        <v>X5SHKV5</v>
      </c>
      <c r="B1790" s="7" t="s">
        <v>1971</v>
      </c>
      <c r="C1790" s="7" t="s">
        <v>1981</v>
      </c>
      <c r="D1790" s="7" t="s">
        <v>1982</v>
      </c>
      <c r="E1790" s="8">
        <v>37157</v>
      </c>
      <c r="F1790" s="10" t="s">
        <v>2261</v>
      </c>
    </row>
    <row r="1791" spans="1:6" ht="14.25" x14ac:dyDescent="0.45">
      <c r="A1791" s="6" t="str">
        <f ca="1">IFERROR(__xludf.DUMMYFUNCTION("""COMPUTED_VALUE"""),"X864KG5")</f>
        <v>X864KG5</v>
      </c>
      <c r="B1791" s="7" t="s">
        <v>1971</v>
      </c>
      <c r="C1791" s="7" t="s">
        <v>1981</v>
      </c>
      <c r="D1791" s="7" t="s">
        <v>1982</v>
      </c>
      <c r="E1791" s="8">
        <v>37181</v>
      </c>
      <c r="F1791" s="10" t="s">
        <v>2242</v>
      </c>
    </row>
    <row r="1792" spans="1:6" ht="14.25" x14ac:dyDescent="0.45">
      <c r="A1792" s="6" t="str">
        <f ca="1">IFERROR(__xludf.DUMMYFUNCTION("""COMPUTED_VALUE"""),"X2B131")</f>
        <v>X2B131</v>
      </c>
      <c r="B1792" s="7" t="s">
        <v>1986</v>
      </c>
      <c r="C1792" s="7" t="s">
        <v>1981</v>
      </c>
      <c r="D1792" s="7" t="s">
        <v>1978</v>
      </c>
      <c r="E1792" s="8">
        <v>37190</v>
      </c>
      <c r="F1792" s="10" t="s">
        <v>2186</v>
      </c>
    </row>
    <row r="1793" spans="1:6" ht="14.25" x14ac:dyDescent="0.45">
      <c r="A1793" s="6" t="str">
        <f ca="1">IFERROR(__xludf.DUMMYFUNCTION("""COMPUTED_VALUE"""),"X4XJREJ")</f>
        <v>X4XJREJ</v>
      </c>
      <c r="B1793" s="7" t="s">
        <v>1971</v>
      </c>
      <c r="C1793" s="7" t="s">
        <v>1993</v>
      </c>
      <c r="D1793" s="7" t="s">
        <v>1982</v>
      </c>
      <c r="E1793" s="8">
        <v>37245</v>
      </c>
      <c r="F1793" s="9">
        <v>44447</v>
      </c>
    </row>
    <row r="1794" spans="1:6" ht="14.25" x14ac:dyDescent="0.45">
      <c r="A1794" s="6" t="str">
        <f ca="1">IFERROR(__xludf.DUMMYFUNCTION("""COMPUTED_VALUE"""),"XY73D2K")</f>
        <v>XY73D2K</v>
      </c>
      <c r="B1794" s="7" t="s">
        <v>1986</v>
      </c>
      <c r="C1794" s="7" t="s">
        <v>1981</v>
      </c>
      <c r="D1794" s="7" t="s">
        <v>1982</v>
      </c>
      <c r="E1794" s="8">
        <v>37248</v>
      </c>
      <c r="F1794" s="10" t="s">
        <v>2192</v>
      </c>
    </row>
    <row r="1795" spans="1:6" ht="14.25" x14ac:dyDescent="0.45">
      <c r="A1795" s="6" t="str">
        <f ca="1">IFERROR(__xludf.DUMMYFUNCTION("""COMPUTED_VALUE"""),"XUOWPX9")</f>
        <v>XUOWPX9</v>
      </c>
      <c r="B1795" s="7" t="s">
        <v>1971</v>
      </c>
      <c r="C1795" s="7" t="s">
        <v>1981</v>
      </c>
      <c r="D1795" s="7" t="s">
        <v>1993</v>
      </c>
      <c r="E1795" s="8">
        <v>37262</v>
      </c>
      <c r="F1795" s="10" t="s">
        <v>2324</v>
      </c>
    </row>
    <row r="1796" spans="1:6" ht="14.25" x14ac:dyDescent="0.45">
      <c r="A1796" s="6" t="str">
        <f ca="1">IFERROR(__xludf.DUMMYFUNCTION("""COMPUTED_VALUE"""),"X27KZ")</f>
        <v>X27KZ</v>
      </c>
      <c r="B1796" s="7" t="s">
        <v>1971</v>
      </c>
      <c r="C1796" s="7" t="s">
        <v>1981</v>
      </c>
      <c r="D1796" s="7" t="s">
        <v>1975</v>
      </c>
      <c r="E1796" s="8">
        <v>37269</v>
      </c>
      <c r="F1796" s="10" t="s">
        <v>2204</v>
      </c>
    </row>
    <row r="1797" spans="1:6" ht="14.25" x14ac:dyDescent="0.45">
      <c r="A1797" s="6" t="str">
        <f ca="1">IFERROR(__xludf.DUMMYFUNCTION("""COMPUTED_VALUE"""),"XWUV43R")</f>
        <v>XWUV43R</v>
      </c>
      <c r="B1797" s="7" t="s">
        <v>1971</v>
      </c>
      <c r="C1797" s="7" t="s">
        <v>1977</v>
      </c>
      <c r="D1797" s="7" t="s">
        <v>1982</v>
      </c>
      <c r="E1797" s="8">
        <v>37291</v>
      </c>
      <c r="F1797" s="10" t="s">
        <v>2296</v>
      </c>
    </row>
    <row r="1798" spans="1:6" ht="14.25" x14ac:dyDescent="0.45">
      <c r="A1798" s="6" t="str">
        <f ca="1">IFERROR(__xludf.DUMMYFUNCTION("""COMPUTED_VALUE"""),"XZ329U4")</f>
        <v>XZ329U4</v>
      </c>
      <c r="B1798" s="7" t="s">
        <v>1971</v>
      </c>
      <c r="C1798" s="7" t="s">
        <v>1981</v>
      </c>
      <c r="D1798" s="7" t="s">
        <v>1974</v>
      </c>
      <c r="E1798" s="8">
        <v>37298</v>
      </c>
      <c r="F1798" s="10" t="s">
        <v>2281</v>
      </c>
    </row>
    <row r="1799" spans="1:6" ht="14.25" x14ac:dyDescent="0.45">
      <c r="A1799" s="6" t="str">
        <f ca="1">IFERROR(__xludf.DUMMYFUNCTION("""COMPUTED_VALUE"""),"X2CQ3")</f>
        <v>X2CQ3</v>
      </c>
      <c r="B1799" s="7" t="s">
        <v>1986</v>
      </c>
      <c r="C1799" s="7" t="s">
        <v>1981</v>
      </c>
      <c r="D1799" s="7" t="s">
        <v>1982</v>
      </c>
      <c r="E1799" s="8">
        <v>37302</v>
      </c>
      <c r="F1799" s="10" t="s">
        <v>2001</v>
      </c>
    </row>
    <row r="1800" spans="1:6" ht="14.25" x14ac:dyDescent="0.45">
      <c r="A1800" s="6" t="str">
        <f ca="1">IFERROR(__xludf.DUMMYFUNCTION("""COMPUTED_VALUE"""),"XX7TCFE")</f>
        <v>XX7TCFE</v>
      </c>
      <c r="B1800" s="7" t="s">
        <v>1971</v>
      </c>
      <c r="C1800" s="7" t="s">
        <v>1981</v>
      </c>
      <c r="D1800" s="7" t="s">
        <v>1975</v>
      </c>
      <c r="E1800" s="8">
        <v>37335</v>
      </c>
      <c r="F1800" s="9">
        <v>44321</v>
      </c>
    </row>
    <row r="1801" spans="1:6" ht="14.25" x14ac:dyDescent="0.45">
      <c r="A1801" s="6" t="str">
        <f ca="1">IFERROR(__xludf.DUMMYFUNCTION("""COMPUTED_VALUE"""),"XNZRPOJ")</f>
        <v>XNZRPOJ</v>
      </c>
      <c r="B1801" s="7" t="s">
        <v>1971</v>
      </c>
      <c r="C1801" s="7" t="s">
        <v>1975</v>
      </c>
      <c r="D1801" s="7" t="s">
        <v>1982</v>
      </c>
      <c r="E1801" s="8">
        <v>37367</v>
      </c>
      <c r="F1801" s="9">
        <v>44389</v>
      </c>
    </row>
    <row r="1802" spans="1:6" ht="14.25" x14ac:dyDescent="0.45">
      <c r="A1802" s="6" t="str">
        <f ca="1">IFERROR(__xludf.DUMMYFUNCTION("""COMPUTED_VALUE"""),"XUMUZC2")</f>
        <v>XUMUZC2</v>
      </c>
      <c r="B1802" s="7" t="s">
        <v>1971</v>
      </c>
      <c r="C1802" s="7" t="s">
        <v>1974</v>
      </c>
      <c r="D1802" s="7" t="s">
        <v>1982</v>
      </c>
      <c r="E1802" s="8">
        <v>37372</v>
      </c>
      <c r="F1802" s="10" t="s">
        <v>2261</v>
      </c>
    </row>
    <row r="1803" spans="1:6" ht="14.25" x14ac:dyDescent="0.45">
      <c r="A1803" s="6" t="str">
        <f ca="1">IFERROR(__xludf.DUMMYFUNCTION("""COMPUTED_VALUE"""),"X2DBG")</f>
        <v>X2DBG</v>
      </c>
      <c r="B1803" s="7" t="s">
        <v>1986</v>
      </c>
      <c r="C1803" s="7" t="s">
        <v>1981</v>
      </c>
      <c r="D1803" s="7" t="s">
        <v>1982</v>
      </c>
      <c r="E1803" s="8">
        <v>37381</v>
      </c>
      <c r="F1803" s="9">
        <v>44501</v>
      </c>
    </row>
    <row r="1804" spans="1:6" ht="14.25" x14ac:dyDescent="0.45">
      <c r="A1804" s="6" t="str">
        <f ca="1">IFERROR(__xludf.DUMMYFUNCTION("""COMPUTED_VALUE"""),"XVBSHVO")</f>
        <v>XVBSHVO</v>
      </c>
      <c r="B1804" s="7" t="s">
        <v>1971</v>
      </c>
      <c r="C1804" s="7" t="s">
        <v>1981</v>
      </c>
      <c r="D1804" s="7" t="s">
        <v>1982</v>
      </c>
      <c r="E1804" s="8">
        <v>37381</v>
      </c>
      <c r="F1804" s="10" t="s">
        <v>2261</v>
      </c>
    </row>
    <row r="1805" spans="1:6" ht="14.25" x14ac:dyDescent="0.45">
      <c r="A1805" s="6" t="str">
        <f ca="1">IFERROR(__xludf.DUMMYFUNCTION("""COMPUTED_VALUE"""),"X2BY6")</f>
        <v>X2BY6</v>
      </c>
      <c r="B1805" s="7" t="s">
        <v>1986</v>
      </c>
      <c r="C1805" s="7" t="s">
        <v>1981</v>
      </c>
      <c r="D1805" s="7" t="s">
        <v>1982</v>
      </c>
      <c r="E1805" s="8">
        <v>37391</v>
      </c>
      <c r="F1805" s="9">
        <v>43933</v>
      </c>
    </row>
    <row r="1806" spans="1:6" ht="14.25" x14ac:dyDescent="0.45">
      <c r="A1806" s="6" t="str">
        <f ca="1">IFERROR(__xludf.DUMMYFUNCTION("""COMPUTED_VALUE"""),"XI5GEEI")</f>
        <v>XI5GEEI</v>
      </c>
      <c r="B1806" s="7" t="s">
        <v>2215</v>
      </c>
      <c r="C1806" s="7" t="s">
        <v>2215</v>
      </c>
      <c r="D1806" s="7" t="s">
        <v>2215</v>
      </c>
      <c r="E1806" s="8">
        <v>37415</v>
      </c>
      <c r="F1806" s="10" t="s">
        <v>2281</v>
      </c>
    </row>
    <row r="1807" spans="1:6" ht="14.25" x14ac:dyDescent="0.45">
      <c r="A1807" s="6" t="str">
        <f ca="1">IFERROR(__xludf.DUMMYFUNCTION("""COMPUTED_VALUE"""),"X2AVX")</f>
        <v>X2AVX</v>
      </c>
      <c r="B1807" s="7" t="s">
        <v>1971</v>
      </c>
      <c r="C1807" s="7" t="s">
        <v>1981</v>
      </c>
      <c r="D1807" s="7" t="s">
        <v>1975</v>
      </c>
      <c r="E1807" s="8">
        <v>37428</v>
      </c>
      <c r="F1807" s="9">
        <v>44085</v>
      </c>
    </row>
    <row r="1808" spans="1:6" ht="14.25" x14ac:dyDescent="0.45">
      <c r="A1808" s="6" t="str">
        <f ca="1">IFERROR(__xludf.DUMMYFUNCTION("""COMPUTED_VALUE"""),"X7MFKVY")</f>
        <v>X7MFKVY</v>
      </c>
      <c r="B1808" s="7" t="s">
        <v>1971</v>
      </c>
      <c r="C1808" s="7" t="s">
        <v>1981</v>
      </c>
      <c r="D1808" s="7" t="s">
        <v>1975</v>
      </c>
      <c r="E1808" s="8">
        <v>37443</v>
      </c>
      <c r="F1808" s="10" t="s">
        <v>2247</v>
      </c>
    </row>
    <row r="1809" spans="1:6" ht="14.25" x14ac:dyDescent="0.45">
      <c r="A1809" s="6" t="str">
        <f ca="1">IFERROR(__xludf.DUMMYFUNCTION("""COMPUTED_VALUE"""),"XNZLGNQ")</f>
        <v>XNZLGNQ</v>
      </c>
      <c r="B1809" s="7" t="s">
        <v>1971</v>
      </c>
      <c r="C1809" s="7" t="s">
        <v>1977</v>
      </c>
      <c r="D1809" s="7" t="s">
        <v>1982</v>
      </c>
      <c r="E1809" s="8">
        <v>37445</v>
      </c>
      <c r="F1809" s="9">
        <v>44355</v>
      </c>
    </row>
    <row r="1810" spans="1:6" ht="14.25" x14ac:dyDescent="0.45">
      <c r="A1810" s="6" t="str">
        <f ca="1">IFERROR(__xludf.DUMMYFUNCTION("""COMPUTED_VALUE"""),"XXLTM55")</f>
        <v>XXLTM55</v>
      </c>
      <c r="B1810" s="7" t="s">
        <v>1971</v>
      </c>
      <c r="C1810" s="7" t="s">
        <v>1981</v>
      </c>
      <c r="D1810" s="7" t="s">
        <v>1982</v>
      </c>
      <c r="E1810" s="8">
        <v>37504</v>
      </c>
      <c r="F1810" s="10" t="s">
        <v>2245</v>
      </c>
    </row>
    <row r="1811" spans="1:6" ht="14.25" x14ac:dyDescent="0.45">
      <c r="A1811" s="6" t="str">
        <f ca="1">IFERROR(__xludf.DUMMYFUNCTION("""COMPUTED_VALUE"""),"X2A9R")</f>
        <v>X2A9R</v>
      </c>
      <c r="B1811" s="7" t="s">
        <v>1971</v>
      </c>
      <c r="C1811" s="7" t="s">
        <v>1981</v>
      </c>
      <c r="D1811" s="7" t="s">
        <v>1973</v>
      </c>
      <c r="E1811" s="8">
        <v>37520</v>
      </c>
      <c r="F1811" s="10" t="s">
        <v>2049</v>
      </c>
    </row>
    <row r="1812" spans="1:6" ht="14.25" x14ac:dyDescent="0.45">
      <c r="A1812" s="6" t="str">
        <f ca="1">IFERROR(__xludf.DUMMYFUNCTION("""COMPUTED_VALUE"""),"XWBLTQC")</f>
        <v>XWBLTQC</v>
      </c>
      <c r="B1812" s="7" t="s">
        <v>1971</v>
      </c>
      <c r="C1812" s="7" t="s">
        <v>1981</v>
      </c>
      <c r="D1812" s="7" t="s">
        <v>1982</v>
      </c>
      <c r="E1812" s="8">
        <v>37552</v>
      </c>
      <c r="F1812" s="9">
        <v>44355</v>
      </c>
    </row>
    <row r="1813" spans="1:6" ht="14.25" x14ac:dyDescent="0.45">
      <c r="A1813" s="6" t="str">
        <f ca="1">IFERROR(__xludf.DUMMYFUNCTION("""COMPUTED_VALUE"""),"X2BXY")</f>
        <v>X2BXY</v>
      </c>
      <c r="B1813" s="7" t="s">
        <v>1971</v>
      </c>
      <c r="C1813" s="7" t="s">
        <v>1972</v>
      </c>
      <c r="D1813" s="7" t="s">
        <v>2014</v>
      </c>
      <c r="E1813" s="8">
        <v>37594</v>
      </c>
      <c r="F1813" s="9">
        <v>43933</v>
      </c>
    </row>
    <row r="1814" spans="1:6" ht="14.25" x14ac:dyDescent="0.45">
      <c r="A1814" s="6" t="str">
        <f ca="1">IFERROR(__xludf.DUMMYFUNCTION("""COMPUTED_VALUE"""),"X1OD8")</f>
        <v>X1OD8</v>
      </c>
      <c r="B1814" s="7" t="s">
        <v>1971</v>
      </c>
      <c r="C1814" s="7" t="s">
        <v>1972</v>
      </c>
      <c r="D1814" s="7" t="s">
        <v>2311</v>
      </c>
      <c r="E1814" s="8">
        <v>37605</v>
      </c>
      <c r="F1814" s="9">
        <v>43739</v>
      </c>
    </row>
    <row r="1815" spans="1:6" ht="14.25" x14ac:dyDescent="0.45">
      <c r="A1815" s="6" t="str">
        <f ca="1">IFERROR(__xludf.DUMMYFUNCTION("""COMPUTED_VALUE"""),"XK4OZPW")</f>
        <v>XK4OZPW</v>
      </c>
      <c r="B1815" s="7" t="s">
        <v>1980</v>
      </c>
      <c r="C1815" s="7" t="s">
        <v>1981</v>
      </c>
      <c r="D1815" s="7" t="s">
        <v>1993</v>
      </c>
      <c r="E1815" s="8">
        <v>37632</v>
      </c>
      <c r="F1815" s="10" t="s">
        <v>2220</v>
      </c>
    </row>
    <row r="1816" spans="1:6" ht="14.25" x14ac:dyDescent="0.45">
      <c r="A1816" s="6" t="str">
        <f ca="1">IFERROR(__xludf.DUMMYFUNCTION("""COMPUTED_VALUE"""),"XOD4DU6")</f>
        <v>XOD4DU6</v>
      </c>
      <c r="B1816" s="7" t="s">
        <v>1971</v>
      </c>
      <c r="C1816" s="7" t="s">
        <v>1981</v>
      </c>
      <c r="D1816" s="7" t="s">
        <v>1975</v>
      </c>
      <c r="E1816" s="8">
        <v>37645</v>
      </c>
      <c r="F1816" s="10" t="s">
        <v>2304</v>
      </c>
    </row>
    <row r="1817" spans="1:6" ht="14.25" x14ac:dyDescent="0.45">
      <c r="A1817" s="6" t="str">
        <f ca="1">IFERROR(__xludf.DUMMYFUNCTION("""COMPUTED_VALUE"""),"XOS5TFE")</f>
        <v>XOS5TFE</v>
      </c>
      <c r="B1817" s="7" t="s">
        <v>1971</v>
      </c>
      <c r="C1817" s="7" t="s">
        <v>1981</v>
      </c>
      <c r="D1817" s="7" t="s">
        <v>1993</v>
      </c>
      <c r="E1817" s="8">
        <v>37649</v>
      </c>
      <c r="F1817" s="10" t="s">
        <v>2334</v>
      </c>
    </row>
    <row r="1818" spans="1:6" ht="14.25" x14ac:dyDescent="0.45">
      <c r="A1818" s="6" t="str">
        <f ca="1">IFERROR(__xludf.DUMMYFUNCTION("""COMPUTED_VALUE"""),"XS2YVQ2")</f>
        <v>XS2YVQ2</v>
      </c>
      <c r="B1818" s="7" t="s">
        <v>1971</v>
      </c>
      <c r="C1818" s="7" t="s">
        <v>1993</v>
      </c>
      <c r="D1818" s="7" t="s">
        <v>1975</v>
      </c>
      <c r="E1818" s="8">
        <v>37657</v>
      </c>
      <c r="F1818" s="10" t="s">
        <v>2257</v>
      </c>
    </row>
    <row r="1819" spans="1:6" ht="14.25" x14ac:dyDescent="0.45">
      <c r="A1819" s="6" t="str">
        <f ca="1">IFERROR(__xludf.DUMMYFUNCTION("""COMPUTED_VALUE"""),"XODUKJC")</f>
        <v>XODUKJC</v>
      </c>
      <c r="B1819" s="7" t="s">
        <v>1971</v>
      </c>
      <c r="C1819" s="7" t="s">
        <v>1981</v>
      </c>
      <c r="D1819" s="7" t="s">
        <v>1982</v>
      </c>
      <c r="E1819" s="8">
        <v>37658</v>
      </c>
      <c r="F1819" s="10" t="s">
        <v>2242</v>
      </c>
    </row>
    <row r="1820" spans="1:6" ht="14.25" x14ac:dyDescent="0.45">
      <c r="A1820" s="6" t="str">
        <f ca="1">IFERROR(__xludf.DUMMYFUNCTION("""COMPUTED_VALUE"""),"X7RTERF")</f>
        <v>X7RTERF</v>
      </c>
      <c r="B1820" s="7" t="s">
        <v>1971</v>
      </c>
      <c r="C1820" s="7" t="s">
        <v>1981</v>
      </c>
      <c r="D1820" s="7" t="s">
        <v>1982</v>
      </c>
      <c r="E1820" s="8">
        <v>37673</v>
      </c>
      <c r="F1820" s="9">
        <v>44355</v>
      </c>
    </row>
    <row r="1821" spans="1:6" ht="14.25" x14ac:dyDescent="0.45">
      <c r="A1821" s="6" t="str">
        <f ca="1">IFERROR(__xludf.DUMMYFUNCTION("""COMPUTED_VALUE"""),"XUWL25K")</f>
        <v>XUWL25K</v>
      </c>
      <c r="B1821" s="7" t="s">
        <v>1971</v>
      </c>
      <c r="C1821" s="7" t="s">
        <v>1981</v>
      </c>
      <c r="D1821" s="7" t="s">
        <v>1975</v>
      </c>
      <c r="E1821" s="8">
        <v>37676</v>
      </c>
      <c r="F1821" s="10" t="s">
        <v>2242</v>
      </c>
    </row>
    <row r="1822" spans="1:6" ht="14.25" x14ac:dyDescent="0.45">
      <c r="A1822" s="6" t="str">
        <f ca="1">IFERROR(__xludf.DUMMYFUNCTION("""COMPUTED_VALUE"""),"X9URRKJ")</f>
        <v>X9URRKJ</v>
      </c>
      <c r="B1822" s="7" t="s">
        <v>1971</v>
      </c>
      <c r="C1822" s="7" t="s">
        <v>1977</v>
      </c>
      <c r="D1822" s="7" t="s">
        <v>1975</v>
      </c>
      <c r="E1822" s="8">
        <v>37684</v>
      </c>
      <c r="F1822" s="10" t="s">
        <v>2336</v>
      </c>
    </row>
    <row r="1823" spans="1:6" ht="14.25" x14ac:dyDescent="0.45">
      <c r="A1823" s="6" t="str">
        <f ca="1">IFERROR(__xludf.DUMMYFUNCTION("""COMPUTED_VALUE"""),"XL8F8AR")</f>
        <v>XL8F8AR</v>
      </c>
      <c r="B1823" s="7" t="s">
        <v>1971</v>
      </c>
      <c r="C1823" s="7" t="s">
        <v>1981</v>
      </c>
      <c r="D1823" s="7" t="s">
        <v>1982</v>
      </c>
      <c r="E1823" s="8">
        <v>37706</v>
      </c>
      <c r="F1823" s="10" t="s">
        <v>2261</v>
      </c>
    </row>
    <row r="1824" spans="1:6" ht="14.25" x14ac:dyDescent="0.45">
      <c r="A1824" s="6" t="str">
        <f ca="1">IFERROR(__xludf.DUMMYFUNCTION("""COMPUTED_VALUE"""),"XC5U4OO")</f>
        <v>XC5U4OO</v>
      </c>
      <c r="B1824" s="7" t="s">
        <v>1971</v>
      </c>
      <c r="C1824" s="7" t="s">
        <v>1981</v>
      </c>
      <c r="D1824" s="7" t="s">
        <v>1974</v>
      </c>
      <c r="E1824" s="8">
        <v>37711</v>
      </c>
      <c r="F1824" s="10" t="s">
        <v>2242</v>
      </c>
    </row>
    <row r="1825" spans="1:6" ht="14.25" x14ac:dyDescent="0.45">
      <c r="A1825" s="6" t="str">
        <f ca="1">IFERROR(__xludf.DUMMYFUNCTION("""COMPUTED_VALUE"""),"XINCS8R")</f>
        <v>XINCS8R</v>
      </c>
      <c r="B1825" s="7" t="s">
        <v>1971</v>
      </c>
      <c r="C1825" s="7" t="s">
        <v>1981</v>
      </c>
      <c r="D1825" s="7" t="s">
        <v>1982</v>
      </c>
      <c r="E1825" s="8">
        <v>37712</v>
      </c>
      <c r="F1825" s="9">
        <v>44510</v>
      </c>
    </row>
    <row r="1826" spans="1:6" ht="14.25" x14ac:dyDescent="0.45">
      <c r="A1826" s="6" t="str">
        <f ca="1">IFERROR(__xludf.DUMMYFUNCTION("""COMPUTED_VALUE"""),"XBR6GJL")</f>
        <v>XBR6GJL</v>
      </c>
      <c r="B1826" s="7" t="s">
        <v>1971</v>
      </c>
      <c r="C1826" s="7" t="s">
        <v>1981</v>
      </c>
      <c r="D1826" s="7" t="s">
        <v>1982</v>
      </c>
      <c r="E1826" s="8">
        <v>37721</v>
      </c>
      <c r="F1826" s="10" t="s">
        <v>2245</v>
      </c>
    </row>
    <row r="1827" spans="1:6" ht="14.25" x14ac:dyDescent="0.45">
      <c r="A1827" s="6" t="str">
        <f ca="1">IFERROR(__xludf.DUMMYFUNCTION("""COMPUTED_VALUE"""),"XP46BDK")</f>
        <v>XP46BDK</v>
      </c>
      <c r="B1827" s="7" t="s">
        <v>1971</v>
      </c>
      <c r="C1827" s="7" t="s">
        <v>1981</v>
      </c>
      <c r="D1827" s="7" t="s">
        <v>1982</v>
      </c>
      <c r="E1827" s="8">
        <v>37738</v>
      </c>
      <c r="F1827" s="10" t="s">
        <v>2261</v>
      </c>
    </row>
    <row r="1828" spans="1:6" ht="14.25" x14ac:dyDescent="0.45">
      <c r="A1828" s="6" t="str">
        <f ca="1">IFERROR(__xludf.DUMMYFUNCTION("""COMPUTED_VALUE"""),"X946GSD")</f>
        <v>X946GSD</v>
      </c>
      <c r="B1828" s="7" t="s">
        <v>1971</v>
      </c>
      <c r="C1828" s="7" t="s">
        <v>1981</v>
      </c>
      <c r="D1828" s="7" t="s">
        <v>1982</v>
      </c>
      <c r="E1828" s="8">
        <v>37738</v>
      </c>
      <c r="F1828" s="10" t="s">
        <v>2287</v>
      </c>
    </row>
    <row r="1829" spans="1:6" ht="14.25" x14ac:dyDescent="0.45">
      <c r="A1829" s="6" t="str">
        <f ca="1">IFERROR(__xludf.DUMMYFUNCTION("""COMPUTED_VALUE"""),"XF1Z2G5")</f>
        <v>XF1Z2G5</v>
      </c>
      <c r="B1829" s="7" t="s">
        <v>1971</v>
      </c>
      <c r="C1829" s="7" t="s">
        <v>1981</v>
      </c>
      <c r="D1829" s="7" t="s">
        <v>1982</v>
      </c>
      <c r="E1829" s="8">
        <v>37760</v>
      </c>
      <c r="F1829" s="10" t="s">
        <v>2245</v>
      </c>
    </row>
    <row r="1830" spans="1:6" ht="14.25" x14ac:dyDescent="0.45">
      <c r="A1830" s="6" t="str">
        <f ca="1">IFERROR(__xludf.DUMMYFUNCTION("""COMPUTED_VALUE"""),"X69G2E1")</f>
        <v>X69G2E1</v>
      </c>
      <c r="B1830" s="7" t="s">
        <v>1971</v>
      </c>
      <c r="C1830" s="7" t="s">
        <v>1981</v>
      </c>
      <c r="D1830" s="7" t="s">
        <v>1982</v>
      </c>
      <c r="E1830" s="8">
        <v>37764</v>
      </c>
      <c r="F1830" s="10" t="s">
        <v>2287</v>
      </c>
    </row>
    <row r="1831" spans="1:6" ht="14.25" x14ac:dyDescent="0.45">
      <c r="A1831" s="6" t="str">
        <f ca="1">IFERROR(__xludf.DUMMYFUNCTION("""COMPUTED_VALUE"""),"XW4C9N9")</f>
        <v>XW4C9N9</v>
      </c>
      <c r="B1831" s="7" t="s">
        <v>1971</v>
      </c>
      <c r="C1831" s="7" t="s">
        <v>1981</v>
      </c>
      <c r="D1831" s="7" t="s">
        <v>1993</v>
      </c>
      <c r="E1831" s="8">
        <v>37819</v>
      </c>
      <c r="F1831" s="10" t="s">
        <v>2242</v>
      </c>
    </row>
    <row r="1832" spans="1:6" ht="14.25" x14ac:dyDescent="0.45">
      <c r="A1832" s="6" t="str">
        <f ca="1">IFERROR(__xludf.DUMMYFUNCTION("""COMPUTED_VALUE"""),"XWEXFTD")</f>
        <v>XWEXFTD</v>
      </c>
      <c r="B1832" s="7" t="s">
        <v>1971</v>
      </c>
      <c r="C1832" s="7" t="s">
        <v>1972</v>
      </c>
      <c r="D1832" s="7" t="s">
        <v>2012</v>
      </c>
      <c r="E1832" s="8">
        <v>37842</v>
      </c>
      <c r="F1832" s="9">
        <v>44447</v>
      </c>
    </row>
    <row r="1833" spans="1:6" ht="14.25" x14ac:dyDescent="0.45">
      <c r="A1833" s="6" t="str">
        <f ca="1">IFERROR(__xludf.DUMMYFUNCTION("""COMPUTED_VALUE"""),"X1ZJY")</f>
        <v>X1ZJY</v>
      </c>
      <c r="B1833" s="7" t="s">
        <v>1971</v>
      </c>
      <c r="C1833" s="7" t="s">
        <v>1977</v>
      </c>
      <c r="D1833" s="7" t="s">
        <v>1975</v>
      </c>
      <c r="E1833" s="8">
        <v>43824</v>
      </c>
      <c r="F1833" s="10" t="s">
        <v>2062</v>
      </c>
    </row>
    <row r="1834" spans="1:6" ht="14.25" x14ac:dyDescent="0.45">
      <c r="A1834" s="6" t="str">
        <f ca="1">IFERROR(__xludf.DUMMYFUNCTION("""COMPUTED_VALUE"""),"XAUMJAC")</f>
        <v>XAUMJAC</v>
      </c>
      <c r="B1834" s="7" t="s">
        <v>2215</v>
      </c>
      <c r="C1834" s="7" t="s">
        <v>2215</v>
      </c>
      <c r="D1834" s="7" t="s">
        <v>2215</v>
      </c>
      <c r="E1834" s="8">
        <v>44292</v>
      </c>
      <c r="F1834" s="9">
        <v>44320</v>
      </c>
    </row>
    <row r="1835" spans="1:6" ht="14.25" x14ac:dyDescent="0.45">
      <c r="A1835" s="6" t="str">
        <f ca="1">IFERROR(__xludf.DUMMYFUNCTION("""COMPUTED_VALUE"""),"XFCRZJG")</f>
        <v>XFCRZJG</v>
      </c>
      <c r="B1835" s="7" t="s">
        <v>2215</v>
      </c>
      <c r="C1835" s="7" t="s">
        <v>2215</v>
      </c>
      <c r="D1835" s="7" t="s">
        <v>2215</v>
      </c>
      <c r="E1835" s="8">
        <v>44306</v>
      </c>
      <c r="F1835" s="10" t="s">
        <v>2216</v>
      </c>
    </row>
    <row r="1836" spans="1:6" ht="14.25" x14ac:dyDescent="0.45">
      <c r="A1836" s="6" t="str">
        <f ca="1">IFERROR(__xludf.DUMMYFUNCTION("""COMPUTED_VALUE"""),"X21KB")</f>
        <v>X21KB</v>
      </c>
      <c r="B1836" s="10">
        <v>0</v>
      </c>
      <c r="C1836" s="10">
        <v>0</v>
      </c>
      <c r="D1836" s="10">
        <v>0</v>
      </c>
      <c r="E1836" s="10" t="s">
        <v>2093</v>
      </c>
      <c r="F1836" s="9">
        <v>44167</v>
      </c>
    </row>
    <row r="1837" spans="1:6" ht="14.25" x14ac:dyDescent="0.45">
      <c r="A1837" s="6" t="str">
        <f ca="1">IFERROR(__xludf.DUMMYFUNCTION("""COMPUTED_VALUE"""),"X2COR")</f>
        <v>X2COR</v>
      </c>
      <c r="B1837" s="10">
        <v>0</v>
      </c>
      <c r="C1837" s="10">
        <v>0</v>
      </c>
      <c r="D1837" s="10">
        <v>0</v>
      </c>
      <c r="E1837" s="10" t="s">
        <v>2093</v>
      </c>
      <c r="F1837" s="10" t="s">
        <v>2001</v>
      </c>
    </row>
    <row r="1838" spans="1:6" ht="14.25" x14ac:dyDescent="0.45">
      <c r="A1838" s="6" t="str">
        <f ca="1">IFERROR(__xludf.DUMMYFUNCTION("""COMPUTED_VALUE"""),"X3593")</f>
        <v>X3593</v>
      </c>
      <c r="B1838" s="10">
        <v>0</v>
      </c>
      <c r="C1838" s="10">
        <v>0</v>
      </c>
      <c r="D1838" s="10">
        <v>0</v>
      </c>
      <c r="E1838" s="10" t="s">
        <v>2093</v>
      </c>
      <c r="F1838" s="10" t="s">
        <v>2098</v>
      </c>
    </row>
    <row r="1839" spans="1:6" ht="14.25" x14ac:dyDescent="0.45">
      <c r="A1839" s="6" t="str">
        <f ca="1">IFERROR(__xludf.DUMMYFUNCTION("""COMPUTED_VALUE"""),"X2CVB")</f>
        <v>X2CVB</v>
      </c>
      <c r="B1839" s="10">
        <v>0</v>
      </c>
      <c r="C1839" s="10">
        <v>0</v>
      </c>
      <c r="D1839" s="10">
        <v>0</v>
      </c>
      <c r="E1839" s="10" t="s">
        <v>2093</v>
      </c>
      <c r="F1839" s="9">
        <v>44287</v>
      </c>
    </row>
    <row r="1840" spans="1:6" ht="14.25" x14ac:dyDescent="0.45">
      <c r="A1840" s="6" t="str">
        <f ca="1">IFERROR(__xludf.DUMMYFUNCTION("""COMPUTED_VALUE"""),"X27QS")</f>
        <v>X27QS</v>
      </c>
      <c r="B1840" s="10">
        <v>0</v>
      </c>
      <c r="C1840" s="10">
        <v>0</v>
      </c>
      <c r="D1840" s="10">
        <v>0</v>
      </c>
      <c r="E1840" s="10" t="s">
        <v>2093</v>
      </c>
      <c r="F1840" s="10" t="s">
        <v>2110</v>
      </c>
    </row>
    <row r="1841" spans="1:6" ht="14.25" x14ac:dyDescent="0.45">
      <c r="A1841" s="6" t="str">
        <f ca="1">IFERROR(__xludf.DUMMYFUNCTION("""COMPUTED_VALUE"""),"X2DNX")</f>
        <v>X2DNX</v>
      </c>
      <c r="B1841" s="10">
        <v>0</v>
      </c>
      <c r="C1841" s="10">
        <v>0</v>
      </c>
      <c r="D1841" s="10">
        <v>0</v>
      </c>
      <c r="E1841" s="10" t="s">
        <v>2093</v>
      </c>
      <c r="F1841" s="10" t="s">
        <v>2042</v>
      </c>
    </row>
    <row r="1842" spans="1:6" ht="14.25" x14ac:dyDescent="0.45">
      <c r="A1842" s="6" t="str">
        <f ca="1">IFERROR(__xludf.DUMMYFUNCTION("""COMPUTED_VALUE"""),"X2CU6")</f>
        <v>X2CU6</v>
      </c>
      <c r="B1842" s="10">
        <v>0</v>
      </c>
      <c r="C1842" s="10">
        <v>0</v>
      </c>
      <c r="D1842" s="10">
        <v>0</v>
      </c>
      <c r="E1842" s="10" t="s">
        <v>2093</v>
      </c>
      <c r="F1842" s="9">
        <v>44287</v>
      </c>
    </row>
    <row r="1843" spans="1:6" ht="14.25" x14ac:dyDescent="0.45">
      <c r="A1843" s="6" t="str">
        <f ca="1">IFERROR(__xludf.DUMMYFUNCTION("""COMPUTED_VALUE"""),"X2DN6")</f>
        <v>X2DN6</v>
      </c>
      <c r="B1843" s="10">
        <v>0</v>
      </c>
      <c r="C1843" s="10">
        <v>0</v>
      </c>
      <c r="D1843" s="10">
        <v>0</v>
      </c>
      <c r="E1843" s="10" t="s">
        <v>2093</v>
      </c>
      <c r="F1843" s="10" t="s">
        <v>2082</v>
      </c>
    </row>
    <row r="1844" spans="1:6" ht="14.25" x14ac:dyDescent="0.45">
      <c r="A1844" s="6" t="str">
        <f ca="1">IFERROR(__xludf.DUMMYFUNCTION("""COMPUTED_VALUE"""),"X3208")</f>
        <v>X3208</v>
      </c>
      <c r="B1844" s="10">
        <v>0</v>
      </c>
      <c r="C1844" s="10">
        <v>0</v>
      </c>
      <c r="D1844" s="10">
        <v>0</v>
      </c>
      <c r="E1844" s="10" t="s">
        <v>2093</v>
      </c>
      <c r="F1844" s="9">
        <v>43227</v>
      </c>
    </row>
    <row r="1845" spans="1:6" ht="14.25" x14ac:dyDescent="0.45">
      <c r="A1845" s="6" t="str">
        <f ca="1">IFERROR(__xludf.DUMMYFUNCTION("""COMPUTED_VALUE"""),"X1LZX")</f>
        <v>X1LZX</v>
      </c>
      <c r="B1845" s="10">
        <v>0</v>
      </c>
      <c r="C1845" s="10">
        <v>0</v>
      </c>
      <c r="D1845" s="10">
        <v>0</v>
      </c>
      <c r="E1845" s="10" t="s">
        <v>2093</v>
      </c>
      <c r="F1845" s="10" t="s">
        <v>2153</v>
      </c>
    </row>
    <row r="1846" spans="1:6" ht="14.25" x14ac:dyDescent="0.45">
      <c r="A1846" s="6" t="str">
        <f ca="1">IFERROR(__xludf.DUMMYFUNCTION("""COMPUTED_VALUE"""),"X2ADA")</f>
        <v>X2ADA</v>
      </c>
      <c r="B1846" s="10">
        <v>0</v>
      </c>
      <c r="C1846" s="10">
        <v>0</v>
      </c>
      <c r="D1846" s="10">
        <v>0</v>
      </c>
      <c r="E1846" s="10" t="s">
        <v>2093</v>
      </c>
      <c r="F1846" s="10" t="s">
        <v>2128</v>
      </c>
    </row>
    <row r="1847" spans="1:6" ht="14.25" x14ac:dyDescent="0.45">
      <c r="A1847" s="6" t="str">
        <f ca="1">IFERROR(__xludf.DUMMYFUNCTION("""COMPUTED_VALUE"""),"X2B148")</f>
        <v>X2B148</v>
      </c>
      <c r="B1847" s="10">
        <v>0</v>
      </c>
      <c r="C1847" s="10">
        <v>0</v>
      </c>
      <c r="D1847" s="10">
        <v>0</v>
      </c>
      <c r="E1847" s="10" t="s">
        <v>2093</v>
      </c>
      <c r="F1847" s="10" t="s">
        <v>2024</v>
      </c>
    </row>
    <row r="1848" spans="1:6" ht="14.25" x14ac:dyDescent="0.45">
      <c r="A1848" s="6" t="str">
        <f ca="1">IFERROR(__xludf.DUMMYFUNCTION("""COMPUTED_VALUE"""),"X2CQV")</f>
        <v>X2CQV</v>
      </c>
      <c r="B1848" s="10">
        <v>0</v>
      </c>
      <c r="C1848" s="10">
        <v>0</v>
      </c>
      <c r="D1848" s="10">
        <v>0</v>
      </c>
      <c r="E1848" s="10" t="s">
        <v>2093</v>
      </c>
      <c r="F1848" s="10" t="s">
        <v>2001</v>
      </c>
    </row>
    <row r="1849" spans="1:6" ht="14.25" x14ac:dyDescent="0.45">
      <c r="A1849" s="6" t="str">
        <f ca="1">IFERROR(__xludf.DUMMYFUNCTION("""COMPUTED_VALUE"""),"X2CIS")</f>
        <v>X2CIS</v>
      </c>
      <c r="B1849" s="10">
        <v>0</v>
      </c>
      <c r="C1849" s="10">
        <v>0</v>
      </c>
      <c r="D1849" s="10">
        <v>0</v>
      </c>
      <c r="E1849" s="10" t="s">
        <v>2093</v>
      </c>
      <c r="F1849" s="10" t="s">
        <v>2024</v>
      </c>
    </row>
    <row r="1850" spans="1:6" ht="14.25" x14ac:dyDescent="0.45">
      <c r="A1850" s="6" t="str">
        <f ca="1">IFERROR(__xludf.DUMMYFUNCTION("""COMPUTED_VALUE"""),"X3411")</f>
        <v>X3411</v>
      </c>
      <c r="B1850" s="10">
        <v>0</v>
      </c>
      <c r="C1850" s="10">
        <v>0</v>
      </c>
      <c r="D1850" s="10">
        <v>0</v>
      </c>
      <c r="E1850" s="10" t="s">
        <v>2093</v>
      </c>
      <c r="F1850" s="10" t="s">
        <v>2168</v>
      </c>
    </row>
    <row r="1851" spans="1:6" ht="14.25" x14ac:dyDescent="0.45">
      <c r="A1851" s="6" t="str">
        <f ca="1">IFERROR(__xludf.DUMMYFUNCTION("""COMPUTED_VALUE"""),"X2DRE")</f>
        <v>X2DRE</v>
      </c>
      <c r="B1851" s="10">
        <v>0</v>
      </c>
      <c r="C1851" s="10">
        <v>0</v>
      </c>
      <c r="D1851" s="10">
        <v>0</v>
      </c>
      <c r="E1851" s="10" t="s">
        <v>2093</v>
      </c>
      <c r="F1851" s="10" t="s">
        <v>2114</v>
      </c>
    </row>
    <row r="1852" spans="1:6" ht="14.25" x14ac:dyDescent="0.45">
      <c r="A1852" s="6" t="str">
        <f ca="1">IFERROR(__xludf.DUMMYFUNCTION("""COMPUTED_VALUE"""),"X2BWS")</f>
        <v>X2BWS</v>
      </c>
      <c r="B1852" s="10">
        <v>0</v>
      </c>
      <c r="C1852" s="10">
        <v>0</v>
      </c>
      <c r="D1852" s="10">
        <v>0</v>
      </c>
      <c r="E1852" s="10" t="s">
        <v>2093</v>
      </c>
      <c r="F1852" s="9">
        <v>43933</v>
      </c>
    </row>
    <row r="1853" spans="1:6" ht="14.25" x14ac:dyDescent="0.45">
      <c r="A1853" s="6" t="str">
        <f ca="1">IFERROR(__xludf.DUMMYFUNCTION("""COMPUTED_VALUE"""),"X297J")</f>
        <v>X297J</v>
      </c>
      <c r="B1853" s="10">
        <v>0</v>
      </c>
      <c r="C1853" s="10">
        <v>0</v>
      </c>
      <c r="D1853" s="10">
        <v>0</v>
      </c>
      <c r="E1853" s="10" t="s">
        <v>2093</v>
      </c>
      <c r="F1853" s="9">
        <v>43961</v>
      </c>
    </row>
    <row r="1854" spans="1:6" ht="14.25" x14ac:dyDescent="0.45">
      <c r="A1854" s="6" t="str">
        <f ca="1">IFERROR(__xludf.DUMMYFUNCTION("""COMPUTED_VALUE"""),"X3727")</f>
        <v>X3727</v>
      </c>
      <c r="B1854" s="7" t="s">
        <v>1980</v>
      </c>
      <c r="C1854" s="10">
        <v>0</v>
      </c>
      <c r="D1854" s="10">
        <v>0</v>
      </c>
      <c r="E1854" s="10" t="s">
        <v>2093</v>
      </c>
      <c r="F1854" s="10" t="s">
        <v>2185</v>
      </c>
    </row>
    <row r="1855" spans="1:6" ht="14.25" x14ac:dyDescent="0.45">
      <c r="A1855" s="6" t="str">
        <f ca="1">IFERROR(__xludf.DUMMYFUNCTION("""COMPUTED_VALUE"""),"X29HH")</f>
        <v>X29HH</v>
      </c>
      <c r="B1855" s="10">
        <v>0</v>
      </c>
      <c r="C1855" s="10">
        <v>0</v>
      </c>
      <c r="D1855" s="10">
        <v>0</v>
      </c>
      <c r="E1855" s="10" t="s">
        <v>2093</v>
      </c>
      <c r="F1855" s="9">
        <v>44084</v>
      </c>
    </row>
    <row r="1856" spans="1:6" ht="14.25" x14ac:dyDescent="0.45">
      <c r="A1856" s="6" t="str">
        <f ca="1">IFERROR(__xludf.DUMMYFUNCTION("""COMPUTED_VALUE"""),"X3666")</f>
        <v>X3666</v>
      </c>
      <c r="B1856" s="7" t="s">
        <v>1980</v>
      </c>
      <c r="C1856" s="10">
        <v>0</v>
      </c>
      <c r="D1856" s="10">
        <v>0</v>
      </c>
      <c r="E1856" s="10" t="s">
        <v>2093</v>
      </c>
      <c r="F1856" s="10" t="s">
        <v>2180</v>
      </c>
    </row>
    <row r="1857" spans="1:6" ht="14.25" x14ac:dyDescent="0.45">
      <c r="A1857" s="6" t="str">
        <f ca="1">IFERROR(__xludf.DUMMYFUNCTION("""COMPUTED_VALUE"""),"X3712")</f>
        <v>X3712</v>
      </c>
      <c r="B1857" s="7" t="s">
        <v>1980</v>
      </c>
      <c r="C1857" s="10">
        <v>0</v>
      </c>
      <c r="D1857" s="10">
        <v>0</v>
      </c>
      <c r="E1857" s="10" t="s">
        <v>2093</v>
      </c>
      <c r="F1857" s="10" t="s">
        <v>2180</v>
      </c>
    </row>
    <row r="1858" spans="1:6" ht="14.25" x14ac:dyDescent="0.45">
      <c r="A1858" s="6" t="str">
        <f ca="1">IFERROR(__xludf.DUMMYFUNCTION("""COMPUTED_VALUE"""),"X2DXL")</f>
        <v>X2DXL</v>
      </c>
      <c r="B1858" s="10">
        <v>0</v>
      </c>
      <c r="C1858" s="10">
        <v>0</v>
      </c>
      <c r="D1858" s="10">
        <v>0</v>
      </c>
      <c r="E1858" s="10" t="s">
        <v>2093</v>
      </c>
      <c r="F1858" s="10" t="s">
        <v>2152</v>
      </c>
    </row>
    <row r="1859" spans="1:6" ht="14.25" x14ac:dyDescent="0.45">
      <c r="A1859" s="6" t="str">
        <f ca="1">IFERROR(__xludf.DUMMYFUNCTION("""COMPUTED_VALUE"""),"X2DXU")</f>
        <v>X2DXU</v>
      </c>
      <c r="B1859" s="10">
        <v>0</v>
      </c>
      <c r="C1859" s="10">
        <v>0</v>
      </c>
      <c r="D1859" s="10">
        <v>0</v>
      </c>
      <c r="E1859" s="10" t="s">
        <v>2093</v>
      </c>
      <c r="F1859" s="10" t="s">
        <v>2152</v>
      </c>
    </row>
    <row r="1860" spans="1:6" ht="14.25" x14ac:dyDescent="0.45">
      <c r="A1860" s="6" t="str">
        <f ca="1">IFERROR(__xludf.DUMMYFUNCTION("""COMPUTED_VALUE"""),"X3726")</f>
        <v>X3726</v>
      </c>
      <c r="B1860" s="7" t="s">
        <v>1980</v>
      </c>
      <c r="C1860" s="10">
        <v>0</v>
      </c>
      <c r="D1860" s="10">
        <v>0</v>
      </c>
      <c r="E1860" s="10" t="s">
        <v>2093</v>
      </c>
      <c r="F1860" s="10" t="s">
        <v>2185</v>
      </c>
    </row>
    <row r="1861" spans="1:6" ht="14.25" x14ac:dyDescent="0.45">
      <c r="A1861" s="6" t="str">
        <f ca="1">IFERROR(__xludf.DUMMYFUNCTION("""COMPUTED_VALUE"""),"X2DYI")</f>
        <v>X2DYI</v>
      </c>
      <c r="B1861" s="10">
        <v>0</v>
      </c>
      <c r="C1861" s="10">
        <v>0</v>
      </c>
      <c r="D1861" s="10">
        <v>0</v>
      </c>
      <c r="E1861" s="10" t="s">
        <v>2093</v>
      </c>
      <c r="F1861" s="10" t="s">
        <v>2152</v>
      </c>
    </row>
    <row r="1862" spans="1:6" ht="14.25" x14ac:dyDescent="0.45">
      <c r="A1862" s="6" t="str">
        <f ca="1">IFERROR(__xludf.DUMMYFUNCTION("""COMPUTED_VALUE"""),"X2DC3")</f>
        <v>X2DC3</v>
      </c>
      <c r="B1862" s="10">
        <v>0</v>
      </c>
      <c r="C1862" s="10">
        <v>0</v>
      </c>
      <c r="D1862" s="10">
        <v>0</v>
      </c>
      <c r="E1862" s="10" t="s">
        <v>2093</v>
      </c>
      <c r="F1862" s="9">
        <v>44501</v>
      </c>
    </row>
    <row r="1863" spans="1:6" ht="14.25" x14ac:dyDescent="0.45">
      <c r="A1863" s="6" t="str">
        <f ca="1">IFERROR(__xludf.DUMMYFUNCTION("""COMPUTED_VALUE"""),"X2C97")</f>
        <v>X2C97</v>
      </c>
      <c r="B1863" s="10">
        <v>0</v>
      </c>
      <c r="C1863" s="10">
        <v>0</v>
      </c>
      <c r="D1863" s="10">
        <v>0</v>
      </c>
      <c r="E1863" s="10" t="s">
        <v>2093</v>
      </c>
      <c r="F1863" s="10" t="s">
        <v>2032</v>
      </c>
    </row>
    <row r="1864" spans="1:6" ht="14.25" x14ac:dyDescent="0.45">
      <c r="A1864" s="6" t="str">
        <f ca="1">IFERROR(__xludf.DUMMYFUNCTION("""COMPUTED_VALUE"""),"X3689")</f>
        <v>X3689</v>
      </c>
      <c r="B1864" s="7" t="s">
        <v>1980</v>
      </c>
      <c r="C1864" s="10">
        <v>0</v>
      </c>
      <c r="D1864" s="10">
        <v>0</v>
      </c>
      <c r="E1864" s="10" t="s">
        <v>2093</v>
      </c>
      <c r="F1864" s="10" t="s">
        <v>2180</v>
      </c>
    </row>
    <row r="1865" spans="1:6" ht="14.25" x14ac:dyDescent="0.45">
      <c r="A1865" s="6" t="str">
        <f ca="1">IFERROR(__xludf.DUMMYFUNCTION("""COMPUTED_VALUE"""),"X1XGI")</f>
        <v>X1XGI</v>
      </c>
      <c r="B1865" s="10">
        <v>0</v>
      </c>
      <c r="C1865" s="10">
        <v>0</v>
      </c>
      <c r="D1865" s="10">
        <v>0</v>
      </c>
      <c r="E1865" s="10" t="s">
        <v>2093</v>
      </c>
      <c r="F1865" s="9">
        <v>43809</v>
      </c>
    </row>
    <row r="1866" spans="1:6" ht="14.25" x14ac:dyDescent="0.45">
      <c r="A1866" s="6" t="str">
        <f ca="1">IFERROR(__xludf.DUMMYFUNCTION("""COMPUTED_VALUE"""),"X3662")</f>
        <v>X3662</v>
      </c>
      <c r="B1866" s="7" t="s">
        <v>1980</v>
      </c>
      <c r="C1866" s="10">
        <v>0</v>
      </c>
      <c r="D1866" s="10">
        <v>0</v>
      </c>
      <c r="E1866" s="10" t="s">
        <v>2093</v>
      </c>
      <c r="F1866" s="10" t="s">
        <v>2180</v>
      </c>
    </row>
    <row r="1867" spans="1:6" ht="14.25" x14ac:dyDescent="0.45">
      <c r="A1867" s="6" t="str">
        <f ca="1">IFERROR(__xludf.DUMMYFUNCTION("""COMPUTED_VALUE"""),"X2CT4")</f>
        <v>X2CT4</v>
      </c>
      <c r="B1867" s="10">
        <v>0</v>
      </c>
      <c r="C1867" s="10">
        <v>0</v>
      </c>
      <c r="D1867" s="10">
        <v>0</v>
      </c>
      <c r="E1867" s="10" t="s">
        <v>2093</v>
      </c>
      <c r="F1867" s="10" t="s">
        <v>2096</v>
      </c>
    </row>
    <row r="1868" spans="1:6" ht="14.25" x14ac:dyDescent="0.45">
      <c r="A1868" s="6" t="str">
        <f ca="1">IFERROR(__xludf.DUMMYFUNCTION("""COMPUTED_VALUE"""),"X2C7F")</f>
        <v>X2C7F</v>
      </c>
      <c r="B1868" s="10">
        <v>0</v>
      </c>
      <c r="C1868" s="10">
        <v>0</v>
      </c>
      <c r="D1868" s="10">
        <v>0</v>
      </c>
      <c r="E1868" s="10" t="s">
        <v>2093</v>
      </c>
      <c r="F1868" s="10" t="s">
        <v>2052</v>
      </c>
    </row>
    <row r="1869" spans="1:6" ht="14.25" x14ac:dyDescent="0.45">
      <c r="A1869" s="6" t="str">
        <f ca="1">IFERROR(__xludf.DUMMYFUNCTION("""COMPUTED_VALUE"""),"X2DRY")</f>
        <v>X2DRY</v>
      </c>
      <c r="B1869" s="10">
        <v>0</v>
      </c>
      <c r="C1869" s="10">
        <v>0</v>
      </c>
      <c r="D1869" s="10">
        <v>0</v>
      </c>
      <c r="E1869" s="10" t="s">
        <v>2093</v>
      </c>
      <c r="F1869" s="10" t="s">
        <v>2114</v>
      </c>
    </row>
    <row r="1870" spans="1:6" ht="14.25" x14ac:dyDescent="0.45">
      <c r="A1870" s="6" t="str">
        <f ca="1">IFERROR(__xludf.DUMMYFUNCTION("""COMPUTED_VALUE"""),"X2DYW")</f>
        <v>X2DYW</v>
      </c>
      <c r="B1870" s="10">
        <v>0</v>
      </c>
      <c r="C1870" s="10">
        <v>0</v>
      </c>
      <c r="D1870" s="10">
        <v>0</v>
      </c>
      <c r="E1870" s="10" t="s">
        <v>2093</v>
      </c>
      <c r="F1870" s="10" t="s">
        <v>2152</v>
      </c>
    </row>
    <row r="1871" spans="1:6" ht="14.25" x14ac:dyDescent="0.45">
      <c r="A1871" s="6" t="str">
        <f ca="1">IFERROR(__xludf.DUMMYFUNCTION("""COMPUTED_VALUE"""),"X3610")</f>
        <v>X3610</v>
      </c>
      <c r="B1871" s="7" t="s">
        <v>1980</v>
      </c>
      <c r="C1871" s="10">
        <v>0</v>
      </c>
      <c r="D1871" s="10">
        <v>0</v>
      </c>
      <c r="E1871" s="10" t="s">
        <v>2093</v>
      </c>
      <c r="F1871" s="10" t="s">
        <v>2208</v>
      </c>
    </row>
    <row r="1872" spans="1:6" ht="14.25" x14ac:dyDescent="0.45">
      <c r="A1872" s="6" t="str">
        <f ca="1">IFERROR(__xludf.DUMMYFUNCTION("""COMPUTED_VALUE"""),"X28A7")</f>
        <v>X28A7</v>
      </c>
      <c r="B1872" s="10">
        <v>0</v>
      </c>
      <c r="C1872" s="10">
        <v>0</v>
      </c>
      <c r="D1872" s="10">
        <v>0</v>
      </c>
      <c r="E1872" s="10" t="s">
        <v>2093</v>
      </c>
      <c r="F1872" s="9">
        <v>44144</v>
      </c>
    </row>
    <row r="1873" spans="1:6" ht="14.25" x14ac:dyDescent="0.45">
      <c r="A1873" s="6" t="str">
        <f ca="1">IFERROR(__xludf.DUMMYFUNCTION("""COMPUTED_VALUE"""),"XZCWEND")</f>
        <v>XZCWEND</v>
      </c>
      <c r="B1873" s="10">
        <v>0</v>
      </c>
      <c r="C1873" s="10">
        <v>0</v>
      </c>
      <c r="D1873" s="10">
        <v>0</v>
      </c>
      <c r="E1873" s="10" t="s">
        <v>2093</v>
      </c>
      <c r="F1873" s="10" t="s">
        <v>2193</v>
      </c>
    </row>
    <row r="1874" spans="1:6" ht="14.25" x14ac:dyDescent="0.45">
      <c r="A1874" s="6" t="str">
        <f ca="1">IFERROR(__xludf.DUMMYFUNCTION("""COMPUTED_VALUE"""),"XEPSXBD")</f>
        <v>XEPSXBD</v>
      </c>
      <c r="B1874" s="10">
        <v>0</v>
      </c>
      <c r="C1874" s="10">
        <v>0</v>
      </c>
      <c r="D1874" s="10">
        <v>0</v>
      </c>
      <c r="E1874" s="10" t="s">
        <v>2093</v>
      </c>
      <c r="F1874" s="10" t="s">
        <v>2212</v>
      </c>
    </row>
    <row r="1875" spans="1:6" ht="14.25" x14ac:dyDescent="0.45">
      <c r="A1875" s="6" t="str">
        <f ca="1">IFERROR(__xludf.DUMMYFUNCTION("""COMPUTED_VALUE"""),"X89695V")</f>
        <v>X89695V</v>
      </c>
      <c r="B1875" s="10">
        <v>0</v>
      </c>
      <c r="C1875" s="10">
        <v>0</v>
      </c>
      <c r="D1875" s="10">
        <v>0</v>
      </c>
      <c r="E1875" s="10" t="s">
        <v>2093</v>
      </c>
      <c r="F1875" s="10" t="s">
        <v>2217</v>
      </c>
    </row>
    <row r="1876" spans="1:6" ht="14.25" x14ac:dyDescent="0.45">
      <c r="A1876" s="6" t="str">
        <f ca="1">IFERROR(__xludf.DUMMYFUNCTION("""COMPUTED_VALUE"""),"XMEW4WE")</f>
        <v>XMEW4WE</v>
      </c>
      <c r="B1876" s="10">
        <v>0</v>
      </c>
      <c r="C1876" s="10">
        <v>0</v>
      </c>
      <c r="D1876" s="10">
        <v>0</v>
      </c>
      <c r="E1876" s="10" t="s">
        <v>2093</v>
      </c>
      <c r="F1876" s="10" t="s">
        <v>2213</v>
      </c>
    </row>
    <row r="1877" spans="1:6" ht="14.25" x14ac:dyDescent="0.45">
      <c r="A1877" s="6" t="str">
        <f ca="1">IFERROR(__xludf.DUMMYFUNCTION("""COMPUTED_VALUE"""),"X2DLU")</f>
        <v>X2DLU</v>
      </c>
      <c r="B1877" s="10">
        <v>0</v>
      </c>
      <c r="C1877" s="10">
        <v>0</v>
      </c>
      <c r="D1877" s="10">
        <v>0</v>
      </c>
      <c r="E1877" s="10" t="s">
        <v>2093</v>
      </c>
      <c r="F1877" s="10" t="s">
        <v>2082</v>
      </c>
    </row>
    <row r="1878" spans="1:6" ht="14.25" x14ac:dyDescent="0.45">
      <c r="A1878" s="6" t="str">
        <f ca="1">IFERROR(__xludf.DUMMYFUNCTION("""COMPUTED_VALUE"""),"X2PPBXT")</f>
        <v>X2PPBXT</v>
      </c>
      <c r="B1878" s="10">
        <v>0</v>
      </c>
      <c r="C1878" s="10">
        <v>0</v>
      </c>
      <c r="D1878" s="10">
        <v>0</v>
      </c>
      <c r="E1878" s="10" t="s">
        <v>2093</v>
      </c>
      <c r="F1878" s="10" t="s">
        <v>2212</v>
      </c>
    </row>
    <row r="1879" spans="1:6" ht="14.25" x14ac:dyDescent="0.45">
      <c r="A1879" s="6" t="str">
        <f ca="1">IFERROR(__xludf.DUMMYFUNCTION("""COMPUTED_VALUE"""),"X3MT8NM")</f>
        <v>X3MT8NM</v>
      </c>
      <c r="B1879" s="10">
        <v>0</v>
      </c>
      <c r="C1879" s="10">
        <v>0</v>
      </c>
      <c r="D1879" s="10">
        <v>0</v>
      </c>
      <c r="E1879" s="10" t="s">
        <v>2093</v>
      </c>
      <c r="F1879" s="10" t="s">
        <v>2220</v>
      </c>
    </row>
    <row r="1880" spans="1:6" ht="14.25" x14ac:dyDescent="0.45">
      <c r="A1880" s="6" t="str">
        <f ca="1">IFERROR(__xludf.DUMMYFUNCTION("""COMPUTED_VALUE"""),"X21XG")</f>
        <v>X21XG</v>
      </c>
      <c r="B1880" s="10">
        <v>0</v>
      </c>
      <c r="C1880" s="10">
        <v>0</v>
      </c>
      <c r="D1880" s="10">
        <v>0</v>
      </c>
      <c r="E1880" s="10" t="s">
        <v>2093</v>
      </c>
      <c r="F1880" s="10" t="s">
        <v>2227</v>
      </c>
    </row>
    <row r="1881" spans="1:6" ht="14.25" x14ac:dyDescent="0.45">
      <c r="A1881" s="6" t="str">
        <f ca="1">IFERROR(__xludf.DUMMYFUNCTION("""COMPUTED_VALUE"""),"XTXQLNE")</f>
        <v>XTXQLNE</v>
      </c>
      <c r="B1881" s="10">
        <v>0</v>
      </c>
      <c r="C1881" s="10">
        <v>0</v>
      </c>
      <c r="D1881" s="10">
        <v>0</v>
      </c>
      <c r="E1881" s="10" t="s">
        <v>2093</v>
      </c>
      <c r="F1881" s="10" t="s">
        <v>2225</v>
      </c>
    </row>
    <row r="1882" spans="1:6" ht="14.25" x14ac:dyDescent="0.45">
      <c r="A1882" s="6" t="str">
        <f ca="1">IFERROR(__xludf.DUMMYFUNCTION("""COMPUTED_VALUE"""),"XNULPCU")</f>
        <v>XNULPCU</v>
      </c>
      <c r="B1882" s="10">
        <v>0</v>
      </c>
      <c r="C1882" s="10">
        <v>0</v>
      </c>
      <c r="D1882" s="10">
        <v>0</v>
      </c>
      <c r="E1882" s="10" t="s">
        <v>2093</v>
      </c>
      <c r="F1882" s="10" t="s">
        <v>2200</v>
      </c>
    </row>
    <row r="1883" spans="1:6" ht="14.25" x14ac:dyDescent="0.45">
      <c r="A1883" s="6" t="str">
        <f ca="1">IFERROR(__xludf.DUMMYFUNCTION("""COMPUTED_VALUE"""),"X2CMU")</f>
        <v>X2CMU</v>
      </c>
      <c r="B1883" s="10">
        <v>0</v>
      </c>
      <c r="C1883" s="10">
        <v>0</v>
      </c>
      <c r="D1883" s="10">
        <v>0</v>
      </c>
      <c r="E1883" s="10" t="s">
        <v>2093</v>
      </c>
      <c r="F1883" s="10" t="s">
        <v>2230</v>
      </c>
    </row>
    <row r="1884" spans="1:6" ht="14.25" x14ac:dyDescent="0.45">
      <c r="A1884" s="6" t="str">
        <f ca="1">IFERROR(__xludf.DUMMYFUNCTION("""COMPUTED_VALUE"""),"XYN52CC")</f>
        <v>XYN52CC</v>
      </c>
      <c r="B1884" s="10">
        <v>0</v>
      </c>
      <c r="C1884" s="10">
        <v>0</v>
      </c>
      <c r="D1884" s="10">
        <v>0</v>
      </c>
      <c r="E1884" s="10" t="s">
        <v>2093</v>
      </c>
      <c r="F1884" s="9">
        <v>44320</v>
      </c>
    </row>
    <row r="1885" spans="1:6" ht="14.25" x14ac:dyDescent="0.45">
      <c r="A1885" s="6" t="str">
        <f ca="1">IFERROR(__xludf.DUMMYFUNCTION("""COMPUTED_VALUE"""),"X2CDK")</f>
        <v>X2CDK</v>
      </c>
      <c r="B1885" s="10">
        <v>0</v>
      </c>
      <c r="C1885" s="10">
        <v>0</v>
      </c>
      <c r="D1885" s="10">
        <v>0</v>
      </c>
      <c r="E1885" s="10" t="s">
        <v>2093</v>
      </c>
      <c r="F1885" s="10" t="s">
        <v>2052</v>
      </c>
    </row>
    <row r="1886" spans="1:6" ht="14.25" x14ac:dyDescent="0.45">
      <c r="A1886" s="6" t="str">
        <f ca="1">IFERROR(__xludf.DUMMYFUNCTION("""COMPUTED_VALUE"""),"XCE2JB8")</f>
        <v>XCE2JB8</v>
      </c>
      <c r="B1886" s="10">
        <v>0</v>
      </c>
      <c r="C1886" s="10">
        <v>0</v>
      </c>
      <c r="D1886" s="10">
        <v>0</v>
      </c>
      <c r="E1886" s="10" t="s">
        <v>2093</v>
      </c>
      <c r="F1886" s="10" t="s">
        <v>2220</v>
      </c>
    </row>
    <row r="1887" spans="1:6" ht="14.25" x14ac:dyDescent="0.45">
      <c r="A1887" s="6" t="str">
        <f ca="1">IFERROR(__xludf.DUMMYFUNCTION("""COMPUTED_VALUE"""),"X183Q9Z")</f>
        <v>X183Q9Z</v>
      </c>
      <c r="B1887" s="10">
        <v>0</v>
      </c>
      <c r="C1887" s="10">
        <v>0</v>
      </c>
      <c r="D1887" s="10">
        <v>0</v>
      </c>
      <c r="E1887" s="10" t="s">
        <v>2093</v>
      </c>
      <c r="F1887" s="10" t="s">
        <v>2224</v>
      </c>
    </row>
    <row r="1888" spans="1:6" ht="14.25" x14ac:dyDescent="0.45">
      <c r="A1888" s="6" t="str">
        <f ca="1">IFERROR(__xludf.DUMMYFUNCTION("""COMPUTED_VALUE"""),"X2CFB")</f>
        <v>X2CFB</v>
      </c>
      <c r="B1888" s="10">
        <v>0</v>
      </c>
      <c r="C1888" s="10">
        <v>0</v>
      </c>
      <c r="D1888" s="10">
        <v>0</v>
      </c>
      <c r="E1888" s="10" t="s">
        <v>2093</v>
      </c>
      <c r="F1888" s="10" t="s">
        <v>2032</v>
      </c>
    </row>
    <row r="1889" spans="1:6" ht="14.25" x14ac:dyDescent="0.45">
      <c r="A1889" s="6" t="str">
        <f ca="1">IFERROR(__xludf.DUMMYFUNCTION("""COMPUTED_VALUE"""),"X3T3FSV")</f>
        <v>X3T3FSV</v>
      </c>
      <c r="B1889" s="10">
        <v>0</v>
      </c>
      <c r="C1889" s="10">
        <v>0</v>
      </c>
      <c r="D1889" s="10">
        <v>0</v>
      </c>
      <c r="E1889" s="10" t="s">
        <v>2093</v>
      </c>
      <c r="F1889" s="10" t="s">
        <v>2218</v>
      </c>
    </row>
    <row r="1890" spans="1:6" ht="14.25" x14ac:dyDescent="0.45">
      <c r="A1890" s="6" t="str">
        <f ca="1">IFERROR(__xludf.DUMMYFUNCTION("""COMPUTED_VALUE"""),"X3740")</f>
        <v>X3740</v>
      </c>
      <c r="B1890" s="7" t="s">
        <v>1980</v>
      </c>
      <c r="C1890" s="10">
        <v>0</v>
      </c>
      <c r="D1890" s="10">
        <v>0</v>
      </c>
      <c r="E1890" s="10" t="s">
        <v>2093</v>
      </c>
      <c r="F1890" s="10" t="s">
        <v>2185</v>
      </c>
    </row>
    <row r="1891" spans="1:6" ht="14.25" x14ac:dyDescent="0.45">
      <c r="A1891" s="6" t="str">
        <f ca="1">IFERROR(__xludf.DUMMYFUNCTION("""COMPUTED_VALUE"""),"XCS1RZR")</f>
        <v>XCS1RZR</v>
      </c>
      <c r="B1891" s="10">
        <v>0</v>
      </c>
      <c r="C1891" s="10">
        <v>0</v>
      </c>
      <c r="D1891" s="10">
        <v>0</v>
      </c>
      <c r="E1891" s="10" t="s">
        <v>2093</v>
      </c>
      <c r="F1891" s="10" t="s">
        <v>2243</v>
      </c>
    </row>
    <row r="1892" spans="1:6" ht="14.25" x14ac:dyDescent="0.45">
      <c r="A1892" s="6" t="str">
        <f ca="1">IFERROR(__xludf.DUMMYFUNCTION("""COMPUTED_VALUE"""),"XNTVCJS")</f>
        <v>XNTVCJS</v>
      </c>
      <c r="B1892" s="10">
        <v>0</v>
      </c>
      <c r="C1892" s="10">
        <v>0</v>
      </c>
      <c r="D1892" s="10">
        <v>0</v>
      </c>
      <c r="E1892" s="10" t="s">
        <v>2093</v>
      </c>
      <c r="F1892" s="10" t="s">
        <v>2219</v>
      </c>
    </row>
    <row r="1893" spans="1:6" ht="14.25" x14ac:dyDescent="0.45">
      <c r="A1893" s="6" t="str">
        <f ca="1">IFERROR(__xludf.DUMMYFUNCTION("""COMPUTED_VALUE"""),"X262Y6N")</f>
        <v>X262Y6N</v>
      </c>
      <c r="B1893" s="10">
        <v>0</v>
      </c>
      <c r="C1893" s="10">
        <v>0</v>
      </c>
      <c r="D1893" s="10">
        <v>0</v>
      </c>
      <c r="E1893" s="10" t="s">
        <v>2093</v>
      </c>
      <c r="F1893" s="9">
        <v>44535</v>
      </c>
    </row>
    <row r="1894" spans="1:6" ht="14.25" x14ac:dyDescent="0.45">
      <c r="A1894" s="6" t="str">
        <f ca="1">IFERROR(__xludf.DUMMYFUNCTION("""COMPUTED_VALUE"""),"XY5MH9D")</f>
        <v>XY5MH9D</v>
      </c>
      <c r="B1894" s="10">
        <v>0</v>
      </c>
      <c r="C1894" s="10">
        <v>0</v>
      </c>
      <c r="D1894" s="10">
        <v>0</v>
      </c>
      <c r="E1894" s="10" t="s">
        <v>2093</v>
      </c>
      <c r="F1894" s="10" t="s">
        <v>2242</v>
      </c>
    </row>
    <row r="1895" spans="1:6" ht="14.25" x14ac:dyDescent="0.45">
      <c r="A1895" s="6" t="str">
        <f ca="1">IFERROR(__xludf.DUMMYFUNCTION("""COMPUTED_VALUE"""),"X21XF")</f>
        <v>X21XF</v>
      </c>
      <c r="B1895" s="10">
        <v>0</v>
      </c>
      <c r="C1895" s="10">
        <v>0</v>
      </c>
      <c r="D1895" s="10">
        <v>0</v>
      </c>
      <c r="E1895" s="10" t="s">
        <v>2093</v>
      </c>
      <c r="F1895" s="10" t="s">
        <v>2227</v>
      </c>
    </row>
    <row r="1896" spans="1:6" ht="14.25" x14ac:dyDescent="0.45">
      <c r="A1896" s="6" t="str">
        <f ca="1">IFERROR(__xludf.DUMMYFUNCTION("""COMPUTED_VALUE"""),"XI2U11Z")</f>
        <v>XI2U11Z</v>
      </c>
      <c r="B1896" s="10">
        <v>0</v>
      </c>
      <c r="C1896" s="10">
        <v>0</v>
      </c>
      <c r="D1896" s="10">
        <v>0</v>
      </c>
      <c r="E1896" s="10" t="s">
        <v>2093</v>
      </c>
      <c r="F1896" s="10" t="s">
        <v>2247</v>
      </c>
    </row>
    <row r="1897" spans="1:6" ht="14.25" x14ac:dyDescent="0.45">
      <c r="A1897" s="6" t="str">
        <f ca="1">IFERROR(__xludf.DUMMYFUNCTION("""COMPUTED_VALUE"""),"X5ZON2K")</f>
        <v>X5ZON2K</v>
      </c>
      <c r="B1897" s="10">
        <v>0</v>
      </c>
      <c r="C1897" s="10">
        <v>0</v>
      </c>
      <c r="D1897" s="10">
        <v>0</v>
      </c>
      <c r="E1897" s="10" t="s">
        <v>2093</v>
      </c>
      <c r="F1897" s="10" t="s">
        <v>2249</v>
      </c>
    </row>
    <row r="1898" spans="1:6" ht="14.25" x14ac:dyDescent="0.45">
      <c r="A1898" s="6" t="str">
        <f ca="1">IFERROR(__xludf.DUMMYFUNCTION("""COMPUTED_VALUE"""),"X6TGAY6")</f>
        <v>X6TGAY6</v>
      </c>
      <c r="B1898" s="10">
        <v>0</v>
      </c>
      <c r="C1898" s="10">
        <v>0</v>
      </c>
      <c r="D1898" s="10">
        <v>0</v>
      </c>
      <c r="E1898" s="10" t="s">
        <v>2093</v>
      </c>
      <c r="F1898" s="9">
        <v>44533</v>
      </c>
    </row>
    <row r="1899" spans="1:6" ht="14.25" x14ac:dyDescent="0.45">
      <c r="A1899" s="6" t="str">
        <f ca="1">IFERROR(__xludf.DUMMYFUNCTION("""COMPUTED_VALUE"""),"XSI1GB2")</f>
        <v>XSI1GB2</v>
      </c>
      <c r="B1899" s="10">
        <v>0</v>
      </c>
      <c r="C1899" s="10">
        <v>0</v>
      </c>
      <c r="D1899" s="10">
        <v>0</v>
      </c>
      <c r="E1899" s="10" t="s">
        <v>2093</v>
      </c>
      <c r="F1899" s="10" t="s">
        <v>2225</v>
      </c>
    </row>
    <row r="1900" spans="1:6" ht="14.25" x14ac:dyDescent="0.45">
      <c r="A1900" s="6" t="str">
        <f ca="1">IFERROR(__xludf.DUMMYFUNCTION("""COMPUTED_VALUE"""),"XPM5ZUR")</f>
        <v>XPM5ZUR</v>
      </c>
      <c r="B1900" s="10">
        <v>0</v>
      </c>
      <c r="C1900" s="10">
        <v>0</v>
      </c>
      <c r="D1900" s="10">
        <v>0</v>
      </c>
      <c r="E1900" s="10" t="s">
        <v>2093</v>
      </c>
      <c r="F1900" s="9">
        <v>44533</v>
      </c>
    </row>
    <row r="1901" spans="1:6" ht="14.25" x14ac:dyDescent="0.45">
      <c r="A1901" s="6" t="str">
        <f ca="1">IFERROR(__xludf.DUMMYFUNCTION("""COMPUTED_VALUE"""),"XLUAT2N")</f>
        <v>XLUAT2N</v>
      </c>
      <c r="B1901" s="10">
        <v>0</v>
      </c>
      <c r="C1901" s="10">
        <v>0</v>
      </c>
      <c r="D1901" s="10">
        <v>0</v>
      </c>
      <c r="E1901" s="10" t="s">
        <v>2093</v>
      </c>
      <c r="F1901" s="10" t="s">
        <v>2192</v>
      </c>
    </row>
    <row r="1902" spans="1:6" ht="14.25" x14ac:dyDescent="0.45">
      <c r="A1902" s="6" t="str">
        <f ca="1">IFERROR(__xludf.DUMMYFUNCTION("""COMPUTED_VALUE"""),"XC9O25M")</f>
        <v>XC9O25M</v>
      </c>
      <c r="B1902" s="10">
        <v>0</v>
      </c>
      <c r="C1902" s="10">
        <v>0</v>
      </c>
      <c r="D1902" s="10">
        <v>0</v>
      </c>
      <c r="E1902" s="10" t="s">
        <v>2093</v>
      </c>
      <c r="F1902" s="10" t="s">
        <v>2220</v>
      </c>
    </row>
    <row r="1903" spans="1:6" ht="14.25" x14ac:dyDescent="0.45">
      <c r="A1903" s="6" t="str">
        <f ca="1">IFERROR(__xludf.DUMMYFUNCTION("""COMPUTED_VALUE"""),"X8OZIY2")</f>
        <v>X8OZIY2</v>
      </c>
      <c r="B1903" s="10">
        <v>0</v>
      </c>
      <c r="C1903" s="10">
        <v>0</v>
      </c>
      <c r="D1903" s="10">
        <v>0</v>
      </c>
      <c r="E1903" s="10" t="s">
        <v>2093</v>
      </c>
      <c r="F1903" s="10" t="s">
        <v>2247</v>
      </c>
    </row>
    <row r="1904" spans="1:6" ht="14.25" x14ac:dyDescent="0.45">
      <c r="A1904" s="6" t="str">
        <f ca="1">IFERROR(__xludf.DUMMYFUNCTION("""COMPUTED_VALUE"""),"XBCX6X1")</f>
        <v>XBCX6X1</v>
      </c>
      <c r="B1904" s="10">
        <v>0</v>
      </c>
      <c r="C1904" s="10">
        <v>0</v>
      </c>
      <c r="D1904" s="10">
        <v>0</v>
      </c>
      <c r="E1904" s="10" t="s">
        <v>2093</v>
      </c>
      <c r="F1904" s="10" t="s">
        <v>2217</v>
      </c>
    </row>
    <row r="1905" spans="1:6" ht="14.25" x14ac:dyDescent="0.45">
      <c r="A1905" s="6" t="str">
        <f ca="1">IFERROR(__xludf.DUMMYFUNCTION("""COMPUTED_VALUE"""),"XUT1XNK")</f>
        <v>XUT1XNK</v>
      </c>
      <c r="B1905" s="10">
        <v>0</v>
      </c>
      <c r="C1905" s="10">
        <v>0</v>
      </c>
      <c r="D1905" s="10">
        <v>0</v>
      </c>
      <c r="E1905" s="10" t="s">
        <v>2093</v>
      </c>
      <c r="F1905" s="10" t="s">
        <v>2225</v>
      </c>
    </row>
    <row r="1906" spans="1:6" ht="14.25" x14ac:dyDescent="0.45">
      <c r="A1906" s="6" t="str">
        <f ca="1">IFERROR(__xludf.DUMMYFUNCTION("""COMPUTED_VALUE"""),"XWNLHWR")</f>
        <v>XWNLHWR</v>
      </c>
      <c r="B1906" s="10">
        <v>0</v>
      </c>
      <c r="C1906" s="10">
        <v>0</v>
      </c>
      <c r="D1906" s="10">
        <v>0</v>
      </c>
      <c r="E1906" s="10" t="s">
        <v>2093</v>
      </c>
      <c r="F1906" s="9">
        <v>44474</v>
      </c>
    </row>
    <row r="1907" spans="1:6" ht="14.25" x14ac:dyDescent="0.45">
      <c r="A1907" s="6" t="str">
        <f ca="1">IFERROR(__xludf.DUMMYFUNCTION("""COMPUTED_VALUE"""),"XDY1A7Y")</f>
        <v>XDY1A7Y</v>
      </c>
      <c r="B1907" s="10">
        <v>0</v>
      </c>
      <c r="C1907" s="10">
        <v>0</v>
      </c>
      <c r="D1907" s="10">
        <v>0</v>
      </c>
      <c r="E1907" s="10" t="s">
        <v>2093</v>
      </c>
      <c r="F1907" s="9">
        <v>44505</v>
      </c>
    </row>
    <row r="1908" spans="1:6" ht="14.25" x14ac:dyDescent="0.45">
      <c r="A1908" s="6" t="str">
        <f ca="1">IFERROR(__xludf.DUMMYFUNCTION("""COMPUTED_VALUE"""),"XSBJ6HC")</f>
        <v>XSBJ6HC</v>
      </c>
      <c r="B1908" s="10">
        <v>0</v>
      </c>
      <c r="C1908" s="10">
        <v>0</v>
      </c>
      <c r="D1908" s="10">
        <v>0</v>
      </c>
      <c r="E1908" s="10" t="s">
        <v>2093</v>
      </c>
      <c r="F1908" s="9">
        <v>44202</v>
      </c>
    </row>
    <row r="1909" spans="1:6" ht="14.25" x14ac:dyDescent="0.45">
      <c r="A1909" s="6" t="str">
        <f ca="1">IFERROR(__xludf.DUMMYFUNCTION("""COMPUTED_VALUE"""),"XUE8FV1")</f>
        <v>XUE8FV1</v>
      </c>
      <c r="B1909" s="10">
        <v>0</v>
      </c>
      <c r="C1909" s="10">
        <v>0</v>
      </c>
      <c r="D1909" s="10">
        <v>0</v>
      </c>
      <c r="E1909" s="10" t="s">
        <v>2093</v>
      </c>
      <c r="F1909" s="10" t="s">
        <v>2257</v>
      </c>
    </row>
    <row r="1910" spans="1:6" ht="14.25" x14ac:dyDescent="0.45">
      <c r="A1910" s="6" t="str">
        <f ca="1">IFERROR(__xludf.DUMMYFUNCTION("""COMPUTED_VALUE"""),"XKC85KB")</f>
        <v>XKC85KB</v>
      </c>
      <c r="B1910" s="10">
        <v>0</v>
      </c>
      <c r="C1910" s="10">
        <v>0</v>
      </c>
      <c r="D1910" s="10">
        <v>0</v>
      </c>
      <c r="E1910" s="10" t="s">
        <v>2093</v>
      </c>
      <c r="F1910" s="10" t="s">
        <v>2258</v>
      </c>
    </row>
    <row r="1911" spans="1:6" ht="14.25" x14ac:dyDescent="0.45">
      <c r="A1911" s="6" t="str">
        <f ca="1">IFERROR(__xludf.DUMMYFUNCTION("""COMPUTED_VALUE"""),"XFKQ857")</f>
        <v>XFKQ857</v>
      </c>
      <c r="B1911" s="10">
        <v>0</v>
      </c>
      <c r="C1911" s="10">
        <v>0</v>
      </c>
      <c r="D1911" s="10">
        <v>0</v>
      </c>
      <c r="E1911" s="10" t="s">
        <v>2093</v>
      </c>
      <c r="F1911" s="10" t="s">
        <v>2261</v>
      </c>
    </row>
    <row r="1912" spans="1:6" ht="14.25" x14ac:dyDescent="0.45">
      <c r="A1912" s="6" t="str">
        <f ca="1">IFERROR(__xludf.DUMMYFUNCTION("""COMPUTED_VALUE"""),"X9U4ITK")</f>
        <v>X9U4ITK</v>
      </c>
      <c r="B1912" s="10">
        <v>0</v>
      </c>
      <c r="C1912" s="10">
        <v>0</v>
      </c>
      <c r="D1912" s="10">
        <v>0</v>
      </c>
      <c r="E1912" s="10" t="s">
        <v>2093</v>
      </c>
      <c r="F1912" s="10" t="s">
        <v>2258</v>
      </c>
    </row>
    <row r="1913" spans="1:6" ht="14.25" x14ac:dyDescent="0.45">
      <c r="A1913" s="6" t="str">
        <f ca="1">IFERROR(__xludf.DUMMYFUNCTION("""COMPUTED_VALUE"""),"X29TK")</f>
        <v>X29TK</v>
      </c>
      <c r="B1913" s="10">
        <v>0</v>
      </c>
      <c r="C1913" s="10">
        <v>0</v>
      </c>
      <c r="D1913" s="10">
        <v>0</v>
      </c>
      <c r="E1913" s="10" t="s">
        <v>2093</v>
      </c>
      <c r="F1913" s="9">
        <v>44175</v>
      </c>
    </row>
    <row r="1914" spans="1:6" ht="14.25" x14ac:dyDescent="0.45">
      <c r="A1914" s="6" t="str">
        <f ca="1">IFERROR(__xludf.DUMMYFUNCTION("""COMPUTED_VALUE"""),"X32RXID")</f>
        <v>X32RXID</v>
      </c>
      <c r="B1914" s="10">
        <v>0</v>
      </c>
      <c r="C1914" s="10">
        <v>0</v>
      </c>
      <c r="D1914" s="10">
        <v>0</v>
      </c>
      <c r="E1914" s="10" t="s">
        <v>2093</v>
      </c>
      <c r="F1914" s="10" t="s">
        <v>2245</v>
      </c>
    </row>
    <row r="1915" spans="1:6" ht="14.25" x14ac:dyDescent="0.45">
      <c r="A1915" s="6" t="str">
        <f ca="1">IFERROR(__xludf.DUMMYFUNCTION("""COMPUTED_VALUE"""),"XA8NW6Q")</f>
        <v>XA8NW6Q</v>
      </c>
      <c r="B1915" s="10">
        <v>0</v>
      </c>
      <c r="C1915" s="10">
        <v>0</v>
      </c>
      <c r="D1915" s="10">
        <v>0</v>
      </c>
      <c r="E1915" s="10" t="s">
        <v>2093</v>
      </c>
      <c r="F1915" s="10" t="s">
        <v>2261</v>
      </c>
    </row>
    <row r="1916" spans="1:6" ht="14.25" x14ac:dyDescent="0.45">
      <c r="A1916" s="6" t="str">
        <f ca="1">IFERROR(__xludf.DUMMYFUNCTION("""COMPUTED_VALUE"""),"X28LA")</f>
        <v>X28LA</v>
      </c>
      <c r="B1916" s="10">
        <v>0</v>
      </c>
      <c r="C1916" s="10">
        <v>0</v>
      </c>
      <c r="D1916" s="10">
        <v>0</v>
      </c>
      <c r="E1916" s="10" t="s">
        <v>2093</v>
      </c>
      <c r="F1916" s="10" t="s">
        <v>2221</v>
      </c>
    </row>
    <row r="1917" spans="1:6" ht="14.25" x14ac:dyDescent="0.45">
      <c r="A1917" s="6" t="str">
        <f ca="1">IFERROR(__xludf.DUMMYFUNCTION("""COMPUTED_VALUE"""),"XVSKDK5")</f>
        <v>XVSKDK5</v>
      </c>
      <c r="B1917" s="10">
        <v>0</v>
      </c>
      <c r="C1917" s="10">
        <v>0</v>
      </c>
      <c r="D1917" s="10">
        <v>0</v>
      </c>
      <c r="E1917" s="10" t="s">
        <v>2093</v>
      </c>
      <c r="F1917" s="10" t="s">
        <v>2266</v>
      </c>
    </row>
    <row r="1918" spans="1:6" ht="14.25" x14ac:dyDescent="0.45">
      <c r="A1918" s="6" t="str">
        <f ca="1">IFERROR(__xludf.DUMMYFUNCTION("""COMPUTED_VALUE"""),"XGAULN7")</f>
        <v>XGAULN7</v>
      </c>
      <c r="B1918" s="10">
        <v>0</v>
      </c>
      <c r="C1918" s="10">
        <v>0</v>
      </c>
      <c r="D1918" s="10">
        <v>0</v>
      </c>
      <c r="E1918" s="10" t="s">
        <v>2093</v>
      </c>
      <c r="F1918" s="10" t="s">
        <v>2264</v>
      </c>
    </row>
    <row r="1919" spans="1:6" ht="14.25" x14ac:dyDescent="0.45">
      <c r="A1919" s="6" t="str">
        <f ca="1">IFERROR(__xludf.DUMMYFUNCTION("""COMPUTED_VALUE"""),"X8YQJP7")</f>
        <v>X8YQJP7</v>
      </c>
      <c r="B1919" s="10">
        <v>0</v>
      </c>
      <c r="C1919" s="10">
        <v>0</v>
      </c>
      <c r="D1919" s="10">
        <v>0</v>
      </c>
      <c r="E1919" s="10" t="s">
        <v>2093</v>
      </c>
      <c r="F1919" s="10" t="s">
        <v>2257</v>
      </c>
    </row>
    <row r="1920" spans="1:6" ht="14.25" x14ac:dyDescent="0.45">
      <c r="A1920" s="6" t="str">
        <f ca="1">IFERROR(__xludf.DUMMYFUNCTION("""COMPUTED_VALUE"""),"XPETFLA")</f>
        <v>XPETFLA</v>
      </c>
      <c r="B1920" s="10">
        <v>0</v>
      </c>
      <c r="C1920" s="10">
        <v>0</v>
      </c>
      <c r="D1920" s="10">
        <v>0</v>
      </c>
      <c r="E1920" s="10" t="s">
        <v>2093</v>
      </c>
      <c r="F1920" s="10" t="s">
        <v>2268</v>
      </c>
    </row>
    <row r="1921" spans="1:6" ht="14.25" x14ac:dyDescent="0.45">
      <c r="A1921" s="6" t="str">
        <f ca="1">IFERROR(__xludf.DUMMYFUNCTION("""COMPUTED_VALUE"""),"X51SCWQ")</f>
        <v>X51SCWQ</v>
      </c>
      <c r="B1921" s="10">
        <v>0</v>
      </c>
      <c r="C1921" s="10">
        <v>0</v>
      </c>
      <c r="D1921" s="10">
        <v>0</v>
      </c>
      <c r="E1921" s="10" t="s">
        <v>2093</v>
      </c>
      <c r="F1921" s="10" t="s">
        <v>2261</v>
      </c>
    </row>
    <row r="1922" spans="1:6" ht="14.25" x14ac:dyDescent="0.45">
      <c r="A1922" s="6" t="str">
        <f ca="1">IFERROR(__xludf.DUMMYFUNCTION("""COMPUTED_VALUE"""),"X9U28BC")</f>
        <v>X9U28BC</v>
      </c>
      <c r="B1922" s="10">
        <v>0</v>
      </c>
      <c r="C1922" s="10">
        <v>0</v>
      </c>
      <c r="D1922" s="10">
        <v>0</v>
      </c>
      <c r="E1922" s="10" t="s">
        <v>2093</v>
      </c>
      <c r="F1922" s="9">
        <v>44474</v>
      </c>
    </row>
    <row r="1923" spans="1:6" ht="14.25" x14ac:dyDescent="0.45">
      <c r="A1923" s="6" t="str">
        <f ca="1">IFERROR(__xludf.DUMMYFUNCTION("""COMPUTED_VALUE"""),"X1MSILE")</f>
        <v>X1MSILE</v>
      </c>
      <c r="B1923" s="10">
        <v>0</v>
      </c>
      <c r="C1923" s="10">
        <v>0</v>
      </c>
      <c r="D1923" s="10">
        <v>0</v>
      </c>
      <c r="E1923" s="10" t="s">
        <v>2093</v>
      </c>
      <c r="F1923" s="10" t="s">
        <v>2270</v>
      </c>
    </row>
    <row r="1924" spans="1:6" ht="14.25" x14ac:dyDescent="0.45">
      <c r="A1924" s="6" t="str">
        <f ca="1">IFERROR(__xludf.DUMMYFUNCTION("""COMPUTED_VALUE"""),"XHMVZNH")</f>
        <v>XHMVZNH</v>
      </c>
      <c r="B1924" s="10">
        <v>0</v>
      </c>
      <c r="C1924" s="10">
        <v>0</v>
      </c>
      <c r="D1924" s="10">
        <v>0</v>
      </c>
      <c r="E1924" s="10" t="s">
        <v>2093</v>
      </c>
      <c r="F1924" s="10" t="s">
        <v>2247</v>
      </c>
    </row>
    <row r="1925" spans="1:6" ht="14.25" x14ac:dyDescent="0.45">
      <c r="A1925" s="6" t="str">
        <f ca="1">IFERROR(__xludf.DUMMYFUNCTION("""COMPUTED_VALUE"""),"XTHVQP8")</f>
        <v>XTHVQP8</v>
      </c>
      <c r="B1925" s="10">
        <v>0</v>
      </c>
      <c r="C1925" s="10">
        <v>0</v>
      </c>
      <c r="D1925" s="10">
        <v>0</v>
      </c>
      <c r="E1925" s="10" t="s">
        <v>2093</v>
      </c>
      <c r="F1925" s="10" t="s">
        <v>2246</v>
      </c>
    </row>
    <row r="1926" spans="1:6" ht="14.25" x14ac:dyDescent="0.45">
      <c r="A1926" s="6" t="str">
        <f ca="1">IFERROR(__xludf.DUMMYFUNCTION("""COMPUTED_VALUE"""),"XLASGSM")</f>
        <v>XLASGSM</v>
      </c>
      <c r="B1926" s="10">
        <v>0</v>
      </c>
      <c r="C1926" s="10">
        <v>0</v>
      </c>
      <c r="D1926" s="10">
        <v>0</v>
      </c>
      <c r="E1926" s="10" t="s">
        <v>2093</v>
      </c>
      <c r="F1926" s="10" t="s">
        <v>2247</v>
      </c>
    </row>
    <row r="1927" spans="1:6" ht="14.25" x14ac:dyDescent="0.45">
      <c r="A1927" s="6" t="str">
        <f ca="1">IFERROR(__xludf.DUMMYFUNCTION("""COMPUTED_VALUE"""),"XJCA4UU")</f>
        <v>XJCA4UU</v>
      </c>
      <c r="B1927" s="10">
        <v>0</v>
      </c>
      <c r="C1927" s="10">
        <v>0</v>
      </c>
      <c r="D1927" s="10">
        <v>0</v>
      </c>
      <c r="E1927" s="10" t="s">
        <v>2093</v>
      </c>
      <c r="F1927" s="10" t="s">
        <v>2193</v>
      </c>
    </row>
    <row r="1928" spans="1:6" ht="14.25" x14ac:dyDescent="0.45">
      <c r="A1928" s="6" t="str">
        <f ca="1">IFERROR(__xludf.DUMMYFUNCTION("""COMPUTED_VALUE"""),"XWV9HI6")</f>
        <v>XWV9HI6</v>
      </c>
      <c r="B1928" s="10">
        <v>0</v>
      </c>
      <c r="C1928" s="10">
        <v>0</v>
      </c>
      <c r="D1928" s="10">
        <v>0</v>
      </c>
      <c r="E1928" s="10" t="s">
        <v>2093</v>
      </c>
      <c r="F1928" s="10" t="s">
        <v>2257</v>
      </c>
    </row>
    <row r="1929" spans="1:6" ht="14.25" x14ac:dyDescent="0.45">
      <c r="A1929" s="6" t="str">
        <f ca="1">IFERROR(__xludf.DUMMYFUNCTION("""COMPUTED_VALUE"""),"XJIFCVQ")</f>
        <v>XJIFCVQ</v>
      </c>
      <c r="B1929" s="10">
        <v>0</v>
      </c>
      <c r="C1929" s="10">
        <v>0</v>
      </c>
      <c r="D1929" s="10">
        <v>0</v>
      </c>
      <c r="E1929" s="10" t="s">
        <v>2093</v>
      </c>
      <c r="F1929" s="10" t="s">
        <v>2261</v>
      </c>
    </row>
    <row r="1930" spans="1:6" ht="14.25" x14ac:dyDescent="0.45">
      <c r="A1930" s="6" t="str">
        <f ca="1">IFERROR(__xludf.DUMMYFUNCTION("""COMPUTED_VALUE"""),"XJ6O3XP")</f>
        <v>XJ6O3XP</v>
      </c>
      <c r="B1930" s="10">
        <v>0</v>
      </c>
      <c r="C1930" s="10">
        <v>0</v>
      </c>
      <c r="D1930" s="10">
        <v>0</v>
      </c>
      <c r="E1930" s="10" t="s">
        <v>2093</v>
      </c>
      <c r="F1930" s="10" t="s">
        <v>2276</v>
      </c>
    </row>
    <row r="1931" spans="1:6" ht="14.25" x14ac:dyDescent="0.45">
      <c r="A1931" s="6" t="str">
        <f ca="1">IFERROR(__xludf.DUMMYFUNCTION("""COMPUTED_VALUE"""),"X2E8G")</f>
        <v>X2E8G</v>
      </c>
      <c r="B1931" s="10">
        <v>0</v>
      </c>
      <c r="C1931" s="10">
        <v>0</v>
      </c>
      <c r="D1931" s="10">
        <v>0</v>
      </c>
      <c r="E1931" s="10" t="s">
        <v>2093</v>
      </c>
      <c r="F1931" s="10" t="s">
        <v>2196</v>
      </c>
    </row>
    <row r="1932" spans="1:6" ht="14.25" x14ac:dyDescent="0.45">
      <c r="A1932" s="6" t="str">
        <f ca="1">IFERROR(__xludf.DUMMYFUNCTION("""COMPUTED_VALUE"""),"XC3BN9H")</f>
        <v>XC3BN9H</v>
      </c>
      <c r="B1932" s="10">
        <v>0</v>
      </c>
      <c r="C1932" s="10">
        <v>0</v>
      </c>
      <c r="D1932" s="10">
        <v>0</v>
      </c>
      <c r="E1932" s="10" t="s">
        <v>2093</v>
      </c>
      <c r="F1932" s="10" t="s">
        <v>2261</v>
      </c>
    </row>
    <row r="1933" spans="1:6" ht="14.25" x14ac:dyDescent="0.45">
      <c r="A1933" s="6" t="str">
        <f ca="1">IFERROR(__xludf.DUMMYFUNCTION("""COMPUTED_VALUE"""),"XU51DBC")</f>
        <v>XU51DBC</v>
      </c>
      <c r="B1933" s="10">
        <v>0</v>
      </c>
      <c r="C1933" s="10">
        <v>0</v>
      </c>
      <c r="D1933" s="10">
        <v>0</v>
      </c>
      <c r="E1933" s="10" t="s">
        <v>2093</v>
      </c>
      <c r="F1933" s="10" t="s">
        <v>2247</v>
      </c>
    </row>
    <row r="1934" spans="1:6" ht="14.25" x14ac:dyDescent="0.45">
      <c r="A1934" s="6" t="str">
        <f ca="1">IFERROR(__xludf.DUMMYFUNCTION("""COMPUTED_VALUE"""),"XTUXF2W")</f>
        <v>XTUXF2W</v>
      </c>
      <c r="B1934" s="10">
        <v>0</v>
      </c>
      <c r="C1934" s="10">
        <v>0</v>
      </c>
      <c r="D1934" s="10">
        <v>0</v>
      </c>
      <c r="E1934" s="10" t="s">
        <v>2093</v>
      </c>
      <c r="F1934" s="10" t="s">
        <v>2245</v>
      </c>
    </row>
    <row r="1935" spans="1:6" ht="14.25" x14ac:dyDescent="0.45">
      <c r="A1935" s="6" t="str">
        <f ca="1">IFERROR(__xludf.DUMMYFUNCTION("""COMPUTED_VALUE"""),"XXRF2W1")</f>
        <v>XXRF2W1</v>
      </c>
      <c r="B1935" s="10">
        <v>0</v>
      </c>
      <c r="C1935" s="10">
        <v>0</v>
      </c>
      <c r="D1935" s="10">
        <v>0</v>
      </c>
      <c r="E1935" s="10" t="s">
        <v>2093</v>
      </c>
      <c r="F1935" s="9">
        <v>44355</v>
      </c>
    </row>
    <row r="1936" spans="1:6" ht="14.25" x14ac:dyDescent="0.45">
      <c r="A1936" s="6" t="str">
        <f ca="1">IFERROR(__xludf.DUMMYFUNCTION("""COMPUTED_VALUE"""),"X68E84D")</f>
        <v>X68E84D</v>
      </c>
      <c r="B1936" s="10">
        <v>0</v>
      </c>
      <c r="C1936" s="10">
        <v>0</v>
      </c>
      <c r="D1936" s="10">
        <v>0</v>
      </c>
      <c r="E1936" s="10" t="s">
        <v>2093</v>
      </c>
      <c r="F1936" s="10" t="s">
        <v>2287</v>
      </c>
    </row>
    <row r="1937" spans="1:6" ht="14.25" x14ac:dyDescent="0.45">
      <c r="A1937" s="6" t="str">
        <f ca="1">IFERROR(__xludf.DUMMYFUNCTION("""COMPUTED_VALUE"""),"X4AQXOB")</f>
        <v>X4AQXOB</v>
      </c>
      <c r="B1937" s="10">
        <v>0</v>
      </c>
      <c r="C1937" s="10">
        <v>0</v>
      </c>
      <c r="D1937" s="10">
        <v>0</v>
      </c>
      <c r="E1937" s="10" t="s">
        <v>2093</v>
      </c>
      <c r="F1937" s="9">
        <v>44355</v>
      </c>
    </row>
    <row r="1938" spans="1:6" ht="14.25" x14ac:dyDescent="0.45">
      <c r="A1938" s="6" t="str">
        <f ca="1">IFERROR(__xludf.DUMMYFUNCTION("""COMPUTED_VALUE"""),"XIC5NMZ")</f>
        <v>XIC5NMZ</v>
      </c>
      <c r="B1938" s="10">
        <v>0</v>
      </c>
      <c r="C1938" s="10">
        <v>0</v>
      </c>
      <c r="D1938" s="10">
        <v>0</v>
      </c>
      <c r="E1938" s="10" t="s">
        <v>2093</v>
      </c>
      <c r="F1938" s="10" t="s">
        <v>2288</v>
      </c>
    </row>
    <row r="1939" spans="1:6" ht="14.25" x14ac:dyDescent="0.45">
      <c r="A1939" s="6" t="str">
        <f ca="1">IFERROR(__xludf.DUMMYFUNCTION("""COMPUTED_VALUE"""),"X1UES")</f>
        <v>X1UES</v>
      </c>
      <c r="B1939" s="10">
        <v>0</v>
      </c>
      <c r="C1939" s="10">
        <v>0</v>
      </c>
      <c r="D1939" s="10">
        <v>0</v>
      </c>
      <c r="E1939" s="10" t="s">
        <v>2093</v>
      </c>
      <c r="F1939" s="10" t="s">
        <v>2295</v>
      </c>
    </row>
    <row r="1940" spans="1:6" ht="14.25" x14ac:dyDescent="0.45">
      <c r="A1940" s="6" t="str">
        <f ca="1">IFERROR(__xludf.DUMMYFUNCTION("""COMPUTED_VALUE"""),"XNNPZ3N")</f>
        <v>XNNPZ3N</v>
      </c>
      <c r="B1940" s="10">
        <v>0</v>
      </c>
      <c r="C1940" s="10">
        <v>0</v>
      </c>
      <c r="D1940" s="10">
        <v>0</v>
      </c>
      <c r="E1940" s="10" t="s">
        <v>2093</v>
      </c>
      <c r="F1940" s="9">
        <v>44447</v>
      </c>
    </row>
    <row r="1941" spans="1:6" ht="14.25" x14ac:dyDescent="0.45">
      <c r="A1941" s="6" t="str">
        <f ca="1">IFERROR(__xludf.DUMMYFUNCTION("""COMPUTED_VALUE"""),"X913YFZ")</f>
        <v>X913YFZ</v>
      </c>
      <c r="B1941" s="10">
        <v>0</v>
      </c>
      <c r="C1941" s="10">
        <v>0</v>
      </c>
      <c r="D1941" s="10">
        <v>0</v>
      </c>
      <c r="E1941" s="10" t="s">
        <v>2093</v>
      </c>
      <c r="F1941" s="10" t="s">
        <v>2258</v>
      </c>
    </row>
    <row r="1942" spans="1:6" ht="14.25" x14ac:dyDescent="0.45">
      <c r="A1942" s="6" t="str">
        <f ca="1">IFERROR(__xludf.DUMMYFUNCTION("""COMPUTED_VALUE"""),"XQF4I39")</f>
        <v>XQF4I39</v>
      </c>
      <c r="B1942" s="10">
        <v>0</v>
      </c>
      <c r="C1942" s="10">
        <v>0</v>
      </c>
      <c r="D1942" s="10">
        <v>0</v>
      </c>
      <c r="E1942" s="10" t="s">
        <v>2093</v>
      </c>
      <c r="F1942" s="10" t="s">
        <v>2298</v>
      </c>
    </row>
    <row r="1943" spans="1:6" ht="14.25" x14ac:dyDescent="0.45">
      <c r="A1943" s="6" t="str">
        <f ca="1">IFERROR(__xludf.DUMMYFUNCTION("""COMPUTED_VALUE"""),"XG4E8LI")</f>
        <v>XG4E8LI</v>
      </c>
      <c r="B1943" s="10">
        <v>0</v>
      </c>
      <c r="C1943" s="10">
        <v>0</v>
      </c>
      <c r="D1943" s="10">
        <v>0</v>
      </c>
      <c r="E1943" s="10" t="s">
        <v>2093</v>
      </c>
      <c r="F1943" s="10" t="s">
        <v>2287</v>
      </c>
    </row>
    <row r="1944" spans="1:6" ht="14.25" x14ac:dyDescent="0.45">
      <c r="A1944" s="6" t="str">
        <f ca="1">IFERROR(__xludf.DUMMYFUNCTION("""COMPUTED_VALUE"""),"XG6O6G4")</f>
        <v>XG6O6G4</v>
      </c>
      <c r="B1944" s="10">
        <v>0</v>
      </c>
      <c r="C1944" s="10">
        <v>0</v>
      </c>
      <c r="D1944" s="10">
        <v>0</v>
      </c>
      <c r="E1944" s="10" t="s">
        <v>2093</v>
      </c>
      <c r="F1944" s="10" t="s">
        <v>2287</v>
      </c>
    </row>
    <row r="1945" spans="1:6" ht="14.25" x14ac:dyDescent="0.45">
      <c r="A1945" s="6" t="str">
        <f ca="1">IFERROR(__xludf.DUMMYFUNCTION("""COMPUTED_VALUE"""),"XFBHJJD")</f>
        <v>XFBHJJD</v>
      </c>
      <c r="B1945" s="10">
        <v>0</v>
      </c>
      <c r="C1945" s="10">
        <v>0</v>
      </c>
      <c r="D1945" s="10">
        <v>0</v>
      </c>
      <c r="E1945" s="10" t="s">
        <v>2093</v>
      </c>
      <c r="F1945" s="9">
        <v>44508</v>
      </c>
    </row>
    <row r="1946" spans="1:6" ht="14.25" x14ac:dyDescent="0.45">
      <c r="A1946" s="6" t="str">
        <f ca="1">IFERROR(__xludf.DUMMYFUNCTION("""COMPUTED_VALUE"""),"XCJR89X")</f>
        <v>XCJR89X</v>
      </c>
      <c r="B1946" s="10">
        <v>0</v>
      </c>
      <c r="C1946" s="10">
        <v>0</v>
      </c>
      <c r="D1946" s="10">
        <v>0</v>
      </c>
      <c r="E1946" s="10" t="s">
        <v>2093</v>
      </c>
      <c r="F1946" s="9">
        <v>44235</v>
      </c>
    </row>
    <row r="1947" spans="1:6" ht="14.25" x14ac:dyDescent="0.45">
      <c r="A1947" s="6" t="str">
        <f ca="1">IFERROR(__xludf.DUMMYFUNCTION("""COMPUTED_VALUE"""),"XOVPO6U")</f>
        <v>XOVPO6U</v>
      </c>
      <c r="B1947" s="10">
        <v>0</v>
      </c>
      <c r="C1947" s="10">
        <v>0</v>
      </c>
      <c r="D1947" s="10">
        <v>0</v>
      </c>
      <c r="E1947" s="10" t="s">
        <v>2093</v>
      </c>
      <c r="F1947" s="9">
        <v>44447</v>
      </c>
    </row>
    <row r="1948" spans="1:6" ht="14.25" x14ac:dyDescent="0.45">
      <c r="A1948" s="6" t="str">
        <f ca="1">IFERROR(__xludf.DUMMYFUNCTION("""COMPUTED_VALUE"""),"XVSL6BT")</f>
        <v>XVSL6BT</v>
      </c>
      <c r="B1948" s="10">
        <v>0</v>
      </c>
      <c r="C1948" s="10">
        <v>0</v>
      </c>
      <c r="D1948" s="10">
        <v>0</v>
      </c>
      <c r="E1948" s="10" t="s">
        <v>2093</v>
      </c>
      <c r="F1948" s="10" t="s">
        <v>2294</v>
      </c>
    </row>
    <row r="1949" spans="1:6" ht="14.25" x14ac:dyDescent="0.45">
      <c r="A1949" s="6" t="str">
        <f ca="1">IFERROR(__xludf.DUMMYFUNCTION("""COMPUTED_VALUE"""),"XNV6ZVT")</f>
        <v>XNV6ZVT</v>
      </c>
      <c r="B1949" s="10">
        <v>0</v>
      </c>
      <c r="C1949" s="10">
        <v>0</v>
      </c>
      <c r="D1949" s="10">
        <v>0</v>
      </c>
      <c r="E1949" s="10" t="s">
        <v>2093</v>
      </c>
      <c r="F1949" s="10" t="s">
        <v>2287</v>
      </c>
    </row>
    <row r="1950" spans="1:6" ht="14.25" x14ac:dyDescent="0.45">
      <c r="A1950" s="6" t="str">
        <f ca="1">IFERROR(__xludf.DUMMYFUNCTION("""COMPUTED_VALUE"""),"XDXEMIE")</f>
        <v>XDXEMIE</v>
      </c>
      <c r="B1950" s="10">
        <v>0</v>
      </c>
      <c r="C1950" s="10">
        <v>0</v>
      </c>
      <c r="D1950" s="10">
        <v>0</v>
      </c>
      <c r="E1950" s="10" t="s">
        <v>2093</v>
      </c>
      <c r="F1950" s="10" t="s">
        <v>2287</v>
      </c>
    </row>
    <row r="1951" spans="1:6" ht="14.25" x14ac:dyDescent="0.45">
      <c r="A1951" s="6" t="str">
        <f ca="1">IFERROR(__xludf.DUMMYFUNCTION("""COMPUTED_VALUE"""),"XQPOGJS")</f>
        <v>XQPOGJS</v>
      </c>
      <c r="B1951" s="10">
        <v>0</v>
      </c>
      <c r="C1951" s="10">
        <v>0</v>
      </c>
      <c r="D1951" s="10">
        <v>0</v>
      </c>
      <c r="E1951" s="10" t="s">
        <v>2093</v>
      </c>
      <c r="F1951" s="9">
        <v>44447</v>
      </c>
    </row>
    <row r="1952" spans="1:6" ht="14.25" x14ac:dyDescent="0.45">
      <c r="A1952" s="6" t="str">
        <f ca="1">IFERROR(__xludf.DUMMYFUNCTION("""COMPUTED_VALUE"""),"XULT8S8")</f>
        <v>XULT8S8</v>
      </c>
      <c r="B1952" s="10">
        <v>0</v>
      </c>
      <c r="C1952" s="10">
        <v>0</v>
      </c>
      <c r="D1952" s="10">
        <v>0</v>
      </c>
      <c r="E1952" s="10" t="s">
        <v>2093</v>
      </c>
      <c r="F1952" s="9">
        <v>44537</v>
      </c>
    </row>
    <row r="1953" spans="1:6" ht="14.25" x14ac:dyDescent="0.45">
      <c r="A1953" s="6" t="str">
        <f ca="1">IFERROR(__xludf.DUMMYFUNCTION("""COMPUTED_VALUE"""),"XAOYHWA")</f>
        <v>XAOYHWA</v>
      </c>
      <c r="B1953" s="10">
        <v>0</v>
      </c>
      <c r="C1953" s="10">
        <v>0</v>
      </c>
      <c r="D1953" s="10">
        <v>0</v>
      </c>
      <c r="E1953" s="10" t="s">
        <v>2093</v>
      </c>
      <c r="F1953" s="10" t="s">
        <v>2306</v>
      </c>
    </row>
    <row r="1954" spans="1:6" ht="14.25" x14ac:dyDescent="0.45">
      <c r="A1954" s="6" t="str">
        <f ca="1">IFERROR(__xludf.DUMMYFUNCTION("""COMPUTED_VALUE"""),"X2DC8")</f>
        <v>X2DC8</v>
      </c>
      <c r="B1954" s="10">
        <v>0</v>
      </c>
      <c r="C1954" s="10">
        <v>0</v>
      </c>
      <c r="D1954" s="10">
        <v>0</v>
      </c>
      <c r="E1954" s="10" t="s">
        <v>2093</v>
      </c>
      <c r="F1954" s="9">
        <v>44501</v>
      </c>
    </row>
    <row r="1955" spans="1:6" ht="14.25" x14ac:dyDescent="0.45">
      <c r="A1955" s="6" t="str">
        <f ca="1">IFERROR(__xludf.DUMMYFUNCTION("""COMPUTED_VALUE"""),"XZY339Y")</f>
        <v>XZY339Y</v>
      </c>
      <c r="B1955" s="10">
        <v>0</v>
      </c>
      <c r="C1955" s="10">
        <v>0</v>
      </c>
      <c r="D1955" s="10">
        <v>0</v>
      </c>
      <c r="E1955" s="10" t="s">
        <v>2093</v>
      </c>
      <c r="F1955" s="10" t="s">
        <v>2286</v>
      </c>
    </row>
    <row r="1956" spans="1:6" ht="14.25" x14ac:dyDescent="0.45">
      <c r="A1956" s="6" t="str">
        <f ca="1">IFERROR(__xludf.DUMMYFUNCTION("""COMPUTED_VALUE"""),"XPLDM8W")</f>
        <v>XPLDM8W</v>
      </c>
      <c r="B1956" s="10">
        <v>0</v>
      </c>
      <c r="C1956" s="10">
        <v>0</v>
      </c>
      <c r="D1956" s="10">
        <v>0</v>
      </c>
      <c r="E1956" s="10" t="s">
        <v>2093</v>
      </c>
      <c r="F1956" s="9">
        <v>44510</v>
      </c>
    </row>
    <row r="1957" spans="1:6" ht="14.25" x14ac:dyDescent="0.45">
      <c r="A1957" s="6" t="str">
        <f ca="1">IFERROR(__xludf.DUMMYFUNCTION("""COMPUTED_VALUE"""),"X4EX6GI")</f>
        <v>X4EX6GI</v>
      </c>
      <c r="B1957" s="10">
        <v>0</v>
      </c>
      <c r="C1957" s="10">
        <v>0</v>
      </c>
      <c r="D1957" s="10">
        <v>0</v>
      </c>
      <c r="E1957" s="10" t="s">
        <v>2093</v>
      </c>
      <c r="F1957" s="10" t="s">
        <v>2322</v>
      </c>
    </row>
    <row r="1958" spans="1:6" ht="14.25" x14ac:dyDescent="0.45">
      <c r="A1958" s="6" t="str">
        <f ca="1">IFERROR(__xludf.DUMMYFUNCTION("""COMPUTED_VALUE"""),"XHL3YWD")</f>
        <v>XHL3YWD</v>
      </c>
      <c r="B1958" s="10">
        <v>0</v>
      </c>
      <c r="C1958" s="10">
        <v>0</v>
      </c>
      <c r="D1958" s="10">
        <v>0</v>
      </c>
      <c r="E1958" s="10" t="s">
        <v>2093</v>
      </c>
      <c r="F1958" s="10" t="s">
        <v>2326</v>
      </c>
    </row>
    <row r="1959" spans="1:6" ht="14.25" x14ac:dyDescent="0.45">
      <c r="A1959" s="6" t="str">
        <f ca="1">IFERROR(__xludf.DUMMYFUNCTION("""COMPUTED_VALUE"""),"XTGKG34")</f>
        <v>XTGKG34</v>
      </c>
      <c r="B1959" s="10">
        <v>0</v>
      </c>
      <c r="C1959" s="10">
        <v>0</v>
      </c>
      <c r="D1959" s="10">
        <v>0</v>
      </c>
      <c r="E1959" s="10" t="s">
        <v>2093</v>
      </c>
      <c r="F1959" s="9">
        <v>44389</v>
      </c>
    </row>
    <row r="1960" spans="1:6" ht="14.25" x14ac:dyDescent="0.45">
      <c r="A1960" s="6" t="str">
        <f ca="1">IFERROR(__xludf.DUMMYFUNCTION("""COMPUTED_VALUE"""),"X995M7V")</f>
        <v>X995M7V</v>
      </c>
      <c r="B1960" s="10">
        <v>0</v>
      </c>
      <c r="C1960" s="10">
        <v>0</v>
      </c>
      <c r="D1960" s="10">
        <v>0</v>
      </c>
      <c r="E1960" s="10" t="s">
        <v>2093</v>
      </c>
      <c r="F1960" s="9">
        <v>44420</v>
      </c>
    </row>
    <row r="1961" spans="1:6" ht="14.25" x14ac:dyDescent="0.45">
      <c r="A1961" s="6" t="str">
        <f ca="1">IFERROR(__xludf.DUMMYFUNCTION("""COMPUTED_VALUE"""),"XCXT4PS")</f>
        <v>XCXT4PS</v>
      </c>
      <c r="B1961" s="10">
        <v>0</v>
      </c>
      <c r="C1961" s="10">
        <v>0</v>
      </c>
      <c r="D1961" s="10">
        <v>0</v>
      </c>
      <c r="E1961" s="10" t="s">
        <v>2093</v>
      </c>
      <c r="F1961" s="10" t="s">
        <v>2313</v>
      </c>
    </row>
    <row r="1962" spans="1:6" ht="14.25" x14ac:dyDescent="0.45">
      <c r="A1962" s="6" t="str">
        <f ca="1">IFERROR(__xludf.DUMMYFUNCTION("""COMPUTED_VALUE"""),"XCGMX9J")</f>
        <v>XCGMX9J</v>
      </c>
      <c r="B1962" s="10">
        <v>0</v>
      </c>
      <c r="C1962" s="10">
        <v>0</v>
      </c>
      <c r="D1962" s="10">
        <v>0</v>
      </c>
      <c r="E1962" s="10" t="s">
        <v>2093</v>
      </c>
      <c r="F1962" s="10" t="s">
        <v>2341</v>
      </c>
    </row>
    <row r="1963" spans="1:6" ht="14.25" x14ac:dyDescent="0.45">
      <c r="A1963" s="6" t="str">
        <f ca="1">IFERROR(__xludf.DUMMYFUNCTION("""COMPUTED_VALUE"""),"XFJ936M")</f>
        <v>XFJ936M</v>
      </c>
      <c r="B1963" s="10">
        <v>0</v>
      </c>
      <c r="C1963" s="10">
        <v>0</v>
      </c>
      <c r="D1963" s="10">
        <v>0</v>
      </c>
      <c r="E1963" s="10" t="s">
        <v>2093</v>
      </c>
      <c r="F1963" s="9">
        <v>44359</v>
      </c>
    </row>
  </sheetData>
  <autoFilter ref="A1:F1963" xr:uid="{96B43C7B-C50B-4E80-B831-64E71F4EA8E6}">
    <sortState xmlns:xlrd2="http://schemas.microsoft.com/office/spreadsheetml/2017/richdata2" ref="A2:F1963">
      <sortCondition ref="E1:E196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0D4A-5C33-484B-BCA5-A6D8D00901C2}">
  <dimension ref="A1:AA1963"/>
  <sheetViews>
    <sheetView topLeftCell="B191" zoomScale="47" workbookViewId="0">
      <selection activeCell="X21" sqref="X21"/>
    </sheetView>
  </sheetViews>
  <sheetFormatPr defaultRowHeight="12.75" x14ac:dyDescent="0.35"/>
  <sheetData>
    <row r="1" spans="1:27" ht="14.25" x14ac:dyDescent="0.45">
      <c r="A1" s="12" t="s">
        <v>1</v>
      </c>
      <c r="B1" s="12" t="s">
        <v>1966</v>
      </c>
      <c r="C1" s="12" t="s">
        <v>1967</v>
      </c>
      <c r="D1" s="12" t="s">
        <v>1968</v>
      </c>
      <c r="E1" s="12" t="s">
        <v>1969</v>
      </c>
      <c r="F1" s="12" t="s">
        <v>1970</v>
      </c>
      <c r="G1" s="12" t="s">
        <v>2346</v>
      </c>
      <c r="H1" s="12" t="s">
        <v>2347</v>
      </c>
      <c r="I1" s="12" t="s">
        <v>2348</v>
      </c>
      <c r="J1" s="12" t="s">
        <v>2350</v>
      </c>
      <c r="K1" s="12" t="s">
        <v>2349</v>
      </c>
      <c r="L1" s="12" t="s">
        <v>2351</v>
      </c>
      <c r="M1" s="12" t="s">
        <v>2352</v>
      </c>
      <c r="N1" s="12" t="s">
        <v>2353</v>
      </c>
      <c r="O1" s="12" t="s">
        <v>2354</v>
      </c>
      <c r="P1" s="12" t="s">
        <v>2355</v>
      </c>
      <c r="Q1" s="12" t="s">
        <v>2356</v>
      </c>
      <c r="R1" s="12" t="s">
        <v>2357</v>
      </c>
      <c r="S1" s="12" t="s">
        <v>2358</v>
      </c>
      <c r="T1" s="12" t="s">
        <v>2359</v>
      </c>
      <c r="U1" s="12" t="s">
        <v>2360</v>
      </c>
      <c r="V1" s="12" t="s">
        <v>2361</v>
      </c>
      <c r="W1" s="12" t="s">
        <v>2362</v>
      </c>
      <c r="X1" s="12" t="s">
        <v>2363</v>
      </c>
      <c r="Y1" s="12" t="s">
        <v>2364</v>
      </c>
      <c r="Z1" s="12" t="s">
        <v>2365</v>
      </c>
      <c r="AA1" s="12" t="s">
        <v>2366</v>
      </c>
    </row>
    <row r="2" spans="1:27" ht="14.25" x14ac:dyDescent="0.45">
      <c r="A2" s="12" t="s">
        <v>46</v>
      </c>
      <c r="B2" s="12" t="s">
        <v>1971</v>
      </c>
      <c r="C2" s="12" t="s">
        <v>1972</v>
      </c>
      <c r="D2" s="12" t="s">
        <v>1974</v>
      </c>
      <c r="E2" s="20">
        <v>32316</v>
      </c>
      <c r="F2" s="20">
        <v>44209</v>
      </c>
      <c r="G2" s="12">
        <v>139.06</v>
      </c>
      <c r="H2" s="12">
        <v>11.733333333333301</v>
      </c>
      <c r="I2" s="13">
        <v>11.851704545454499</v>
      </c>
      <c r="J2" s="12" t="s">
        <v>46</v>
      </c>
      <c r="K2" s="14">
        <v>248</v>
      </c>
      <c r="L2" s="14">
        <v>812</v>
      </c>
      <c r="M2" s="14">
        <v>334</v>
      </c>
      <c r="N2" s="12">
        <v>139.06</v>
      </c>
      <c r="O2" s="12" t="s">
        <v>46</v>
      </c>
      <c r="P2" s="12">
        <v>2.23696804446268E-2</v>
      </c>
      <c r="Q2" s="12">
        <v>5.3967059217214397E-2</v>
      </c>
      <c r="R2" s="12">
        <v>0.17741935483870999</v>
      </c>
      <c r="S2" s="14">
        <v>34</v>
      </c>
      <c r="T2" s="12">
        <v>4.2118042177493997</v>
      </c>
      <c r="U2" s="14">
        <v>297</v>
      </c>
      <c r="V2" s="14">
        <v>8</v>
      </c>
      <c r="W2" s="12">
        <v>6.1999999999999998E-3</v>
      </c>
      <c r="X2" s="12">
        <v>4.2180042177494004</v>
      </c>
      <c r="Y2" s="14">
        <v>297</v>
      </c>
      <c r="Z2" s="14">
        <v>34</v>
      </c>
      <c r="AA2" s="12" t="s">
        <v>2367</v>
      </c>
    </row>
    <row r="3" spans="1:27" ht="14.25" x14ac:dyDescent="0.45">
      <c r="A3" s="12" t="s">
        <v>52</v>
      </c>
      <c r="B3" s="12" t="s">
        <v>1971</v>
      </c>
      <c r="C3" s="12" t="s">
        <v>1972</v>
      </c>
      <c r="D3" s="12" t="s">
        <v>1974</v>
      </c>
      <c r="E3" s="20">
        <v>33419</v>
      </c>
      <c r="F3" s="20">
        <v>44113</v>
      </c>
      <c r="G3" s="12">
        <v>181.83</v>
      </c>
      <c r="H3" s="12">
        <v>14.9333333333333</v>
      </c>
      <c r="I3" s="13">
        <v>12.1761160714286</v>
      </c>
      <c r="J3" s="12" t="s">
        <v>52</v>
      </c>
      <c r="K3" s="14">
        <v>241</v>
      </c>
      <c r="L3" s="14">
        <v>528</v>
      </c>
      <c r="M3" s="14">
        <v>300</v>
      </c>
      <c r="N3" s="12">
        <v>181.83</v>
      </c>
      <c r="O3" s="12" t="s">
        <v>52</v>
      </c>
      <c r="P3" s="12">
        <v>2.9249812996163398E-2</v>
      </c>
      <c r="Q3" s="12">
        <v>5.54442759302907E-2</v>
      </c>
      <c r="R3" s="12">
        <v>0.225806451612903</v>
      </c>
      <c r="S3" s="14">
        <v>31</v>
      </c>
      <c r="T3" s="12">
        <v>4.5621352329992897</v>
      </c>
      <c r="U3" s="14">
        <v>281</v>
      </c>
      <c r="V3" s="14">
        <v>6</v>
      </c>
      <c r="W3" s="12">
        <v>6.0000000000000001E-3</v>
      </c>
      <c r="X3" s="12">
        <v>4.5681352329992899</v>
      </c>
      <c r="Y3" s="14">
        <v>281</v>
      </c>
      <c r="Z3" s="14">
        <v>31</v>
      </c>
      <c r="AA3" s="12" t="s">
        <v>2367</v>
      </c>
    </row>
    <row r="4" spans="1:27" ht="14.25" x14ac:dyDescent="0.45">
      <c r="A4" s="12" t="s">
        <v>84</v>
      </c>
      <c r="B4" s="12" t="s">
        <v>1971</v>
      </c>
      <c r="C4" s="12" t="s">
        <v>1972</v>
      </c>
      <c r="D4" s="12" t="s">
        <v>1974</v>
      </c>
      <c r="E4" s="20">
        <v>33204</v>
      </c>
      <c r="F4" s="20">
        <v>44112</v>
      </c>
      <c r="G4" s="12">
        <v>0.1</v>
      </c>
      <c r="H4" s="12">
        <v>14.966666666666701</v>
      </c>
      <c r="I4" s="13">
        <v>6.6815144766147003E-3</v>
      </c>
      <c r="J4" s="12" t="s">
        <v>84</v>
      </c>
      <c r="K4" s="14">
        <v>1765</v>
      </c>
      <c r="L4" s="14">
        <v>523</v>
      </c>
      <c r="M4" s="14">
        <v>1833</v>
      </c>
      <c r="N4" s="12">
        <v>0.1</v>
      </c>
      <c r="O4" s="12" t="s">
        <v>84</v>
      </c>
      <c r="P4" s="12">
        <v>1.6086351535040099E-5</v>
      </c>
      <c r="Q4" s="12">
        <v>3.0424458020971701E-5</v>
      </c>
      <c r="R4" s="12">
        <v>0.226310483870968</v>
      </c>
      <c r="S4" s="14">
        <v>32</v>
      </c>
      <c r="T4" s="12">
        <v>2.5047668088747301E-3</v>
      </c>
      <c r="U4" s="14">
        <v>1868</v>
      </c>
      <c r="V4" s="14">
        <v>1</v>
      </c>
      <c r="W4" s="12">
        <v>5.4999999999999997E-3</v>
      </c>
      <c r="X4" s="12">
        <v>8.0047668088747293E-3</v>
      </c>
      <c r="Y4" s="14">
        <v>1868</v>
      </c>
      <c r="Z4" s="14">
        <v>31</v>
      </c>
      <c r="AA4" s="12" t="s">
        <v>2367</v>
      </c>
    </row>
    <row r="5" spans="1:27" ht="14.25" x14ac:dyDescent="0.45">
      <c r="A5" s="12" t="s">
        <v>101</v>
      </c>
      <c r="B5" s="12" t="s">
        <v>1971</v>
      </c>
      <c r="C5" s="12" t="s">
        <v>1972</v>
      </c>
      <c r="D5" s="12" t="s">
        <v>1974</v>
      </c>
      <c r="E5" s="20">
        <v>34158</v>
      </c>
      <c r="F5" s="20">
        <v>44209</v>
      </c>
      <c r="G5" s="12">
        <v>3.66</v>
      </c>
      <c r="H5" s="12">
        <v>11.733333333333301</v>
      </c>
      <c r="I5" s="13">
        <v>0.31193181818181798</v>
      </c>
      <c r="J5" s="12" t="s">
        <v>101</v>
      </c>
      <c r="K5" s="14">
        <v>1216</v>
      </c>
      <c r="L5" s="14">
        <v>812</v>
      </c>
      <c r="M5" s="14">
        <v>1149</v>
      </c>
      <c r="N5" s="12">
        <v>3.66</v>
      </c>
      <c r="O5" s="12" t="s">
        <v>101</v>
      </c>
      <c r="P5" s="12">
        <v>5.88760466182467E-4</v>
      </c>
      <c r="Q5" s="12">
        <v>1.4203900239824899E-3</v>
      </c>
      <c r="R5" s="12">
        <v>0.17741935483870999</v>
      </c>
      <c r="S5" s="14">
        <v>29</v>
      </c>
      <c r="T5" s="12">
        <v>0.110852893980748</v>
      </c>
      <c r="U5" s="14">
        <v>1261</v>
      </c>
      <c r="V5" s="14">
        <v>1</v>
      </c>
      <c r="W5" s="12">
        <v>5.4999999999999997E-3</v>
      </c>
      <c r="X5" s="12">
        <v>0.116352893980748</v>
      </c>
      <c r="Y5" s="14">
        <v>1261</v>
      </c>
      <c r="Z5" s="14">
        <v>29</v>
      </c>
      <c r="AA5" s="12" t="s">
        <v>2367</v>
      </c>
    </row>
    <row r="6" spans="1:27" ht="14.25" x14ac:dyDescent="0.45">
      <c r="A6" s="12" t="s">
        <v>115</v>
      </c>
      <c r="B6" s="12" t="s">
        <v>1971</v>
      </c>
      <c r="C6" s="12" t="s">
        <v>1972</v>
      </c>
      <c r="D6" s="12" t="s">
        <v>1974</v>
      </c>
      <c r="E6" s="20">
        <v>33624</v>
      </c>
      <c r="F6" s="20">
        <v>44121</v>
      </c>
      <c r="G6" s="12">
        <v>29.44</v>
      </c>
      <c r="H6" s="12">
        <v>14.6666666666667</v>
      </c>
      <c r="I6" s="13">
        <v>2.00727272727273</v>
      </c>
      <c r="J6" s="12" t="s">
        <v>115</v>
      </c>
      <c r="K6" s="14">
        <v>656</v>
      </c>
      <c r="L6" s="14">
        <v>547</v>
      </c>
      <c r="M6" s="14">
        <v>573</v>
      </c>
      <c r="N6" s="12">
        <v>29.44</v>
      </c>
      <c r="O6" s="12" t="s">
        <v>115</v>
      </c>
      <c r="P6" s="12">
        <v>4.7358218919158002E-3</v>
      </c>
      <c r="Q6" s="12">
        <v>9.1401709958567091E-3</v>
      </c>
      <c r="R6" s="12">
        <v>0.22177419354838701</v>
      </c>
      <c r="S6" s="14">
        <v>30</v>
      </c>
      <c r="T6" s="12">
        <v>0.74885400818788705</v>
      </c>
      <c r="U6" s="14">
        <v>697</v>
      </c>
      <c r="V6" s="14">
        <v>2</v>
      </c>
      <c r="W6" s="12">
        <v>5.5999999999999999E-3</v>
      </c>
      <c r="X6" s="12">
        <v>0.75445400818788699</v>
      </c>
      <c r="Y6" s="14">
        <v>697</v>
      </c>
      <c r="Z6" s="14">
        <v>30</v>
      </c>
      <c r="AA6" s="12" t="s">
        <v>2367</v>
      </c>
    </row>
    <row r="7" spans="1:27" ht="14.25" x14ac:dyDescent="0.45">
      <c r="A7" s="12" t="s">
        <v>119</v>
      </c>
      <c r="B7" s="12" t="s">
        <v>1971</v>
      </c>
      <c r="C7" s="12" t="s">
        <v>1972</v>
      </c>
      <c r="D7" s="12" t="s">
        <v>1974</v>
      </c>
      <c r="E7" s="20">
        <v>35604</v>
      </c>
      <c r="F7" s="20">
        <v>43755</v>
      </c>
      <c r="G7" s="12">
        <v>161.35</v>
      </c>
      <c r="H7" s="12">
        <v>26.866666666666699</v>
      </c>
      <c r="I7" s="13">
        <v>6.0055831265508699</v>
      </c>
      <c r="J7" s="12" t="s">
        <v>119</v>
      </c>
      <c r="K7" s="14">
        <v>408</v>
      </c>
      <c r="L7" s="14">
        <v>332</v>
      </c>
      <c r="M7" s="14">
        <v>315</v>
      </c>
      <c r="N7" s="12">
        <v>161.35</v>
      </c>
      <c r="O7" s="12" t="s">
        <v>119</v>
      </c>
      <c r="P7" s="12">
        <v>2.5955328201787201E-2</v>
      </c>
      <c r="Q7" s="12">
        <v>2.73465862215387E-2</v>
      </c>
      <c r="R7" s="12">
        <v>0.40625</v>
      </c>
      <c r="S7" s="14">
        <v>25</v>
      </c>
      <c r="T7" s="12">
        <v>2.6824864464131899</v>
      </c>
      <c r="U7" s="14">
        <v>391</v>
      </c>
      <c r="V7" s="14">
        <v>3</v>
      </c>
      <c r="W7" s="12">
        <v>5.7000000000000002E-3</v>
      </c>
      <c r="X7" s="12">
        <v>2.6881864464131899</v>
      </c>
      <c r="Y7" s="14">
        <v>391</v>
      </c>
      <c r="Z7" s="14">
        <v>25</v>
      </c>
      <c r="AA7" s="12" t="s">
        <v>2367</v>
      </c>
    </row>
    <row r="8" spans="1:27" ht="14.25" x14ac:dyDescent="0.45">
      <c r="A8" s="12" t="s">
        <v>142</v>
      </c>
      <c r="B8" s="12" t="s">
        <v>1971</v>
      </c>
      <c r="C8" s="12" t="s">
        <v>1972</v>
      </c>
      <c r="D8" s="12" t="s">
        <v>1974</v>
      </c>
      <c r="E8" s="20">
        <v>33687</v>
      </c>
      <c r="F8" s="20">
        <v>43320</v>
      </c>
      <c r="G8" s="12">
        <v>670.53</v>
      </c>
      <c r="H8" s="12">
        <v>41.366666666666703</v>
      </c>
      <c r="I8" s="13">
        <v>16.209427880741298</v>
      </c>
      <c r="J8" s="12" t="s">
        <v>142</v>
      </c>
      <c r="K8" s="14">
        <v>171</v>
      </c>
      <c r="L8" s="14">
        <v>148</v>
      </c>
      <c r="M8" s="14">
        <v>95</v>
      </c>
      <c r="N8" s="12">
        <v>670.53</v>
      </c>
      <c r="O8" s="12" t="s">
        <v>142</v>
      </c>
      <c r="P8" s="12">
        <v>0.10786381294790399</v>
      </c>
      <c r="Q8" s="12">
        <v>7.3810071029203506E-2</v>
      </c>
      <c r="R8" s="12">
        <v>0.62550403225806495</v>
      </c>
      <c r="S8" s="14">
        <v>30</v>
      </c>
      <c r="T8" s="12">
        <v>8.6580224248716302</v>
      </c>
      <c r="U8" s="14">
        <v>123</v>
      </c>
      <c r="V8" s="14">
        <v>7</v>
      </c>
      <c r="W8" s="12">
        <v>6.1000000000000004E-3</v>
      </c>
      <c r="X8" s="12">
        <v>8.6641224248716302</v>
      </c>
      <c r="Y8" s="14">
        <v>123</v>
      </c>
      <c r="Z8" s="14">
        <v>30</v>
      </c>
      <c r="AA8" s="12" t="s">
        <v>2367</v>
      </c>
    </row>
    <row r="9" spans="1:27" ht="14.25" x14ac:dyDescent="0.45">
      <c r="A9" s="12" t="s">
        <v>155</v>
      </c>
      <c r="B9" s="12" t="s">
        <v>1971</v>
      </c>
      <c r="C9" s="12" t="s">
        <v>1972</v>
      </c>
      <c r="D9" s="12" t="s">
        <v>1974</v>
      </c>
      <c r="E9" s="20">
        <v>32727</v>
      </c>
      <c r="F9" s="20">
        <v>44173</v>
      </c>
      <c r="G9" s="12">
        <v>307.75</v>
      </c>
      <c r="H9" s="12">
        <v>12.9333333333333</v>
      </c>
      <c r="I9" s="13">
        <v>23.795103092783499</v>
      </c>
      <c r="J9" s="12" t="s">
        <v>155</v>
      </c>
      <c r="K9" s="14">
        <v>111</v>
      </c>
      <c r="L9" s="14">
        <v>680</v>
      </c>
      <c r="M9" s="14">
        <v>217</v>
      </c>
      <c r="N9" s="12">
        <v>307.75</v>
      </c>
      <c r="O9" s="12" t="s">
        <v>155</v>
      </c>
      <c r="P9" s="12">
        <v>4.9505746849085902E-2</v>
      </c>
      <c r="Q9" s="12">
        <v>0.10835164956761199</v>
      </c>
      <c r="R9" s="12">
        <v>0.195564516129032</v>
      </c>
      <c r="S9" s="14">
        <v>33</v>
      </c>
      <c r="T9" s="12">
        <v>8.6284436048164892</v>
      </c>
      <c r="U9" s="14">
        <v>125</v>
      </c>
      <c r="V9" s="14">
        <v>9</v>
      </c>
      <c r="W9" s="12">
        <v>6.3E-3</v>
      </c>
      <c r="X9" s="12">
        <v>8.6347436048164905</v>
      </c>
      <c r="Y9" s="14">
        <v>125</v>
      </c>
      <c r="Z9" s="14">
        <v>32</v>
      </c>
      <c r="AA9" s="12" t="s">
        <v>2367</v>
      </c>
    </row>
    <row r="10" spans="1:27" ht="14.25" x14ac:dyDescent="0.45">
      <c r="A10" s="12" t="s">
        <v>162</v>
      </c>
      <c r="B10" s="12" t="s">
        <v>1971</v>
      </c>
      <c r="C10" s="12" t="s">
        <v>1972</v>
      </c>
      <c r="D10" s="12" t="s">
        <v>1974</v>
      </c>
      <c r="E10" s="20">
        <v>32828</v>
      </c>
      <c r="F10" s="20">
        <v>43279</v>
      </c>
      <c r="G10" s="12">
        <v>113.18</v>
      </c>
      <c r="H10" s="12">
        <v>42.733333333333299</v>
      </c>
      <c r="I10" s="13">
        <v>2.64851794071763</v>
      </c>
      <c r="J10" s="12" t="s">
        <v>162</v>
      </c>
      <c r="K10" s="14">
        <v>578</v>
      </c>
      <c r="L10" s="14">
        <v>110</v>
      </c>
      <c r="M10" s="14">
        <v>367</v>
      </c>
      <c r="N10" s="12">
        <v>113.18</v>
      </c>
      <c r="O10" s="12" t="s">
        <v>162</v>
      </c>
      <c r="P10" s="12">
        <v>1.8206532667358399E-2</v>
      </c>
      <c r="Q10" s="12">
        <v>1.2060098528138E-2</v>
      </c>
      <c r="R10" s="12">
        <v>0.64616935483870996</v>
      </c>
      <c r="S10" s="14">
        <v>33</v>
      </c>
      <c r="T10" s="12">
        <v>1.4365011330345701</v>
      </c>
      <c r="U10" s="14">
        <v>503</v>
      </c>
      <c r="V10" s="14">
        <v>5</v>
      </c>
      <c r="W10" s="12">
        <v>5.8999999999999999E-3</v>
      </c>
      <c r="X10" s="12">
        <v>1.4424011330345701</v>
      </c>
      <c r="Y10" s="14">
        <v>503</v>
      </c>
      <c r="Z10" s="14">
        <v>32</v>
      </c>
      <c r="AA10" s="12" t="s">
        <v>2367</v>
      </c>
    </row>
    <row r="11" spans="1:27" ht="14.25" x14ac:dyDescent="0.45">
      <c r="A11" s="12" t="s">
        <v>169</v>
      </c>
      <c r="B11" s="12" t="s">
        <v>1971</v>
      </c>
      <c r="C11" s="12" t="s">
        <v>1972</v>
      </c>
      <c r="D11" s="12" t="s">
        <v>1974</v>
      </c>
      <c r="E11" s="20">
        <v>32080</v>
      </c>
      <c r="F11" s="20">
        <v>43704</v>
      </c>
      <c r="G11" s="12">
        <v>0.6</v>
      </c>
      <c r="H11" s="12">
        <v>28.566666666666698</v>
      </c>
      <c r="I11" s="13">
        <v>2.10035005834306E-2</v>
      </c>
      <c r="J11" s="12" t="s">
        <v>169</v>
      </c>
      <c r="K11" s="14">
        <v>1683</v>
      </c>
      <c r="L11" s="14">
        <v>266</v>
      </c>
      <c r="M11" s="14">
        <v>1656</v>
      </c>
      <c r="N11" s="12">
        <v>0.6</v>
      </c>
      <c r="O11" s="12" t="s">
        <v>169</v>
      </c>
      <c r="P11" s="12">
        <v>9.6518109210240501E-5</v>
      </c>
      <c r="Q11" s="12">
        <v>9.5640011561840894E-5</v>
      </c>
      <c r="R11" s="12">
        <v>0.43195564516128998</v>
      </c>
      <c r="S11" s="14">
        <v>35</v>
      </c>
      <c r="T11" s="12">
        <v>9.5969298179990805E-3</v>
      </c>
      <c r="U11" s="14">
        <v>1765</v>
      </c>
      <c r="V11" s="14">
        <v>1</v>
      </c>
      <c r="W11" s="12">
        <v>5.4999999999999997E-3</v>
      </c>
      <c r="X11" s="12">
        <v>1.5096929817999099E-2</v>
      </c>
      <c r="Y11" s="14">
        <v>1765</v>
      </c>
      <c r="Z11" s="14">
        <v>34</v>
      </c>
      <c r="AA11" s="12" t="s">
        <v>2367</v>
      </c>
    </row>
    <row r="12" spans="1:27" ht="14.25" x14ac:dyDescent="0.45">
      <c r="A12" s="12" t="s">
        <v>209</v>
      </c>
      <c r="B12" s="12" t="s">
        <v>1971</v>
      </c>
      <c r="C12" s="12" t="s">
        <v>1972</v>
      </c>
      <c r="D12" s="12" t="s">
        <v>1974</v>
      </c>
      <c r="E12" s="20">
        <v>32225</v>
      </c>
      <c r="F12" s="20">
        <v>43194</v>
      </c>
      <c r="G12" s="12">
        <v>485.05</v>
      </c>
      <c r="H12" s="12">
        <v>45.566666666666698</v>
      </c>
      <c r="I12" s="13">
        <v>10.6448427212875</v>
      </c>
      <c r="J12" s="12" t="s">
        <v>209</v>
      </c>
      <c r="K12" s="14">
        <v>273</v>
      </c>
      <c r="L12" s="14">
        <v>84</v>
      </c>
      <c r="M12" s="14">
        <v>147</v>
      </c>
      <c r="N12" s="12">
        <v>485.05</v>
      </c>
      <c r="O12" s="12" t="s">
        <v>209</v>
      </c>
      <c r="P12" s="12">
        <v>7.8026848120712006E-2</v>
      </c>
      <c r="Q12" s="12">
        <v>4.8471581053544002E-2</v>
      </c>
      <c r="R12" s="12">
        <v>0.68901209677419395</v>
      </c>
      <c r="S12" s="14">
        <v>34</v>
      </c>
      <c r="T12" s="12">
        <v>5.9554806203731996</v>
      </c>
      <c r="U12" s="14">
        <v>221</v>
      </c>
      <c r="V12" s="14">
        <v>7</v>
      </c>
      <c r="W12" s="12">
        <v>6.1000000000000004E-3</v>
      </c>
      <c r="X12" s="12">
        <v>5.9615806203731996</v>
      </c>
      <c r="Y12" s="14">
        <v>221</v>
      </c>
      <c r="Z12" s="14">
        <v>34</v>
      </c>
      <c r="AA12" s="12" t="s">
        <v>2367</v>
      </c>
    </row>
    <row r="13" spans="1:27" ht="14.25" x14ac:dyDescent="0.45">
      <c r="A13" s="12" t="s">
        <v>212</v>
      </c>
      <c r="B13" s="12" t="s">
        <v>1971</v>
      </c>
      <c r="C13" s="12" t="s">
        <v>1972</v>
      </c>
      <c r="D13" s="12" t="s">
        <v>1974</v>
      </c>
      <c r="E13" s="20">
        <v>34561</v>
      </c>
      <c r="F13" s="20">
        <v>44109</v>
      </c>
      <c r="G13" s="12">
        <v>424.47</v>
      </c>
      <c r="H13" s="12">
        <v>15.0666666666667</v>
      </c>
      <c r="I13" s="13">
        <v>28.172787610619501</v>
      </c>
      <c r="J13" s="12" t="s">
        <v>212</v>
      </c>
      <c r="K13" s="14">
        <v>88</v>
      </c>
      <c r="L13" s="14">
        <v>501</v>
      </c>
      <c r="M13" s="14">
        <v>175</v>
      </c>
      <c r="N13" s="12">
        <v>424.47</v>
      </c>
      <c r="O13" s="12" t="s">
        <v>212</v>
      </c>
      <c r="P13" s="12">
        <v>6.8281736360784703E-2</v>
      </c>
      <c r="Q13" s="12">
        <v>0.12828555516762499</v>
      </c>
      <c r="R13" s="12">
        <v>0.227822580645161</v>
      </c>
      <c r="S13" s="14">
        <v>28</v>
      </c>
      <c r="T13" s="12">
        <v>10.578412311506</v>
      </c>
      <c r="U13" s="14">
        <v>104</v>
      </c>
      <c r="V13" s="14">
        <v>12</v>
      </c>
      <c r="W13" s="12">
        <v>6.6E-3</v>
      </c>
      <c r="X13" s="12">
        <v>10.585012311506</v>
      </c>
      <c r="Y13" s="14">
        <v>104</v>
      </c>
      <c r="Z13" s="14">
        <v>27</v>
      </c>
      <c r="AA13" s="12" t="s">
        <v>2367</v>
      </c>
    </row>
    <row r="14" spans="1:27" ht="14.25" x14ac:dyDescent="0.45">
      <c r="A14" s="12" t="s">
        <v>217</v>
      </c>
      <c r="B14" s="12" t="s">
        <v>1971</v>
      </c>
      <c r="C14" s="12" t="s">
        <v>1972</v>
      </c>
      <c r="D14" s="12" t="s">
        <v>1974</v>
      </c>
      <c r="E14" s="20">
        <v>32522</v>
      </c>
      <c r="F14" s="20">
        <v>44195</v>
      </c>
      <c r="G14" s="12">
        <v>64.5</v>
      </c>
      <c r="H14" s="12">
        <v>12.2</v>
      </c>
      <c r="I14" s="13">
        <v>5.2868852459016402</v>
      </c>
      <c r="J14" s="12" t="s">
        <v>217</v>
      </c>
      <c r="K14" s="14">
        <v>430</v>
      </c>
      <c r="L14" s="14">
        <v>761</v>
      </c>
      <c r="M14" s="14">
        <v>441</v>
      </c>
      <c r="N14" s="12">
        <v>64.5</v>
      </c>
      <c r="O14" s="12" t="s">
        <v>217</v>
      </c>
      <c r="P14" s="12">
        <v>1.0375696740100899E-2</v>
      </c>
      <c r="Q14" s="12">
        <v>2.4073975861102499E-2</v>
      </c>
      <c r="R14" s="12">
        <v>0.18447580645161299</v>
      </c>
      <c r="S14" s="14">
        <v>33</v>
      </c>
      <c r="T14" s="12">
        <v>1.89371211907269</v>
      </c>
      <c r="U14" s="14">
        <v>445</v>
      </c>
      <c r="V14" s="14">
        <v>3</v>
      </c>
      <c r="W14" s="12">
        <v>5.7000000000000002E-3</v>
      </c>
      <c r="X14" s="12">
        <v>1.89941211907269</v>
      </c>
      <c r="Y14" s="14">
        <v>445</v>
      </c>
      <c r="Z14" s="14">
        <v>33</v>
      </c>
      <c r="AA14" s="12" t="s">
        <v>2367</v>
      </c>
    </row>
    <row r="15" spans="1:27" ht="14.25" x14ac:dyDescent="0.45">
      <c r="A15" s="12" t="s">
        <v>235</v>
      </c>
      <c r="B15" s="12" t="s">
        <v>1971</v>
      </c>
      <c r="C15" s="12" t="s">
        <v>1972</v>
      </c>
      <c r="D15" s="12" t="s">
        <v>1974</v>
      </c>
      <c r="E15" s="20">
        <v>34963</v>
      </c>
      <c r="F15" s="20">
        <v>44158</v>
      </c>
      <c r="G15" s="12">
        <v>6.13</v>
      </c>
      <c r="H15" s="12">
        <v>13.4333333333333</v>
      </c>
      <c r="I15" s="13">
        <v>0.45632754342431803</v>
      </c>
      <c r="J15" s="12" t="s">
        <v>235</v>
      </c>
      <c r="K15" s="14">
        <v>1095</v>
      </c>
      <c r="L15" s="14">
        <v>642</v>
      </c>
      <c r="M15" s="14">
        <v>955</v>
      </c>
      <c r="N15" s="12">
        <v>6.13</v>
      </c>
      <c r="O15" s="12" t="s">
        <v>235</v>
      </c>
      <c r="P15" s="12">
        <v>9.8609334909795796E-4</v>
      </c>
      <c r="Q15" s="12">
        <v>2.0778998889127002E-3</v>
      </c>
      <c r="R15" s="12">
        <v>0.203125</v>
      </c>
      <c r="S15" s="14">
        <v>27</v>
      </c>
      <c r="T15" s="12">
        <v>0.16684724364821699</v>
      </c>
      <c r="U15" s="14">
        <v>1117</v>
      </c>
      <c r="V15" s="14">
        <v>1</v>
      </c>
      <c r="W15" s="12">
        <v>5.4999999999999997E-3</v>
      </c>
      <c r="X15" s="12">
        <v>0.17234724364821699</v>
      </c>
      <c r="Y15" s="14">
        <v>1117</v>
      </c>
      <c r="Z15" s="14">
        <v>26</v>
      </c>
      <c r="AA15" s="12" t="s">
        <v>2367</v>
      </c>
    </row>
    <row r="16" spans="1:27" ht="14.25" x14ac:dyDescent="0.45">
      <c r="A16" s="12" t="s">
        <v>238</v>
      </c>
      <c r="B16" s="12" t="s">
        <v>1971</v>
      </c>
      <c r="C16" s="12" t="s">
        <v>1972</v>
      </c>
      <c r="D16" s="12" t="s">
        <v>1974</v>
      </c>
      <c r="E16" s="20">
        <v>34199</v>
      </c>
      <c r="F16" s="20">
        <v>44200</v>
      </c>
      <c r="G16" s="12">
        <v>60.36</v>
      </c>
      <c r="H16" s="12">
        <v>12.033333333333299</v>
      </c>
      <c r="I16" s="13">
        <v>5.0160664819944598</v>
      </c>
      <c r="J16" s="12" t="s">
        <v>238</v>
      </c>
      <c r="K16" s="14">
        <v>444</v>
      </c>
      <c r="L16" s="14">
        <v>767</v>
      </c>
      <c r="M16" s="14">
        <v>452</v>
      </c>
      <c r="N16" s="12">
        <v>60.36</v>
      </c>
      <c r="O16" s="12" t="s">
        <v>238</v>
      </c>
      <c r="P16" s="12">
        <v>9.7097217865501993E-3</v>
      </c>
      <c r="Q16" s="12">
        <v>2.28407952487392E-2</v>
      </c>
      <c r="R16" s="12">
        <v>0.18195564516129001</v>
      </c>
      <c r="S16" s="14">
        <v>29</v>
      </c>
      <c r="T16" s="12">
        <v>1.7916642700418299</v>
      </c>
      <c r="U16" s="14">
        <v>457</v>
      </c>
      <c r="V16" s="14">
        <v>2</v>
      </c>
      <c r="W16" s="12">
        <v>5.5999999999999999E-3</v>
      </c>
      <c r="X16" s="12">
        <v>1.79726427004183</v>
      </c>
      <c r="Y16" s="14">
        <v>457</v>
      </c>
      <c r="Z16" s="14">
        <v>28</v>
      </c>
      <c r="AA16" s="12" t="s">
        <v>2367</v>
      </c>
    </row>
    <row r="17" spans="1:27" ht="14.25" x14ac:dyDescent="0.45">
      <c r="A17" s="12" t="s">
        <v>245</v>
      </c>
      <c r="B17" s="12" t="s">
        <v>1971</v>
      </c>
      <c r="C17" s="12" t="s">
        <v>1972</v>
      </c>
      <c r="D17" s="12" t="s">
        <v>1974</v>
      </c>
      <c r="E17" s="20">
        <v>33017</v>
      </c>
      <c r="F17" s="20">
        <v>43234</v>
      </c>
      <c r="G17" s="12">
        <v>455.64</v>
      </c>
      <c r="H17" s="12">
        <v>44.233333333333299</v>
      </c>
      <c r="I17" s="13">
        <v>10.3008289374529</v>
      </c>
      <c r="J17" s="12" t="s">
        <v>245</v>
      </c>
      <c r="K17" s="14">
        <v>287</v>
      </c>
      <c r="L17" s="14">
        <v>94</v>
      </c>
      <c r="M17" s="14">
        <v>159</v>
      </c>
      <c r="N17" s="12">
        <v>455.64</v>
      </c>
      <c r="O17" s="12" t="s">
        <v>245</v>
      </c>
      <c r="P17" s="12">
        <v>7.3295852134256698E-2</v>
      </c>
      <c r="Q17" s="12">
        <v>4.6905104925782301E-2</v>
      </c>
      <c r="R17" s="12">
        <v>0.66885080645161299</v>
      </c>
      <c r="S17" s="14">
        <v>32</v>
      </c>
      <c r="T17" s="12">
        <v>5.6801635128960202</v>
      </c>
      <c r="U17" s="14">
        <v>232</v>
      </c>
      <c r="V17" s="14">
        <v>5</v>
      </c>
      <c r="W17" s="12">
        <v>5.8999999999999999E-3</v>
      </c>
      <c r="X17" s="12">
        <v>5.6860635128960197</v>
      </c>
      <c r="Y17" s="14">
        <v>232</v>
      </c>
      <c r="Z17" s="14">
        <v>32</v>
      </c>
      <c r="AA17" s="12" t="s">
        <v>2367</v>
      </c>
    </row>
    <row r="18" spans="1:27" ht="14.25" x14ac:dyDescent="0.45">
      <c r="A18" s="12" t="s">
        <v>257</v>
      </c>
      <c r="B18" s="12" t="s">
        <v>1971</v>
      </c>
      <c r="C18" s="12" t="s">
        <v>1972</v>
      </c>
      <c r="D18" s="12" t="s">
        <v>1974</v>
      </c>
      <c r="E18" s="20">
        <v>33309</v>
      </c>
      <c r="F18" s="20">
        <v>44144</v>
      </c>
      <c r="G18" s="12">
        <v>2.69</v>
      </c>
      <c r="H18" s="12">
        <v>13.9</v>
      </c>
      <c r="I18" s="13">
        <v>0.193525179856115</v>
      </c>
      <c r="J18" s="12" t="s">
        <v>257</v>
      </c>
      <c r="K18" s="14">
        <v>1358</v>
      </c>
      <c r="L18" s="14">
        <v>610</v>
      </c>
      <c r="M18" s="14">
        <v>1257</v>
      </c>
      <c r="N18" s="12">
        <v>2.69</v>
      </c>
      <c r="O18" s="12" t="s">
        <v>257</v>
      </c>
      <c r="P18" s="12">
        <v>4.3272285629257799E-4</v>
      </c>
      <c r="Q18" s="12">
        <v>8.8122217367649297E-4</v>
      </c>
      <c r="R18" s="12">
        <v>0.210181451612903</v>
      </c>
      <c r="S18" s="14">
        <v>31</v>
      </c>
      <c r="T18" s="12">
        <v>7.1303492965752502E-2</v>
      </c>
      <c r="U18" s="14">
        <v>1436</v>
      </c>
      <c r="V18" s="14">
        <v>1</v>
      </c>
      <c r="W18" s="12">
        <v>5.4999999999999997E-3</v>
      </c>
      <c r="X18" s="12">
        <v>7.6803492965752507E-2</v>
      </c>
      <c r="Y18" s="14">
        <v>1436</v>
      </c>
      <c r="Z18" s="14">
        <v>31</v>
      </c>
      <c r="AA18" s="12" t="s">
        <v>2367</v>
      </c>
    </row>
    <row r="19" spans="1:27" ht="14.25" x14ac:dyDescent="0.45">
      <c r="A19" s="12" t="s">
        <v>266</v>
      </c>
      <c r="B19" s="12" t="s">
        <v>1971</v>
      </c>
      <c r="C19" s="12" t="s">
        <v>1972</v>
      </c>
      <c r="D19" s="12" t="s">
        <v>1974</v>
      </c>
      <c r="E19" s="20">
        <v>33776</v>
      </c>
      <c r="F19" s="20">
        <v>44203</v>
      </c>
      <c r="G19" s="12">
        <v>1.24</v>
      </c>
      <c r="H19" s="12">
        <v>11.9333333333333</v>
      </c>
      <c r="I19" s="13">
        <v>0.10391061452514</v>
      </c>
      <c r="J19" s="12" t="s">
        <v>266</v>
      </c>
      <c r="K19" s="14">
        <v>1482</v>
      </c>
      <c r="L19" s="14">
        <v>787</v>
      </c>
      <c r="M19" s="14">
        <v>1515</v>
      </c>
      <c r="N19" s="12">
        <v>1.24</v>
      </c>
      <c r="O19" s="12" t="s">
        <v>266</v>
      </c>
      <c r="P19" s="12">
        <v>1.99470759034497E-4</v>
      </c>
      <c r="Q19" s="12">
        <v>4.7315981138983701E-4</v>
      </c>
      <c r="R19" s="12">
        <v>0.180443548387097</v>
      </c>
      <c r="S19" s="14">
        <v>30</v>
      </c>
      <c r="T19" s="12">
        <v>3.7052641675658499E-2</v>
      </c>
      <c r="U19" s="14">
        <v>1569</v>
      </c>
      <c r="V19" s="14">
        <v>4</v>
      </c>
      <c r="W19" s="12">
        <v>5.7999999999999996E-3</v>
      </c>
      <c r="X19" s="12">
        <v>4.2852641675658498E-2</v>
      </c>
      <c r="Y19" s="14">
        <v>1569</v>
      </c>
      <c r="Z19" s="14">
        <v>30</v>
      </c>
      <c r="AA19" s="12" t="s">
        <v>2367</v>
      </c>
    </row>
    <row r="20" spans="1:27" ht="14.25" x14ac:dyDescent="0.45">
      <c r="A20" s="12" t="s">
        <v>268</v>
      </c>
      <c r="B20" s="12" t="s">
        <v>1971</v>
      </c>
      <c r="C20" s="12" t="s">
        <v>1972</v>
      </c>
      <c r="D20" s="12" t="s">
        <v>1974</v>
      </c>
      <c r="E20" s="20">
        <v>35174</v>
      </c>
      <c r="F20" s="20">
        <v>44125</v>
      </c>
      <c r="G20" s="12">
        <v>0.28999999999999998</v>
      </c>
      <c r="H20" s="12">
        <v>14.533333333333299</v>
      </c>
      <c r="I20" s="13">
        <v>1.9954128440367001E-2</v>
      </c>
      <c r="J20" s="12" t="s">
        <v>268</v>
      </c>
      <c r="K20" s="14">
        <v>1687</v>
      </c>
      <c r="L20" s="14">
        <v>564</v>
      </c>
      <c r="M20" s="14">
        <v>1740</v>
      </c>
      <c r="N20" s="12">
        <v>0.28999999999999998</v>
      </c>
      <c r="O20" s="12" t="s">
        <v>268</v>
      </c>
      <c r="P20" s="12">
        <v>4.6650419451616299E-5</v>
      </c>
      <c r="Q20" s="12">
        <v>9.0861666947493594E-5</v>
      </c>
      <c r="R20" s="12">
        <v>0.219758064516129</v>
      </c>
      <c r="S20" s="14">
        <v>26</v>
      </c>
      <c r="T20" s="12">
        <v>7.4282449136539603E-3</v>
      </c>
      <c r="U20" s="14">
        <v>1787</v>
      </c>
      <c r="V20" s="14">
        <v>1</v>
      </c>
      <c r="W20" s="12">
        <v>5.4999999999999997E-3</v>
      </c>
      <c r="X20" s="12">
        <v>1.2928244913654E-2</v>
      </c>
      <c r="Y20" s="14">
        <v>1787</v>
      </c>
      <c r="Z20" s="14">
        <v>26</v>
      </c>
      <c r="AA20" s="12" t="s">
        <v>2367</v>
      </c>
    </row>
    <row r="21" spans="1:27" ht="14.25" x14ac:dyDescent="0.45">
      <c r="A21" s="12" t="s">
        <v>274</v>
      </c>
      <c r="B21" s="12" t="s">
        <v>1971</v>
      </c>
      <c r="C21" s="12" t="s">
        <v>1972</v>
      </c>
      <c r="D21" s="12" t="s">
        <v>1974</v>
      </c>
      <c r="E21" s="20">
        <v>32797</v>
      </c>
      <c r="F21" s="20">
        <v>43327</v>
      </c>
      <c r="G21" s="12">
        <v>1184.7</v>
      </c>
      <c r="H21" s="12">
        <v>41.133333333333297</v>
      </c>
      <c r="I21" s="13">
        <v>28.801458670988701</v>
      </c>
      <c r="J21" s="12" t="s">
        <v>274</v>
      </c>
      <c r="K21" s="14">
        <v>83</v>
      </c>
      <c r="L21" s="14">
        <v>160</v>
      </c>
      <c r="M21" s="14">
        <v>43</v>
      </c>
      <c r="N21" s="12">
        <v>1184.7</v>
      </c>
      <c r="O21" s="12" t="s">
        <v>274</v>
      </c>
      <c r="P21" s="12">
        <v>0.19057500663561999</v>
      </c>
      <c r="Q21" s="12">
        <v>0.13114822595164399</v>
      </c>
      <c r="R21" s="12">
        <v>0.62197580645161299</v>
      </c>
      <c r="S21" s="14">
        <v>33</v>
      </c>
      <c r="T21" s="12">
        <v>15.343326870813501</v>
      </c>
      <c r="U21" s="14">
        <v>64</v>
      </c>
      <c r="V21" s="14">
        <v>10</v>
      </c>
      <c r="W21" s="12">
        <v>6.4000000000000003E-3</v>
      </c>
      <c r="X21" s="12">
        <v>15.3497268708135</v>
      </c>
      <c r="Y21" s="14">
        <v>64</v>
      </c>
      <c r="Z21" s="14">
        <v>32</v>
      </c>
      <c r="AA21" s="12" t="s">
        <v>2367</v>
      </c>
    </row>
    <row r="22" spans="1:27" ht="14.25" x14ac:dyDescent="0.45">
      <c r="A22" s="12" t="s">
        <v>275</v>
      </c>
      <c r="B22" s="12" t="s">
        <v>1971</v>
      </c>
      <c r="C22" s="12" t="s">
        <v>1972</v>
      </c>
      <c r="D22" s="12" t="s">
        <v>1974</v>
      </c>
      <c r="E22" s="20">
        <v>34002</v>
      </c>
      <c r="F22" s="20">
        <v>43194</v>
      </c>
      <c r="G22" s="12">
        <v>194.86</v>
      </c>
      <c r="H22" s="12">
        <v>45.566666666666698</v>
      </c>
      <c r="I22" s="13">
        <v>4.2763716166788601</v>
      </c>
      <c r="J22" s="12" t="s">
        <v>275</v>
      </c>
      <c r="K22" s="14">
        <v>485</v>
      </c>
      <c r="L22" s="14">
        <v>84</v>
      </c>
      <c r="M22" s="14">
        <v>291</v>
      </c>
      <c r="N22" s="12">
        <v>194.86</v>
      </c>
      <c r="O22" s="12" t="s">
        <v>275</v>
      </c>
      <c r="P22" s="12">
        <v>3.1345864601179101E-2</v>
      </c>
      <c r="Q22" s="12">
        <v>1.94725745471469E-2</v>
      </c>
      <c r="R22" s="12">
        <v>0.68901209677419395</v>
      </c>
      <c r="S22" s="14">
        <v>29</v>
      </c>
      <c r="T22" s="12">
        <v>2.3925058317409</v>
      </c>
      <c r="U22" s="14">
        <v>408</v>
      </c>
      <c r="V22" s="14">
        <v>5</v>
      </c>
      <c r="W22" s="12">
        <v>5.8999999999999999E-3</v>
      </c>
      <c r="X22" s="12">
        <v>2.3984058317409001</v>
      </c>
      <c r="Y22" s="14">
        <v>408</v>
      </c>
      <c r="Z22" s="14">
        <v>29</v>
      </c>
      <c r="AA22" s="12" t="s">
        <v>2367</v>
      </c>
    </row>
    <row r="23" spans="1:27" ht="14.25" x14ac:dyDescent="0.45">
      <c r="A23" s="12" t="s">
        <v>368</v>
      </c>
      <c r="B23" s="12" t="s">
        <v>1971</v>
      </c>
      <c r="C23" s="12" t="s">
        <v>1972</v>
      </c>
      <c r="D23" s="12" t="s">
        <v>1974</v>
      </c>
      <c r="E23" s="20">
        <v>32934</v>
      </c>
      <c r="F23" s="20">
        <v>43137</v>
      </c>
      <c r="G23" s="12">
        <v>590.37</v>
      </c>
      <c r="H23" s="12">
        <v>47.466666666666697</v>
      </c>
      <c r="I23" s="13">
        <v>12.437570224719099</v>
      </c>
      <c r="J23" s="12" t="s">
        <v>368</v>
      </c>
      <c r="K23" s="14">
        <v>235</v>
      </c>
      <c r="L23" s="14">
        <v>66</v>
      </c>
      <c r="M23" s="14">
        <v>120</v>
      </c>
      <c r="N23" s="12">
        <v>590.37</v>
      </c>
      <c r="O23" s="12" t="s">
        <v>368</v>
      </c>
      <c r="P23" s="12">
        <v>9.4968993557416198E-2</v>
      </c>
      <c r="Q23" s="12">
        <v>5.6634814533333001E-2</v>
      </c>
      <c r="R23" s="12">
        <v>0.717741935483871</v>
      </c>
      <c r="S23" s="14">
        <v>32</v>
      </c>
      <c r="T23" s="12">
        <v>7.1010131667364202</v>
      </c>
      <c r="U23" s="14">
        <v>184</v>
      </c>
      <c r="V23" s="14">
        <v>7</v>
      </c>
      <c r="W23" s="12">
        <v>6.1000000000000004E-3</v>
      </c>
      <c r="X23" s="12">
        <v>7.1071131667364202</v>
      </c>
      <c r="Y23" s="14">
        <v>184</v>
      </c>
      <c r="Z23" s="14">
        <v>32</v>
      </c>
      <c r="AA23" s="12" t="s">
        <v>2367</v>
      </c>
    </row>
    <row r="24" spans="1:27" ht="14.25" x14ac:dyDescent="0.45">
      <c r="A24" s="12" t="s">
        <v>381</v>
      </c>
      <c r="B24" s="12" t="s">
        <v>1971</v>
      </c>
      <c r="C24" s="12" t="s">
        <v>1972</v>
      </c>
      <c r="D24" s="12" t="s">
        <v>1974</v>
      </c>
      <c r="E24" s="20">
        <v>33813</v>
      </c>
      <c r="F24" s="20">
        <v>44169</v>
      </c>
      <c r="G24" s="12">
        <v>6.99</v>
      </c>
      <c r="H24" s="12">
        <v>13.0666666666667</v>
      </c>
      <c r="I24" s="13">
        <v>0.53494897959183696</v>
      </c>
      <c r="J24" s="12" t="s">
        <v>381</v>
      </c>
      <c r="K24" s="14">
        <v>1029</v>
      </c>
      <c r="L24" s="14">
        <v>668</v>
      </c>
      <c r="M24" s="14">
        <v>923</v>
      </c>
      <c r="N24" s="12">
        <v>6.99</v>
      </c>
      <c r="O24" s="12" t="s">
        <v>381</v>
      </c>
      <c r="P24" s="12">
        <v>1.1244359722992999E-3</v>
      </c>
      <c r="Q24" s="12">
        <v>2.4359047383520301E-3</v>
      </c>
      <c r="R24" s="12">
        <v>0.19758064516129001</v>
      </c>
      <c r="S24" s="14">
        <v>30</v>
      </c>
      <c r="T24" s="12">
        <v>0.194410395108226</v>
      </c>
      <c r="U24" s="14">
        <v>1063</v>
      </c>
      <c r="V24" s="14">
        <v>1</v>
      </c>
      <c r="W24" s="12">
        <v>5.4999999999999997E-3</v>
      </c>
      <c r="X24" s="12">
        <v>0.199910395108226</v>
      </c>
      <c r="Y24" s="14">
        <v>1063</v>
      </c>
      <c r="Z24" s="14">
        <v>29</v>
      </c>
      <c r="AA24" s="12" t="s">
        <v>2367</v>
      </c>
    </row>
    <row r="25" spans="1:27" ht="14.25" x14ac:dyDescent="0.45">
      <c r="A25" s="12" t="s">
        <v>415</v>
      </c>
      <c r="B25" s="12" t="s">
        <v>1971</v>
      </c>
      <c r="C25" s="12" t="s">
        <v>1972</v>
      </c>
      <c r="D25" s="12" t="s">
        <v>1974</v>
      </c>
      <c r="E25" s="20">
        <v>32156</v>
      </c>
      <c r="F25" s="20">
        <v>43347</v>
      </c>
      <c r="G25" s="12">
        <v>143.81</v>
      </c>
      <c r="H25" s="12">
        <v>40.466666666666697</v>
      </c>
      <c r="I25" s="13">
        <v>3.5537891268533799</v>
      </c>
      <c r="J25" s="12" t="s">
        <v>415</v>
      </c>
      <c r="K25" s="14">
        <v>515</v>
      </c>
      <c r="L25" s="14">
        <v>183</v>
      </c>
      <c r="M25" s="14">
        <v>328</v>
      </c>
      <c r="N25" s="12">
        <v>143.81</v>
      </c>
      <c r="O25" s="12" t="s">
        <v>415</v>
      </c>
      <c r="P25" s="12">
        <v>2.31337821425412E-2</v>
      </c>
      <c r="Q25" s="12">
        <v>1.6182275513098601E-2</v>
      </c>
      <c r="R25" s="12">
        <v>0.61189516129032295</v>
      </c>
      <c r="S25" s="14">
        <v>34</v>
      </c>
      <c r="T25" s="12">
        <v>1.87890904991396</v>
      </c>
      <c r="U25" s="14">
        <v>447</v>
      </c>
      <c r="V25" s="14">
        <v>5</v>
      </c>
      <c r="W25" s="12">
        <v>5.8999999999999999E-3</v>
      </c>
      <c r="X25" s="12">
        <v>1.88480904991396</v>
      </c>
      <c r="Y25" s="14">
        <v>447</v>
      </c>
      <c r="Z25" s="14">
        <v>34</v>
      </c>
      <c r="AA25" s="12" t="s">
        <v>2367</v>
      </c>
    </row>
    <row r="26" spans="1:27" ht="14.25" x14ac:dyDescent="0.45">
      <c r="A26" s="12" t="s">
        <v>424</v>
      </c>
      <c r="B26" s="12" t="s">
        <v>1971</v>
      </c>
      <c r="C26" s="12" t="s">
        <v>1972</v>
      </c>
      <c r="D26" s="12" t="s">
        <v>1974</v>
      </c>
      <c r="E26" s="20">
        <v>32731</v>
      </c>
      <c r="F26" s="20">
        <v>44211</v>
      </c>
      <c r="G26" s="12">
        <v>409.57</v>
      </c>
      <c r="H26" s="12">
        <v>11.6666666666667</v>
      </c>
      <c r="I26" s="13">
        <v>35.106000000000002</v>
      </c>
      <c r="J26" s="12" t="s">
        <v>424</v>
      </c>
      <c r="K26" s="14">
        <v>67</v>
      </c>
      <c r="L26" s="14">
        <v>823</v>
      </c>
      <c r="M26" s="14">
        <v>181</v>
      </c>
      <c r="N26" s="12">
        <v>409.57</v>
      </c>
      <c r="O26" s="12" t="s">
        <v>424</v>
      </c>
      <c r="P26" s="12">
        <v>6.5884869982063707E-2</v>
      </c>
      <c r="Q26" s="12">
        <v>0.15985612648487299</v>
      </c>
      <c r="R26" s="12">
        <v>0.17641129032258099</v>
      </c>
      <c r="S26" s="14">
        <v>33</v>
      </c>
      <c r="T26" s="12">
        <v>12.461690529632</v>
      </c>
      <c r="U26" s="14">
        <v>85</v>
      </c>
      <c r="V26" s="14">
        <v>6</v>
      </c>
      <c r="W26" s="12">
        <v>6.0000000000000001E-3</v>
      </c>
      <c r="X26" s="12">
        <v>12.467690529632</v>
      </c>
      <c r="Y26" s="14">
        <v>85</v>
      </c>
      <c r="Z26" s="14">
        <v>32</v>
      </c>
      <c r="AA26" s="12" t="s">
        <v>2367</v>
      </c>
    </row>
    <row r="27" spans="1:27" ht="14.25" x14ac:dyDescent="0.45">
      <c r="A27" s="12" t="s">
        <v>425</v>
      </c>
      <c r="B27" s="12" t="s">
        <v>1971</v>
      </c>
      <c r="C27" s="12" t="s">
        <v>1972</v>
      </c>
      <c r="D27" s="12" t="s">
        <v>1974</v>
      </c>
      <c r="E27" s="20">
        <v>33932</v>
      </c>
      <c r="F27" s="20">
        <v>44209</v>
      </c>
      <c r="G27" s="12">
        <v>10.1</v>
      </c>
      <c r="H27" s="12">
        <v>11.733333333333301</v>
      </c>
      <c r="I27" s="13">
        <v>0.86079545454545503</v>
      </c>
      <c r="J27" s="12" t="s">
        <v>425</v>
      </c>
      <c r="K27" s="14">
        <v>871</v>
      </c>
      <c r="L27" s="14">
        <v>812</v>
      </c>
      <c r="M27" s="14">
        <v>838</v>
      </c>
      <c r="N27" s="12">
        <v>10.1</v>
      </c>
      <c r="O27" s="12" t="s">
        <v>425</v>
      </c>
      <c r="P27" s="12">
        <v>1.6247215050390501E-3</v>
      </c>
      <c r="Q27" s="12">
        <v>3.9196555306620596E-3</v>
      </c>
      <c r="R27" s="12">
        <v>0.17741935483870999</v>
      </c>
      <c r="S27" s="14">
        <v>30</v>
      </c>
      <c r="T27" s="12">
        <v>0.30590552710534302</v>
      </c>
      <c r="U27" s="14">
        <v>911</v>
      </c>
      <c r="V27" s="14">
        <v>2</v>
      </c>
      <c r="W27" s="12">
        <v>5.5999999999999999E-3</v>
      </c>
      <c r="X27" s="12">
        <v>0.31150552710534302</v>
      </c>
      <c r="Y27" s="14">
        <v>911</v>
      </c>
      <c r="Z27" s="14">
        <v>29</v>
      </c>
      <c r="AA27" s="12" t="s">
        <v>2367</v>
      </c>
    </row>
    <row r="28" spans="1:27" ht="14.25" x14ac:dyDescent="0.45">
      <c r="A28" s="12" t="s">
        <v>433</v>
      </c>
      <c r="B28" s="12" t="s">
        <v>1971</v>
      </c>
      <c r="C28" s="12" t="s">
        <v>1972</v>
      </c>
      <c r="D28" s="12" t="s">
        <v>1974</v>
      </c>
      <c r="E28" s="20">
        <v>32204</v>
      </c>
      <c r="F28" s="20">
        <v>44214</v>
      </c>
      <c r="G28" s="12">
        <v>97.53</v>
      </c>
      <c r="H28" s="12">
        <v>11.5666666666667</v>
      </c>
      <c r="I28" s="13">
        <v>8.4319884726224803</v>
      </c>
      <c r="J28" s="12" t="s">
        <v>433</v>
      </c>
      <c r="K28" s="14">
        <v>339</v>
      </c>
      <c r="L28" s="14">
        <v>834</v>
      </c>
      <c r="M28" s="14">
        <v>389</v>
      </c>
      <c r="N28" s="12">
        <v>97.53</v>
      </c>
      <c r="O28" s="12" t="s">
        <v>433</v>
      </c>
      <c r="P28" s="12">
        <v>1.56890186521246E-2</v>
      </c>
      <c r="Q28" s="12">
        <v>3.8395289004686702E-2</v>
      </c>
      <c r="R28" s="12">
        <v>0.17489919354838701</v>
      </c>
      <c r="S28" s="14">
        <v>34</v>
      </c>
      <c r="T28" s="12">
        <v>2.9880437622475902</v>
      </c>
      <c r="U28" s="14">
        <v>376</v>
      </c>
      <c r="V28" s="14">
        <v>2</v>
      </c>
      <c r="W28" s="12">
        <v>5.5999999999999999E-3</v>
      </c>
      <c r="X28" s="12">
        <v>2.99364376224759</v>
      </c>
      <c r="Y28" s="14">
        <v>376</v>
      </c>
      <c r="Z28" s="14">
        <v>34</v>
      </c>
      <c r="AA28" s="12" t="s">
        <v>2367</v>
      </c>
    </row>
    <row r="29" spans="1:27" ht="14.25" x14ac:dyDescent="0.45">
      <c r="A29" s="12" t="s">
        <v>513</v>
      </c>
      <c r="B29" s="12" t="s">
        <v>1971</v>
      </c>
      <c r="C29" s="12" t="s">
        <v>1972</v>
      </c>
      <c r="D29" s="12" t="s">
        <v>1974</v>
      </c>
      <c r="E29" s="20">
        <v>32378</v>
      </c>
      <c r="F29" s="20">
        <v>43920</v>
      </c>
      <c r="G29" s="12">
        <v>0.3</v>
      </c>
      <c r="H29" s="12">
        <v>21.366666666666699</v>
      </c>
      <c r="I29" s="13">
        <v>1.4040561622464901E-2</v>
      </c>
      <c r="J29" s="12" t="s">
        <v>513</v>
      </c>
      <c r="K29" s="14">
        <v>1716</v>
      </c>
      <c r="L29" s="14">
        <v>445</v>
      </c>
      <c r="M29" s="14">
        <v>1737</v>
      </c>
      <c r="N29" s="12">
        <v>0.3</v>
      </c>
      <c r="O29" s="12" t="s">
        <v>513</v>
      </c>
      <c r="P29" s="12">
        <v>4.8259054605120298E-5</v>
      </c>
      <c r="Q29" s="12">
        <v>6.3934079491807805E-5</v>
      </c>
      <c r="R29" s="12">
        <v>0.32308467741935498</v>
      </c>
      <c r="S29" s="14">
        <v>34</v>
      </c>
      <c r="T29" s="12">
        <v>5.80559451593E-3</v>
      </c>
      <c r="U29" s="14">
        <v>1806</v>
      </c>
      <c r="V29" s="14">
        <v>1</v>
      </c>
      <c r="W29" s="12">
        <v>5.4999999999999997E-3</v>
      </c>
      <c r="X29" s="12">
        <v>1.1305594515930001E-2</v>
      </c>
      <c r="Y29" s="14">
        <v>1806</v>
      </c>
      <c r="Z29" s="14">
        <v>33</v>
      </c>
      <c r="AA29" s="12" t="s">
        <v>2367</v>
      </c>
    </row>
    <row r="30" spans="1:27" ht="14.25" x14ac:dyDescent="0.45">
      <c r="A30" s="12" t="s">
        <v>521</v>
      </c>
      <c r="B30" s="12" t="s">
        <v>1971</v>
      </c>
      <c r="C30" s="12" t="s">
        <v>1972</v>
      </c>
      <c r="D30" s="12" t="s">
        <v>1974</v>
      </c>
      <c r="E30" s="20">
        <v>34510</v>
      </c>
      <c r="F30" s="20">
        <v>44221</v>
      </c>
      <c r="G30" s="12">
        <v>99.43</v>
      </c>
      <c r="H30" s="12">
        <v>11.3333333333333</v>
      </c>
      <c r="I30" s="13">
        <v>8.7732352941176508</v>
      </c>
      <c r="J30" s="12" t="s">
        <v>521</v>
      </c>
      <c r="K30" s="14">
        <v>328</v>
      </c>
      <c r="L30" s="14">
        <v>860</v>
      </c>
      <c r="M30" s="14">
        <v>385</v>
      </c>
      <c r="N30" s="12">
        <v>99.43</v>
      </c>
      <c r="O30" s="12" t="s">
        <v>521</v>
      </c>
      <c r="P30" s="12">
        <v>1.5994659331290399E-2</v>
      </c>
      <c r="Q30" s="12">
        <v>3.9949165694127098E-2</v>
      </c>
      <c r="R30" s="12">
        <v>0.171370967741935</v>
      </c>
      <c r="S30" s="14">
        <v>28</v>
      </c>
      <c r="T30" s="12">
        <v>3.0966225808063301</v>
      </c>
      <c r="U30" s="14">
        <v>366</v>
      </c>
      <c r="V30" s="14">
        <v>8</v>
      </c>
      <c r="W30" s="12">
        <v>6.1999999999999998E-3</v>
      </c>
      <c r="X30" s="12">
        <v>3.1028225808063299</v>
      </c>
      <c r="Y30" s="14">
        <v>366</v>
      </c>
      <c r="Z30" s="14">
        <v>28</v>
      </c>
      <c r="AA30" s="12" t="s">
        <v>2367</v>
      </c>
    </row>
    <row r="31" spans="1:27" ht="14.25" x14ac:dyDescent="0.45">
      <c r="A31" s="12" t="s">
        <v>524</v>
      </c>
      <c r="B31" s="12" t="s">
        <v>1971</v>
      </c>
      <c r="C31" s="12" t="s">
        <v>1972</v>
      </c>
      <c r="D31" s="12" t="s">
        <v>1974</v>
      </c>
      <c r="E31" s="20">
        <v>32159</v>
      </c>
      <c r="F31" s="20">
        <v>43318</v>
      </c>
      <c r="G31" s="12">
        <v>27.31</v>
      </c>
      <c r="H31" s="12">
        <v>41.433333333333302</v>
      </c>
      <c r="I31" s="13">
        <v>0.65913113435237303</v>
      </c>
      <c r="J31" s="12" t="s">
        <v>524</v>
      </c>
      <c r="K31" s="14">
        <v>960</v>
      </c>
      <c r="L31" s="14">
        <v>141</v>
      </c>
      <c r="M31" s="14">
        <v>668</v>
      </c>
      <c r="N31" s="12">
        <v>27.31</v>
      </c>
      <c r="O31" s="12" t="s">
        <v>524</v>
      </c>
      <c r="P31" s="12">
        <v>4.3931826042194503E-3</v>
      </c>
      <c r="Q31" s="12">
        <v>3.0013715599370798E-3</v>
      </c>
      <c r="R31" s="12">
        <v>0.62651209677419295</v>
      </c>
      <c r="S31" s="14">
        <v>34</v>
      </c>
      <c r="T31" s="12">
        <v>0.35233007015429701</v>
      </c>
      <c r="U31" s="14">
        <v>870</v>
      </c>
      <c r="V31" s="14">
        <v>3</v>
      </c>
      <c r="W31" s="12">
        <v>5.7000000000000002E-3</v>
      </c>
      <c r="X31" s="12">
        <v>0.358030070154297</v>
      </c>
      <c r="Y31" s="14">
        <v>870</v>
      </c>
      <c r="Z31" s="14">
        <v>34</v>
      </c>
      <c r="AA31" s="12" t="s">
        <v>2367</v>
      </c>
    </row>
    <row r="32" spans="1:27" ht="14.25" x14ac:dyDescent="0.45">
      <c r="A32" s="12" t="s">
        <v>541</v>
      </c>
      <c r="B32" s="12" t="s">
        <v>1971</v>
      </c>
      <c r="C32" s="12" t="s">
        <v>1972</v>
      </c>
      <c r="D32" s="12" t="s">
        <v>1974</v>
      </c>
      <c r="E32" s="20">
        <v>32550</v>
      </c>
      <c r="F32" s="20">
        <v>43209</v>
      </c>
      <c r="G32" s="12">
        <v>474.71</v>
      </c>
      <c r="H32" s="12">
        <v>45.066666666666698</v>
      </c>
      <c r="I32" s="13">
        <v>10.5335059171598</v>
      </c>
      <c r="J32" s="12" t="s">
        <v>541</v>
      </c>
      <c r="K32" s="14">
        <v>277</v>
      </c>
      <c r="L32" s="14">
        <v>92</v>
      </c>
      <c r="M32" s="14">
        <v>150</v>
      </c>
      <c r="N32" s="12">
        <v>474.71</v>
      </c>
      <c r="O32" s="12" t="s">
        <v>541</v>
      </c>
      <c r="P32" s="12">
        <v>7.6363519371988806E-2</v>
      </c>
      <c r="Q32" s="12">
        <v>4.79646058856791E-2</v>
      </c>
      <c r="R32" s="12">
        <v>0.68145161290322598</v>
      </c>
      <c r="S32" s="14">
        <v>33</v>
      </c>
      <c r="T32" s="12">
        <v>5.86141984430453</v>
      </c>
      <c r="U32" s="14">
        <v>227</v>
      </c>
      <c r="V32" s="14">
        <v>14</v>
      </c>
      <c r="W32" s="12">
        <v>6.7000000000000002E-3</v>
      </c>
      <c r="X32" s="12">
        <v>5.8681198443045304</v>
      </c>
      <c r="Y32" s="14">
        <v>227</v>
      </c>
      <c r="Z32" s="14">
        <v>33</v>
      </c>
      <c r="AA32" s="12" t="s">
        <v>2367</v>
      </c>
    </row>
    <row r="33" spans="1:27" ht="14.25" x14ac:dyDescent="0.45">
      <c r="A33" s="12" t="s">
        <v>599</v>
      </c>
      <c r="B33" s="12" t="s">
        <v>1971</v>
      </c>
      <c r="C33" s="12" t="s">
        <v>1972</v>
      </c>
      <c r="D33" s="12" t="s">
        <v>1974</v>
      </c>
      <c r="E33" s="20">
        <v>32646</v>
      </c>
      <c r="F33" s="20">
        <v>43887</v>
      </c>
      <c r="G33" s="12">
        <v>3.73</v>
      </c>
      <c r="H33" s="12">
        <v>22.466666666666701</v>
      </c>
      <c r="I33" s="13">
        <v>0.16602373887240399</v>
      </c>
      <c r="J33" s="12" t="s">
        <v>599</v>
      </c>
      <c r="K33" s="14">
        <v>1389</v>
      </c>
      <c r="L33" s="14">
        <v>419</v>
      </c>
      <c r="M33" s="14">
        <v>1141</v>
      </c>
      <c r="N33" s="12">
        <v>3.73</v>
      </c>
      <c r="O33" s="12" t="s">
        <v>599</v>
      </c>
      <c r="P33" s="12">
        <v>6.0002091225699503E-4</v>
      </c>
      <c r="Q33" s="12">
        <v>7.5599361364662803E-4</v>
      </c>
      <c r="R33" s="12">
        <v>0.33971774193548399</v>
      </c>
      <c r="S33" s="14">
        <v>33</v>
      </c>
      <c r="T33" s="12">
        <v>6.9750385062551601E-2</v>
      </c>
      <c r="U33" s="14">
        <v>1446</v>
      </c>
      <c r="V33" s="14">
        <v>2</v>
      </c>
      <c r="W33" s="12">
        <v>5.5999999999999999E-3</v>
      </c>
      <c r="X33" s="12">
        <v>7.5350385062551595E-2</v>
      </c>
      <c r="Y33" s="14">
        <v>1445</v>
      </c>
      <c r="Z33" s="14">
        <v>33</v>
      </c>
      <c r="AA33" s="12" t="s">
        <v>2367</v>
      </c>
    </row>
    <row r="34" spans="1:27" ht="14.25" x14ac:dyDescent="0.45">
      <c r="A34" s="12" t="s">
        <v>614</v>
      </c>
      <c r="B34" s="12" t="s">
        <v>1971</v>
      </c>
      <c r="C34" s="12" t="s">
        <v>1972</v>
      </c>
      <c r="D34" s="12" t="s">
        <v>1974</v>
      </c>
      <c r="E34" s="20">
        <v>35374</v>
      </c>
      <c r="F34" s="20">
        <v>44263</v>
      </c>
      <c r="G34" s="12">
        <v>5.12</v>
      </c>
      <c r="H34" s="12">
        <v>9.93333333333333</v>
      </c>
      <c r="I34" s="13">
        <v>0.51543624161073798</v>
      </c>
      <c r="J34" s="12" t="s">
        <v>614</v>
      </c>
      <c r="K34" s="14">
        <v>1038</v>
      </c>
      <c r="L34" s="14">
        <v>962</v>
      </c>
      <c r="M34" s="14">
        <v>1028</v>
      </c>
      <c r="N34" s="12">
        <v>5.12</v>
      </c>
      <c r="O34" s="12" t="s">
        <v>614</v>
      </c>
      <c r="P34" s="12">
        <v>8.2362119859405295E-4</v>
      </c>
      <c r="Q34" s="12">
        <v>2.3470529548742102E-3</v>
      </c>
      <c r="R34" s="12">
        <v>0.15020161290322601</v>
      </c>
      <c r="S34" s="14">
        <v>26</v>
      </c>
      <c r="T34" s="12">
        <v>0.17757660462691499</v>
      </c>
      <c r="U34" s="14">
        <v>1092</v>
      </c>
      <c r="V34" s="14">
        <v>1</v>
      </c>
      <c r="W34" s="12">
        <v>5.4999999999999997E-3</v>
      </c>
      <c r="X34" s="12">
        <v>0.183076604626915</v>
      </c>
      <c r="Y34" s="14">
        <v>1093</v>
      </c>
      <c r="Z34" s="14">
        <v>25</v>
      </c>
      <c r="AA34" s="12" t="s">
        <v>2367</v>
      </c>
    </row>
    <row r="35" spans="1:27" ht="14.25" x14ac:dyDescent="0.45">
      <c r="A35" s="12" t="s">
        <v>650</v>
      </c>
      <c r="B35" s="12" t="s">
        <v>1971</v>
      </c>
      <c r="C35" s="12" t="s">
        <v>1972</v>
      </c>
      <c r="D35" s="12" t="s">
        <v>1974</v>
      </c>
      <c r="E35" s="20">
        <v>35251</v>
      </c>
      <c r="F35" s="20">
        <v>44165</v>
      </c>
      <c r="G35" s="12">
        <v>19.059999999999999</v>
      </c>
      <c r="H35" s="12">
        <v>13.2</v>
      </c>
      <c r="I35" s="13">
        <v>1.4439393939393901</v>
      </c>
      <c r="J35" s="12" t="s">
        <v>650</v>
      </c>
      <c r="K35" s="14">
        <v>738</v>
      </c>
      <c r="L35" s="14">
        <v>658</v>
      </c>
      <c r="M35" s="14">
        <v>728</v>
      </c>
      <c r="N35" s="12">
        <v>19.059999999999999</v>
      </c>
      <c r="O35" s="12" t="s">
        <v>650</v>
      </c>
      <c r="P35" s="12">
        <v>3.0660586025786402E-3</v>
      </c>
      <c r="Q35" s="12">
        <v>6.57501733020187E-3</v>
      </c>
      <c r="R35" s="12">
        <v>0.19959677419354799</v>
      </c>
      <c r="S35" s="14">
        <v>26</v>
      </c>
      <c r="T35" s="12">
        <v>0.525915780734316</v>
      </c>
      <c r="U35" s="14">
        <v>776</v>
      </c>
      <c r="V35" s="14">
        <v>3</v>
      </c>
      <c r="W35" s="12">
        <v>5.7000000000000002E-3</v>
      </c>
      <c r="X35" s="12">
        <v>0.53161578073431603</v>
      </c>
      <c r="Y35" s="14">
        <v>776</v>
      </c>
      <c r="Z35" s="14">
        <v>26</v>
      </c>
      <c r="AA35" s="12" t="s">
        <v>2367</v>
      </c>
    </row>
    <row r="36" spans="1:27" ht="14.25" x14ac:dyDescent="0.45">
      <c r="A36" s="12" t="s">
        <v>666</v>
      </c>
      <c r="B36" s="12" t="s">
        <v>1971</v>
      </c>
      <c r="C36" s="12" t="s">
        <v>1972</v>
      </c>
      <c r="D36" s="12" t="s">
        <v>1974</v>
      </c>
      <c r="E36" s="20">
        <v>35291</v>
      </c>
      <c r="F36" s="20">
        <v>44267</v>
      </c>
      <c r="G36" s="12">
        <v>88.21</v>
      </c>
      <c r="H36" s="12">
        <v>9.8000000000000007</v>
      </c>
      <c r="I36" s="13">
        <v>9.0010204081632708</v>
      </c>
      <c r="J36" s="12" t="s">
        <v>666</v>
      </c>
      <c r="K36" s="14">
        <v>321</v>
      </c>
      <c r="L36" s="14">
        <v>989</v>
      </c>
      <c r="M36" s="14">
        <v>397</v>
      </c>
      <c r="N36" s="12">
        <v>88.21</v>
      </c>
      <c r="O36" s="12" t="s">
        <v>666</v>
      </c>
      <c r="P36" s="12">
        <v>1.4189770689058899E-2</v>
      </c>
      <c r="Q36" s="12">
        <v>4.09863914105928E-2</v>
      </c>
      <c r="R36" s="12">
        <v>0.148185483870968</v>
      </c>
      <c r="S36" s="14">
        <v>26</v>
      </c>
      <c r="T36" s="12">
        <v>3.0937658640017598</v>
      </c>
      <c r="U36" s="14">
        <v>367</v>
      </c>
      <c r="V36" s="14">
        <v>8</v>
      </c>
      <c r="W36" s="12">
        <v>6.1999999999999998E-3</v>
      </c>
      <c r="X36" s="12">
        <v>3.09996586400176</v>
      </c>
      <c r="Y36" s="14">
        <v>367</v>
      </c>
      <c r="Z36" s="14">
        <v>25</v>
      </c>
      <c r="AA36" s="12" t="s">
        <v>2367</v>
      </c>
    </row>
    <row r="37" spans="1:27" ht="14.25" x14ac:dyDescent="0.45">
      <c r="A37" s="12" t="s">
        <v>675</v>
      </c>
      <c r="B37" s="12" t="s">
        <v>1971</v>
      </c>
      <c r="C37" s="12" t="s">
        <v>1972</v>
      </c>
      <c r="D37" s="12" t="s">
        <v>1974</v>
      </c>
      <c r="E37" s="20">
        <v>35380</v>
      </c>
      <c r="F37" s="20">
        <v>42872</v>
      </c>
      <c r="G37" s="12">
        <v>774.42</v>
      </c>
      <c r="H37" s="12">
        <v>56.3</v>
      </c>
      <c r="I37" s="13">
        <v>13.7552397868561</v>
      </c>
      <c r="J37" s="12" t="s">
        <v>675</v>
      </c>
      <c r="K37" s="14">
        <v>211</v>
      </c>
      <c r="L37" s="14">
        <v>28</v>
      </c>
      <c r="M37" s="14">
        <v>76</v>
      </c>
      <c r="N37" s="12">
        <v>774.42</v>
      </c>
      <c r="O37" s="12" t="s">
        <v>675</v>
      </c>
      <c r="P37" s="12">
        <v>0.124575923557657</v>
      </c>
      <c r="Q37" s="12">
        <v>6.2634858747719305E-2</v>
      </c>
      <c r="R37" s="12">
        <v>0.85131048387096797</v>
      </c>
      <c r="S37" s="14">
        <v>26</v>
      </c>
      <c r="T37" s="12">
        <v>8.5862758051446093</v>
      </c>
      <c r="U37" s="14">
        <v>128</v>
      </c>
      <c r="V37" s="14">
        <v>30</v>
      </c>
      <c r="W37" s="12">
        <v>7.7000000000000002E-3</v>
      </c>
      <c r="X37" s="12">
        <v>8.5939758051446091</v>
      </c>
      <c r="Y37" s="14">
        <v>128</v>
      </c>
      <c r="Z37" s="14">
        <v>25</v>
      </c>
      <c r="AA37" s="12" t="s">
        <v>2367</v>
      </c>
    </row>
    <row r="38" spans="1:27" ht="14.25" x14ac:dyDescent="0.45">
      <c r="A38" s="12" t="s">
        <v>733</v>
      </c>
      <c r="B38" s="12" t="s">
        <v>1971</v>
      </c>
      <c r="C38" s="12" t="s">
        <v>1972</v>
      </c>
      <c r="D38" s="12" t="s">
        <v>1974</v>
      </c>
      <c r="E38" s="20">
        <v>35372</v>
      </c>
      <c r="F38" s="20">
        <v>44267</v>
      </c>
      <c r="G38" s="12">
        <v>2</v>
      </c>
      <c r="H38" s="12">
        <v>9.8000000000000007</v>
      </c>
      <c r="I38" s="13">
        <v>0.20408163265306101</v>
      </c>
      <c r="J38" s="12" t="s">
        <v>733</v>
      </c>
      <c r="K38" s="14">
        <v>1341</v>
      </c>
      <c r="L38" s="14">
        <v>989</v>
      </c>
      <c r="M38" s="14">
        <v>1359</v>
      </c>
      <c r="N38" s="12">
        <v>2</v>
      </c>
      <c r="O38" s="12" t="s">
        <v>733</v>
      </c>
      <c r="P38" s="12">
        <v>3.2172703070080199E-4</v>
      </c>
      <c r="Q38" s="12">
        <v>9.29291268803828E-4</v>
      </c>
      <c r="R38" s="12">
        <v>0.148185483870968</v>
      </c>
      <c r="S38" s="14">
        <v>26</v>
      </c>
      <c r="T38" s="12">
        <v>7.0145467951519297E-2</v>
      </c>
      <c r="U38" s="14">
        <v>1444</v>
      </c>
      <c r="V38" s="14">
        <v>1</v>
      </c>
      <c r="W38" s="12">
        <v>5.4999999999999997E-3</v>
      </c>
      <c r="X38" s="12">
        <v>7.5645467951519302E-2</v>
      </c>
      <c r="Y38" s="14">
        <v>1444</v>
      </c>
      <c r="Z38" s="14">
        <v>25</v>
      </c>
      <c r="AA38" s="12" t="s">
        <v>2367</v>
      </c>
    </row>
    <row r="39" spans="1:27" ht="14.25" x14ac:dyDescent="0.45">
      <c r="A39" s="12" t="s">
        <v>774</v>
      </c>
      <c r="B39" s="12" t="s">
        <v>1971</v>
      </c>
      <c r="C39" s="12" t="s">
        <v>1972</v>
      </c>
      <c r="D39" s="12" t="s">
        <v>1974</v>
      </c>
      <c r="E39" s="20">
        <v>32538</v>
      </c>
      <c r="F39" s="20">
        <v>44266</v>
      </c>
      <c r="G39" s="12">
        <v>30.28</v>
      </c>
      <c r="H39" s="12">
        <v>9.8333333333333304</v>
      </c>
      <c r="I39" s="13">
        <v>3.0793220338983001</v>
      </c>
      <c r="J39" s="12" t="s">
        <v>774</v>
      </c>
      <c r="K39" s="14">
        <v>553</v>
      </c>
      <c r="L39" s="14">
        <v>982</v>
      </c>
      <c r="M39" s="14">
        <v>564</v>
      </c>
      <c r="N39" s="12">
        <v>30.28</v>
      </c>
      <c r="O39" s="12" t="s">
        <v>774</v>
      </c>
      <c r="P39" s="12">
        <v>4.8709472448101396E-3</v>
      </c>
      <c r="Q39" s="12">
        <v>1.4021776691690999E-2</v>
      </c>
      <c r="R39" s="12">
        <v>0.148689516129032</v>
      </c>
      <c r="S39" s="14">
        <v>33</v>
      </c>
      <c r="T39" s="12">
        <v>1.0590215649110699</v>
      </c>
      <c r="U39" s="14">
        <v>564</v>
      </c>
      <c r="V39" s="14">
        <v>1</v>
      </c>
      <c r="W39" s="12">
        <v>5.4999999999999997E-3</v>
      </c>
      <c r="X39" s="12">
        <v>1.06452156491107</v>
      </c>
      <c r="Y39" s="14">
        <v>564</v>
      </c>
      <c r="Z39" s="14">
        <v>33</v>
      </c>
      <c r="AA39" s="12" t="s">
        <v>2367</v>
      </c>
    </row>
    <row r="40" spans="1:27" ht="14.25" x14ac:dyDescent="0.45">
      <c r="A40" s="12" t="s">
        <v>781</v>
      </c>
      <c r="B40" s="12" t="s">
        <v>1971</v>
      </c>
      <c r="C40" s="12" t="s">
        <v>1972</v>
      </c>
      <c r="D40" s="12" t="s">
        <v>1974</v>
      </c>
      <c r="E40" s="20">
        <v>34304</v>
      </c>
      <c r="F40" s="20">
        <v>44267</v>
      </c>
      <c r="G40" s="12">
        <v>17.829999999999998</v>
      </c>
      <c r="H40" s="12">
        <v>9.8000000000000007</v>
      </c>
      <c r="I40" s="13">
        <v>1.8193877551020401</v>
      </c>
      <c r="J40" s="12" t="s">
        <v>781</v>
      </c>
      <c r="K40" s="14">
        <v>685</v>
      </c>
      <c r="L40" s="14">
        <v>989</v>
      </c>
      <c r="M40" s="14">
        <v>738</v>
      </c>
      <c r="N40" s="12">
        <v>17.829999999999998</v>
      </c>
      <c r="O40" s="12" t="s">
        <v>781</v>
      </c>
      <c r="P40" s="12">
        <v>2.86819647869765E-3</v>
      </c>
      <c r="Q40" s="12">
        <v>8.2846316613861305E-3</v>
      </c>
      <c r="R40" s="12">
        <v>0.148185483870968</v>
      </c>
      <c r="S40" s="14">
        <v>29</v>
      </c>
      <c r="T40" s="12">
        <v>0.62534684678779495</v>
      </c>
      <c r="U40" s="14">
        <v>742</v>
      </c>
      <c r="V40" s="14">
        <v>2</v>
      </c>
      <c r="W40" s="12">
        <v>5.5999999999999999E-3</v>
      </c>
      <c r="X40" s="12">
        <v>0.630946846787795</v>
      </c>
      <c r="Y40" s="14">
        <v>742</v>
      </c>
      <c r="Z40" s="14">
        <v>28</v>
      </c>
      <c r="AA40" s="12" t="s">
        <v>2367</v>
      </c>
    </row>
    <row r="41" spans="1:27" ht="14.25" x14ac:dyDescent="0.45">
      <c r="A41" s="12" t="s">
        <v>783</v>
      </c>
      <c r="B41" s="12" t="s">
        <v>1971</v>
      </c>
      <c r="C41" s="12" t="s">
        <v>1972</v>
      </c>
      <c r="D41" s="12" t="s">
        <v>1974</v>
      </c>
      <c r="E41" s="20">
        <v>34169</v>
      </c>
      <c r="F41" s="20">
        <v>44137</v>
      </c>
      <c r="G41" s="12">
        <v>346.3</v>
      </c>
      <c r="H41" s="12">
        <v>14.133333333333301</v>
      </c>
      <c r="I41" s="13">
        <v>24.502358490565999</v>
      </c>
      <c r="J41" s="12" t="s">
        <v>783</v>
      </c>
      <c r="K41" s="14">
        <v>105</v>
      </c>
      <c r="L41" s="14">
        <v>599</v>
      </c>
      <c r="M41" s="14">
        <v>199</v>
      </c>
      <c r="N41" s="12">
        <v>346.3</v>
      </c>
      <c r="O41" s="12" t="s">
        <v>783</v>
      </c>
      <c r="P41" s="12">
        <v>5.5707035365843802E-2</v>
      </c>
      <c r="Q41" s="12">
        <v>0.111572156270883</v>
      </c>
      <c r="R41" s="12">
        <v>0.21370967741935501</v>
      </c>
      <c r="S41" s="14">
        <v>29</v>
      </c>
      <c r="T41" s="12">
        <v>9.0622735931493601</v>
      </c>
      <c r="U41" s="14">
        <v>116</v>
      </c>
      <c r="V41" s="14">
        <v>8</v>
      </c>
      <c r="W41" s="12">
        <v>6.1999999999999998E-3</v>
      </c>
      <c r="X41" s="12">
        <v>9.0684735931493599</v>
      </c>
      <c r="Y41" s="14">
        <v>116</v>
      </c>
      <c r="Z41" s="14">
        <v>28</v>
      </c>
      <c r="AA41" s="12" t="s">
        <v>2367</v>
      </c>
    </row>
    <row r="42" spans="1:27" ht="14.25" x14ac:dyDescent="0.45">
      <c r="A42" s="12" t="s">
        <v>787</v>
      </c>
      <c r="B42" s="12" t="s">
        <v>1971</v>
      </c>
      <c r="C42" s="12" t="s">
        <v>1972</v>
      </c>
      <c r="D42" s="12" t="s">
        <v>1974</v>
      </c>
      <c r="E42" s="20">
        <v>33839</v>
      </c>
      <c r="F42" s="20">
        <v>44134</v>
      </c>
      <c r="G42" s="12">
        <v>6.07</v>
      </c>
      <c r="H42" s="12">
        <v>14.233333333333301</v>
      </c>
      <c r="I42" s="13">
        <v>0.426463700234192</v>
      </c>
      <c r="J42" s="12" t="s">
        <v>787</v>
      </c>
      <c r="K42" s="14">
        <v>1120</v>
      </c>
      <c r="L42" s="14">
        <v>593</v>
      </c>
      <c r="M42" s="14">
        <v>958</v>
      </c>
      <c r="N42" s="12">
        <v>6.07</v>
      </c>
      <c r="O42" s="12" t="s">
        <v>787</v>
      </c>
      <c r="P42" s="12">
        <v>9.7644153817693399E-4</v>
      </c>
      <c r="Q42" s="12">
        <v>1.9419140661381001E-3</v>
      </c>
      <c r="R42" s="12">
        <v>0.21522177419354799</v>
      </c>
      <c r="S42" s="14">
        <v>30</v>
      </c>
      <c r="T42" s="12">
        <v>0.15798618681526599</v>
      </c>
      <c r="U42" s="14">
        <v>1133</v>
      </c>
      <c r="V42" s="14">
        <v>9</v>
      </c>
      <c r="W42" s="12">
        <v>6.3E-3</v>
      </c>
      <c r="X42" s="12">
        <v>0.16428618681526599</v>
      </c>
      <c r="Y42" s="14">
        <v>1133</v>
      </c>
      <c r="Z42" s="14">
        <v>29</v>
      </c>
      <c r="AA42" s="12" t="s">
        <v>2367</v>
      </c>
    </row>
    <row r="43" spans="1:27" ht="14.25" x14ac:dyDescent="0.45">
      <c r="A43" s="12" t="s">
        <v>811</v>
      </c>
      <c r="B43" s="12" t="s">
        <v>1971</v>
      </c>
      <c r="C43" s="12" t="s">
        <v>1972</v>
      </c>
      <c r="D43" s="12" t="s">
        <v>1974</v>
      </c>
      <c r="E43" s="20">
        <v>34064</v>
      </c>
      <c r="F43" s="20">
        <v>43917</v>
      </c>
      <c r="G43" s="12">
        <v>0.72</v>
      </c>
      <c r="H43" s="12">
        <v>21.466666666666701</v>
      </c>
      <c r="I43" s="13">
        <v>3.3540372670807499E-2</v>
      </c>
      <c r="J43" s="12" t="s">
        <v>811</v>
      </c>
      <c r="K43" s="14">
        <v>1646</v>
      </c>
      <c r="L43" s="14">
        <v>444</v>
      </c>
      <c r="M43" s="14">
        <v>1618</v>
      </c>
      <c r="N43" s="12">
        <v>0.72</v>
      </c>
      <c r="O43" s="12" t="s">
        <v>811</v>
      </c>
      <c r="P43" s="12">
        <v>1.15821731052289E-4</v>
      </c>
      <c r="Q43" s="12">
        <v>1.5272699982949901E-4</v>
      </c>
      <c r="R43" s="12">
        <v>0.32459677419354799</v>
      </c>
      <c r="S43" s="14">
        <v>29</v>
      </c>
      <c r="T43" s="12">
        <v>1.3888752403804499E-2</v>
      </c>
      <c r="U43" s="14">
        <v>1726</v>
      </c>
      <c r="V43" s="14">
        <v>2</v>
      </c>
      <c r="W43" s="12">
        <v>5.5999999999999999E-3</v>
      </c>
      <c r="X43" s="12">
        <v>1.9488752403804498E-2</v>
      </c>
      <c r="Y43" s="14">
        <v>1726</v>
      </c>
      <c r="Z43" s="14">
        <v>29</v>
      </c>
      <c r="AA43" s="12" t="s">
        <v>2367</v>
      </c>
    </row>
    <row r="44" spans="1:27" ht="14.25" x14ac:dyDescent="0.45">
      <c r="A44" s="12" t="s">
        <v>821</v>
      </c>
      <c r="B44" s="12" t="s">
        <v>1971</v>
      </c>
      <c r="C44" s="12" t="s">
        <v>1972</v>
      </c>
      <c r="D44" s="12" t="s">
        <v>1974</v>
      </c>
      <c r="E44" s="20">
        <v>34157</v>
      </c>
      <c r="F44" s="20">
        <v>44280</v>
      </c>
      <c r="G44" s="12">
        <v>7.16</v>
      </c>
      <c r="H44" s="12">
        <v>9.3666666666666707</v>
      </c>
      <c r="I44" s="13">
        <v>0.76441281138789996</v>
      </c>
      <c r="J44" s="12" t="s">
        <v>821</v>
      </c>
      <c r="K44" s="14">
        <v>901</v>
      </c>
      <c r="L44" s="14">
        <v>1063</v>
      </c>
      <c r="M44" s="14">
        <v>915</v>
      </c>
      <c r="N44" s="12">
        <v>7.16</v>
      </c>
      <c r="O44" s="12" t="s">
        <v>821</v>
      </c>
      <c r="P44" s="12">
        <v>1.15178276990887E-3</v>
      </c>
      <c r="Q44" s="12">
        <v>3.4807745417843598E-3</v>
      </c>
      <c r="R44" s="12">
        <v>0.141633064516129</v>
      </c>
      <c r="S44" s="14">
        <v>29</v>
      </c>
      <c r="T44" s="12">
        <v>0.26074026273310502</v>
      </c>
      <c r="U44" s="14">
        <v>956</v>
      </c>
      <c r="V44" s="14">
        <v>2</v>
      </c>
      <c r="W44" s="12">
        <v>5.5999999999999999E-3</v>
      </c>
      <c r="X44" s="12">
        <v>0.26634026273310502</v>
      </c>
      <c r="Y44" s="14">
        <v>956</v>
      </c>
      <c r="Z44" s="14">
        <v>29</v>
      </c>
      <c r="AA44" s="12" t="s">
        <v>2367</v>
      </c>
    </row>
    <row r="45" spans="1:27" ht="14.25" x14ac:dyDescent="0.45">
      <c r="A45" s="12" t="s">
        <v>835</v>
      </c>
      <c r="B45" s="12" t="s">
        <v>1971</v>
      </c>
      <c r="C45" s="12" t="s">
        <v>1972</v>
      </c>
      <c r="D45" s="12" t="s">
        <v>1974</v>
      </c>
      <c r="E45" s="20">
        <v>32256</v>
      </c>
      <c r="F45" s="20">
        <v>44280</v>
      </c>
      <c r="G45" s="12">
        <v>18.77</v>
      </c>
      <c r="H45" s="12">
        <v>9.3666666666666707</v>
      </c>
      <c r="I45" s="13">
        <v>2.0039145907473301</v>
      </c>
      <c r="J45" s="12" t="s">
        <v>835</v>
      </c>
      <c r="K45" s="14">
        <v>657</v>
      </c>
      <c r="L45" s="14">
        <v>1063</v>
      </c>
      <c r="M45" s="14">
        <v>731</v>
      </c>
      <c r="N45" s="12">
        <v>18.77</v>
      </c>
      <c r="O45" s="12" t="s">
        <v>835</v>
      </c>
      <c r="P45" s="12">
        <v>3.0194081831270299E-3</v>
      </c>
      <c r="Q45" s="12">
        <v>9.1248796297894504E-3</v>
      </c>
      <c r="R45" s="12">
        <v>0.141633064516129</v>
      </c>
      <c r="S45" s="14">
        <v>34</v>
      </c>
      <c r="T45" s="12">
        <v>0.68353278372910398</v>
      </c>
      <c r="U45" s="14">
        <v>723</v>
      </c>
      <c r="V45" s="14">
        <v>14</v>
      </c>
      <c r="W45" s="12">
        <v>6.7000000000000002E-3</v>
      </c>
      <c r="X45" s="12">
        <v>0.69023278372910402</v>
      </c>
      <c r="Y45" s="14">
        <v>723</v>
      </c>
      <c r="Z45" s="14">
        <v>34</v>
      </c>
      <c r="AA45" s="12" t="s">
        <v>2367</v>
      </c>
    </row>
    <row r="46" spans="1:27" ht="14.25" x14ac:dyDescent="0.45">
      <c r="A46" s="12" t="s">
        <v>848</v>
      </c>
      <c r="B46" s="12" t="s">
        <v>1971</v>
      </c>
      <c r="C46" s="12" t="s">
        <v>1972</v>
      </c>
      <c r="D46" s="12" t="s">
        <v>1974</v>
      </c>
      <c r="E46" s="20">
        <v>33598</v>
      </c>
      <c r="F46" s="20">
        <v>44301</v>
      </c>
      <c r="G46" s="12">
        <v>5.4</v>
      </c>
      <c r="H46" s="12">
        <v>8.6666666666666696</v>
      </c>
      <c r="I46" s="13">
        <v>0.62307692307692297</v>
      </c>
      <c r="J46" s="12" t="s">
        <v>848</v>
      </c>
      <c r="K46" s="14">
        <v>981</v>
      </c>
      <c r="L46" s="14">
        <v>1179</v>
      </c>
      <c r="M46" s="14">
        <v>1006</v>
      </c>
      <c r="N46" s="12">
        <v>5.4</v>
      </c>
      <c r="O46" s="12" t="s">
        <v>848</v>
      </c>
      <c r="P46" s="12">
        <v>8.6866298289216498E-4</v>
      </c>
      <c r="Q46" s="12">
        <v>2.83719772760184E-3</v>
      </c>
      <c r="R46" s="12">
        <v>0.13104838709677399</v>
      </c>
      <c r="S46" s="14">
        <v>31</v>
      </c>
      <c r="T46" s="12">
        <v>0.209899719833571</v>
      </c>
      <c r="U46" s="14">
        <v>1029</v>
      </c>
      <c r="V46" s="14">
        <v>2</v>
      </c>
      <c r="W46" s="12">
        <v>5.5999999999999999E-3</v>
      </c>
      <c r="X46" s="12">
        <v>0.215499719833571</v>
      </c>
      <c r="Y46" s="14">
        <v>1029</v>
      </c>
      <c r="Z46" s="14">
        <v>30</v>
      </c>
      <c r="AA46" s="12" t="s">
        <v>2367</v>
      </c>
    </row>
    <row r="47" spans="1:27" ht="14.25" x14ac:dyDescent="0.45">
      <c r="A47" s="12" t="s">
        <v>850</v>
      </c>
      <c r="B47" s="12" t="s">
        <v>1971</v>
      </c>
      <c r="C47" s="12" t="s">
        <v>1972</v>
      </c>
      <c r="D47" s="12" t="s">
        <v>1974</v>
      </c>
      <c r="E47" s="20">
        <v>34741</v>
      </c>
      <c r="F47" s="20">
        <v>44306</v>
      </c>
      <c r="G47" s="12">
        <v>2</v>
      </c>
      <c r="H47" s="12">
        <v>8.5</v>
      </c>
      <c r="I47" s="13">
        <v>0.23529411764705899</v>
      </c>
      <c r="J47" s="12" t="s">
        <v>850</v>
      </c>
      <c r="K47" s="14">
        <v>1301</v>
      </c>
      <c r="L47" s="14">
        <v>1204</v>
      </c>
      <c r="M47" s="14">
        <v>1359</v>
      </c>
      <c r="N47" s="12">
        <v>2</v>
      </c>
      <c r="O47" s="12" t="s">
        <v>850</v>
      </c>
      <c r="P47" s="12">
        <v>3.2172703070080199E-4</v>
      </c>
      <c r="Q47" s="12">
        <v>1.0714181687385301E-3</v>
      </c>
      <c r="R47" s="12">
        <v>0.12852822580645201</v>
      </c>
      <c r="S47" s="14">
        <v>27</v>
      </c>
      <c r="T47" s="12">
        <v>7.9028399197438301E-2</v>
      </c>
      <c r="U47" s="14">
        <v>1365</v>
      </c>
      <c r="V47" s="14">
        <v>1</v>
      </c>
      <c r="W47" s="12">
        <v>5.4999999999999997E-3</v>
      </c>
      <c r="X47" s="12">
        <v>8.4528399197438306E-2</v>
      </c>
      <c r="Y47" s="14">
        <v>1365</v>
      </c>
      <c r="Z47" s="14">
        <v>27</v>
      </c>
      <c r="AA47" s="12" t="s">
        <v>2367</v>
      </c>
    </row>
    <row r="48" spans="1:27" ht="14.25" x14ac:dyDescent="0.45">
      <c r="A48" s="12" t="s">
        <v>860</v>
      </c>
      <c r="B48" s="12" t="s">
        <v>1971</v>
      </c>
      <c r="C48" s="12" t="s">
        <v>1972</v>
      </c>
      <c r="D48" s="12" t="s">
        <v>1974</v>
      </c>
      <c r="E48" s="20">
        <v>33702</v>
      </c>
      <c r="F48" s="20">
        <v>44306</v>
      </c>
      <c r="G48" s="12">
        <v>2</v>
      </c>
      <c r="H48" s="12">
        <v>8.5</v>
      </c>
      <c r="I48" s="13">
        <v>0.23529411764705899</v>
      </c>
      <c r="J48" s="12" t="s">
        <v>860</v>
      </c>
      <c r="K48" s="14">
        <v>1301</v>
      </c>
      <c r="L48" s="14">
        <v>1204</v>
      </c>
      <c r="M48" s="14">
        <v>1359</v>
      </c>
      <c r="N48" s="12">
        <v>2</v>
      </c>
      <c r="O48" s="12" t="s">
        <v>860</v>
      </c>
      <c r="P48" s="12">
        <v>3.2172703070080199E-4</v>
      </c>
      <c r="Q48" s="12">
        <v>1.0714181687385301E-3</v>
      </c>
      <c r="R48" s="12">
        <v>0.12852822580645201</v>
      </c>
      <c r="S48" s="14">
        <v>30</v>
      </c>
      <c r="T48" s="12">
        <v>7.9028399197438301E-2</v>
      </c>
      <c r="U48" s="14">
        <v>1365</v>
      </c>
      <c r="V48" s="14">
        <v>1</v>
      </c>
      <c r="W48" s="12">
        <v>5.4999999999999997E-3</v>
      </c>
      <c r="X48" s="12">
        <v>8.4528399197438306E-2</v>
      </c>
      <c r="Y48" s="14">
        <v>1365</v>
      </c>
      <c r="Z48" s="14">
        <v>30</v>
      </c>
      <c r="AA48" s="12" t="s">
        <v>2367</v>
      </c>
    </row>
    <row r="49" spans="1:27" ht="14.25" x14ac:dyDescent="0.45">
      <c r="A49" s="12" t="s">
        <v>864</v>
      </c>
      <c r="B49" s="12" t="s">
        <v>1971</v>
      </c>
      <c r="C49" s="12" t="s">
        <v>1972</v>
      </c>
      <c r="D49" s="12" t="s">
        <v>1974</v>
      </c>
      <c r="E49" s="20">
        <v>33552</v>
      </c>
      <c r="F49" s="20">
        <v>44062</v>
      </c>
      <c r="G49" s="12">
        <v>40.61</v>
      </c>
      <c r="H49" s="12">
        <v>16.633333333333301</v>
      </c>
      <c r="I49" s="13">
        <v>2.44148296593186</v>
      </c>
      <c r="J49" s="12" t="s">
        <v>864</v>
      </c>
      <c r="K49" s="14">
        <v>597</v>
      </c>
      <c r="L49" s="14">
        <v>463</v>
      </c>
      <c r="M49" s="14">
        <v>516</v>
      </c>
      <c r="N49" s="12">
        <v>40.61</v>
      </c>
      <c r="O49" s="12" t="s">
        <v>864</v>
      </c>
      <c r="P49" s="12">
        <v>6.5326673583797797E-3</v>
      </c>
      <c r="Q49" s="12">
        <v>1.11173591355514E-2</v>
      </c>
      <c r="R49" s="12">
        <v>0.25151209677419401</v>
      </c>
      <c r="S49" s="14">
        <v>31</v>
      </c>
      <c r="T49" s="12">
        <v>0.93980997191120397</v>
      </c>
      <c r="U49" s="14">
        <v>582</v>
      </c>
      <c r="V49" s="14">
        <v>2</v>
      </c>
      <c r="W49" s="12">
        <v>5.5999999999999999E-3</v>
      </c>
      <c r="X49" s="12">
        <v>0.94540997191120402</v>
      </c>
      <c r="Y49" s="14">
        <v>582</v>
      </c>
      <c r="Z49" s="14">
        <v>30</v>
      </c>
      <c r="AA49" s="12" t="s">
        <v>2367</v>
      </c>
    </row>
    <row r="50" spans="1:27" ht="14.25" x14ac:dyDescent="0.45">
      <c r="A50" s="12" t="s">
        <v>875</v>
      </c>
      <c r="B50" s="12" t="s">
        <v>1971</v>
      </c>
      <c r="C50" s="12" t="s">
        <v>1972</v>
      </c>
      <c r="D50" s="12" t="s">
        <v>1974</v>
      </c>
      <c r="E50" s="20">
        <v>34392</v>
      </c>
      <c r="F50" s="20">
        <v>44287</v>
      </c>
      <c r="G50" s="12">
        <v>3.09</v>
      </c>
      <c r="H50" s="12">
        <v>9.1333333333333293</v>
      </c>
      <c r="I50" s="13">
        <v>0.33832116788321198</v>
      </c>
      <c r="J50" s="12" t="s">
        <v>875</v>
      </c>
      <c r="K50" s="14">
        <v>1198</v>
      </c>
      <c r="L50" s="14">
        <v>1119</v>
      </c>
      <c r="M50" s="14">
        <v>1213</v>
      </c>
      <c r="N50" s="12">
        <v>3.09</v>
      </c>
      <c r="O50" s="12" t="s">
        <v>875</v>
      </c>
      <c r="P50" s="12">
        <v>4.9706826243273898E-4</v>
      </c>
      <c r="Q50" s="12">
        <v>1.5405546460903799E-3</v>
      </c>
      <c r="R50" s="12">
        <v>0.13810483870967699</v>
      </c>
      <c r="S50" s="14">
        <v>28</v>
      </c>
      <c r="T50" s="12">
        <v>0.114924725221876</v>
      </c>
      <c r="U50" s="14">
        <v>1245</v>
      </c>
      <c r="V50" s="14">
        <v>2</v>
      </c>
      <c r="W50" s="12">
        <v>5.5999999999999999E-3</v>
      </c>
      <c r="X50" s="12">
        <v>0.120524725221876</v>
      </c>
      <c r="Y50" s="14">
        <v>1245</v>
      </c>
      <c r="Z50" s="14">
        <v>28</v>
      </c>
      <c r="AA50" s="12" t="s">
        <v>2367</v>
      </c>
    </row>
    <row r="51" spans="1:27" ht="14.25" x14ac:dyDescent="0.45">
      <c r="A51" s="12" t="s">
        <v>901</v>
      </c>
      <c r="B51" s="12" t="s">
        <v>1971</v>
      </c>
      <c r="C51" s="12" t="s">
        <v>1972</v>
      </c>
      <c r="D51" s="12" t="s">
        <v>1974</v>
      </c>
      <c r="E51" s="20">
        <v>34215</v>
      </c>
      <c r="F51" s="20">
        <v>44285</v>
      </c>
      <c r="G51" s="12">
        <v>2</v>
      </c>
      <c r="H51" s="12">
        <v>9.1999999999999993</v>
      </c>
      <c r="I51" s="13">
        <v>0.217391304347826</v>
      </c>
      <c r="J51" s="12" t="s">
        <v>901</v>
      </c>
      <c r="K51" s="14">
        <v>1324</v>
      </c>
      <c r="L51" s="14">
        <v>1105</v>
      </c>
      <c r="M51" s="14">
        <v>1359</v>
      </c>
      <c r="N51" s="12">
        <v>2</v>
      </c>
      <c r="O51" s="12" t="s">
        <v>901</v>
      </c>
      <c r="P51" s="12">
        <v>3.2172703070080199E-4</v>
      </c>
      <c r="Q51" s="12">
        <v>9.8989722111712201E-4</v>
      </c>
      <c r="R51" s="12">
        <v>0.13911290322580599</v>
      </c>
      <c r="S51" s="14">
        <v>29</v>
      </c>
      <c r="T51" s="12">
        <v>7.3933339971100201E-2</v>
      </c>
      <c r="U51" s="14">
        <v>1415</v>
      </c>
      <c r="V51" s="14">
        <v>1</v>
      </c>
      <c r="W51" s="12">
        <v>5.4999999999999997E-3</v>
      </c>
      <c r="X51" s="12">
        <v>7.9433339971100206E-2</v>
      </c>
      <c r="Y51" s="14">
        <v>1415</v>
      </c>
      <c r="Z51" s="14">
        <v>28</v>
      </c>
      <c r="AA51" s="12" t="s">
        <v>2367</v>
      </c>
    </row>
    <row r="52" spans="1:27" ht="14.25" x14ac:dyDescent="0.45">
      <c r="A52" s="12" t="s">
        <v>905</v>
      </c>
      <c r="B52" s="12" t="s">
        <v>1971</v>
      </c>
      <c r="C52" s="12" t="s">
        <v>1972</v>
      </c>
      <c r="D52" s="12" t="s">
        <v>1974</v>
      </c>
      <c r="E52" s="20">
        <v>35538</v>
      </c>
      <c r="F52" s="20">
        <v>44264</v>
      </c>
      <c r="G52" s="12">
        <v>7.0000000000000007E-2</v>
      </c>
      <c r="H52" s="12">
        <v>9.9</v>
      </c>
      <c r="I52" s="13">
        <v>7.0707070707070703E-3</v>
      </c>
      <c r="J52" s="12" t="s">
        <v>905</v>
      </c>
      <c r="K52" s="14">
        <v>1763</v>
      </c>
      <c r="L52" s="14">
        <v>969</v>
      </c>
      <c r="M52" s="14">
        <v>1859</v>
      </c>
      <c r="N52" s="12">
        <v>7.0000000000000007E-2</v>
      </c>
      <c r="O52" s="12" t="s">
        <v>905</v>
      </c>
      <c r="P52" s="12">
        <v>1.12604460745281E-5</v>
      </c>
      <c r="Q52" s="12">
        <v>3.2196657090880102E-5</v>
      </c>
      <c r="R52" s="12">
        <v>0.149697580645161</v>
      </c>
      <c r="S52" s="14">
        <v>25</v>
      </c>
      <c r="T52" s="12">
        <v>2.4345577959748099E-3</v>
      </c>
      <c r="U52" s="14">
        <v>1869</v>
      </c>
      <c r="V52" s="14">
        <v>1</v>
      </c>
      <c r="W52" s="12">
        <v>5.4999999999999997E-3</v>
      </c>
      <c r="X52" s="12">
        <v>7.9345577959748104E-3</v>
      </c>
      <c r="Y52" s="14">
        <v>1869</v>
      </c>
      <c r="Z52" s="14">
        <v>25</v>
      </c>
      <c r="AA52" s="12" t="s">
        <v>2367</v>
      </c>
    </row>
    <row r="53" spans="1:27" ht="14.25" x14ac:dyDescent="0.45">
      <c r="A53" s="12" t="s">
        <v>915</v>
      </c>
      <c r="B53" s="12" t="s">
        <v>1971</v>
      </c>
      <c r="C53" s="12" t="s">
        <v>1972</v>
      </c>
      <c r="D53" s="12" t="s">
        <v>1974</v>
      </c>
      <c r="E53" s="20">
        <v>32470</v>
      </c>
      <c r="F53" s="20">
        <v>44222</v>
      </c>
      <c r="G53" s="12">
        <v>36.07</v>
      </c>
      <c r="H53" s="12">
        <v>11.3</v>
      </c>
      <c r="I53" s="13">
        <v>3.19203539823009</v>
      </c>
      <c r="J53" s="12" t="s">
        <v>915</v>
      </c>
      <c r="K53" s="14">
        <v>543</v>
      </c>
      <c r="L53" s="14">
        <v>879</v>
      </c>
      <c r="M53" s="14">
        <v>540</v>
      </c>
      <c r="N53" s="12">
        <v>36.07</v>
      </c>
      <c r="O53" s="12" t="s">
        <v>915</v>
      </c>
      <c r="P53" s="12">
        <v>5.8023469986889604E-3</v>
      </c>
      <c r="Q53" s="12">
        <v>1.45350200639111E-2</v>
      </c>
      <c r="R53" s="12">
        <v>0.170866935483871</v>
      </c>
      <c r="S53" s="14">
        <v>34</v>
      </c>
      <c r="T53" s="12">
        <v>1.1260267664452801</v>
      </c>
      <c r="U53" s="14">
        <v>545</v>
      </c>
      <c r="V53" s="14">
        <v>2</v>
      </c>
      <c r="W53" s="12">
        <v>5.5999999999999999E-3</v>
      </c>
      <c r="X53" s="12">
        <v>1.1316267664452799</v>
      </c>
      <c r="Y53" s="14">
        <v>545</v>
      </c>
      <c r="Z53" s="14">
        <v>33</v>
      </c>
      <c r="AA53" s="12" t="s">
        <v>2367</v>
      </c>
    </row>
    <row r="54" spans="1:27" ht="14.25" x14ac:dyDescent="0.45">
      <c r="A54" s="12" t="s">
        <v>919</v>
      </c>
      <c r="B54" s="12" t="s">
        <v>1971</v>
      </c>
      <c r="C54" s="12" t="s">
        <v>1972</v>
      </c>
      <c r="D54" s="12" t="s">
        <v>1974</v>
      </c>
      <c r="E54" s="20">
        <v>34742</v>
      </c>
      <c r="F54" s="20">
        <v>44280</v>
      </c>
      <c r="G54" s="12">
        <v>2</v>
      </c>
      <c r="H54" s="12">
        <v>9.3666666666666707</v>
      </c>
      <c r="I54" s="13">
        <v>0.21352313167259801</v>
      </c>
      <c r="J54" s="12" t="s">
        <v>919</v>
      </c>
      <c r="K54" s="14">
        <v>1330</v>
      </c>
      <c r="L54" s="14">
        <v>1063</v>
      </c>
      <c r="M54" s="14">
        <v>1359</v>
      </c>
      <c r="N54" s="12">
        <v>2</v>
      </c>
      <c r="O54" s="12" t="s">
        <v>919</v>
      </c>
      <c r="P54" s="12">
        <v>3.2172703070080199E-4</v>
      </c>
      <c r="Q54" s="12">
        <v>9.7228339155987697E-4</v>
      </c>
      <c r="R54" s="12">
        <v>0.141633064516129</v>
      </c>
      <c r="S54" s="14">
        <v>27</v>
      </c>
      <c r="T54" s="12">
        <v>7.2832475623772402E-2</v>
      </c>
      <c r="U54" s="14">
        <v>1424</v>
      </c>
      <c r="V54" s="14">
        <v>1</v>
      </c>
      <c r="W54" s="12">
        <v>5.4999999999999997E-3</v>
      </c>
      <c r="X54" s="12">
        <v>7.8332475623772393E-2</v>
      </c>
      <c r="Y54" s="14">
        <v>1424</v>
      </c>
      <c r="Z54" s="14">
        <v>27</v>
      </c>
      <c r="AA54" s="12" t="s">
        <v>2367</v>
      </c>
    </row>
    <row r="55" spans="1:27" ht="14.25" x14ac:dyDescent="0.45">
      <c r="A55" s="12" t="s">
        <v>936</v>
      </c>
      <c r="B55" s="12" t="s">
        <v>1971</v>
      </c>
      <c r="C55" s="12" t="s">
        <v>1972</v>
      </c>
      <c r="D55" s="12" t="s">
        <v>1974</v>
      </c>
      <c r="E55" s="20">
        <v>32072</v>
      </c>
      <c r="F55" s="20">
        <v>44287</v>
      </c>
      <c r="G55" s="12">
        <v>2</v>
      </c>
      <c r="H55" s="12">
        <v>9.1333333333333293</v>
      </c>
      <c r="I55" s="13">
        <v>0.218978102189781</v>
      </c>
      <c r="J55" s="12" t="s">
        <v>936</v>
      </c>
      <c r="K55" s="14">
        <v>1320</v>
      </c>
      <c r="L55" s="14">
        <v>1119</v>
      </c>
      <c r="M55" s="14">
        <v>1359</v>
      </c>
      <c r="N55" s="12">
        <v>2</v>
      </c>
      <c r="O55" s="12" t="s">
        <v>936</v>
      </c>
      <c r="P55" s="12">
        <v>3.2172703070080199E-4</v>
      </c>
      <c r="Q55" s="12">
        <v>9.9712274827856002E-4</v>
      </c>
      <c r="R55" s="12">
        <v>0.13810483870967699</v>
      </c>
      <c r="S55" s="14">
        <v>35</v>
      </c>
      <c r="T55" s="12">
        <v>7.4384935418690096E-2</v>
      </c>
      <c r="U55" s="14">
        <v>1410</v>
      </c>
      <c r="V55" s="14">
        <v>1</v>
      </c>
      <c r="W55" s="12">
        <v>5.4999999999999997E-3</v>
      </c>
      <c r="X55" s="12">
        <v>7.9884935418690101E-2</v>
      </c>
      <c r="Y55" s="14">
        <v>1410</v>
      </c>
      <c r="Z55" s="14">
        <v>34</v>
      </c>
      <c r="AA55" s="12" t="s">
        <v>2367</v>
      </c>
    </row>
    <row r="56" spans="1:27" ht="14.25" x14ac:dyDescent="0.45">
      <c r="A56" s="12" t="s">
        <v>960</v>
      </c>
      <c r="B56" s="12" t="s">
        <v>1971</v>
      </c>
      <c r="C56" s="12" t="s">
        <v>1972</v>
      </c>
      <c r="D56" s="12" t="s">
        <v>1974</v>
      </c>
      <c r="E56" s="20">
        <v>33185</v>
      </c>
      <c r="F56" s="20">
        <v>44274</v>
      </c>
      <c r="G56" s="12">
        <v>2.14</v>
      </c>
      <c r="H56" s="12">
        <v>9.56666666666667</v>
      </c>
      <c r="I56" s="13">
        <v>0.223693379790941</v>
      </c>
      <c r="J56" s="12" t="s">
        <v>960</v>
      </c>
      <c r="K56" s="14">
        <v>1315</v>
      </c>
      <c r="L56" s="14">
        <v>1036</v>
      </c>
      <c r="M56" s="14">
        <v>1331</v>
      </c>
      <c r="N56" s="12">
        <v>2.14</v>
      </c>
      <c r="O56" s="12" t="s">
        <v>960</v>
      </c>
      <c r="P56" s="12">
        <v>3.44247922849858E-4</v>
      </c>
      <c r="Q56" s="12">
        <v>1.0185938931718101E-3</v>
      </c>
      <c r="R56" s="12">
        <v>0.14465725806451599</v>
      </c>
      <c r="S56" s="14">
        <v>32</v>
      </c>
      <c r="T56" s="12">
        <v>7.6571415430107495E-2</v>
      </c>
      <c r="U56" s="14">
        <v>1392</v>
      </c>
      <c r="V56" s="14">
        <v>2</v>
      </c>
      <c r="W56" s="12">
        <v>5.5999999999999999E-3</v>
      </c>
      <c r="X56" s="12">
        <v>8.2171415430107503E-2</v>
      </c>
      <c r="Y56" s="14">
        <v>1392</v>
      </c>
      <c r="Z56" s="14">
        <v>31</v>
      </c>
      <c r="AA56" s="12" t="s">
        <v>2367</v>
      </c>
    </row>
    <row r="57" spans="1:27" ht="14.25" x14ac:dyDescent="0.45">
      <c r="A57" s="12" t="s">
        <v>967</v>
      </c>
      <c r="B57" s="12" t="s">
        <v>1971</v>
      </c>
      <c r="C57" s="12" t="s">
        <v>1972</v>
      </c>
      <c r="D57" s="12" t="s">
        <v>1974</v>
      </c>
      <c r="E57" s="20">
        <v>33532</v>
      </c>
      <c r="F57" s="20">
        <v>43752</v>
      </c>
      <c r="G57" s="12">
        <v>37.01</v>
      </c>
      <c r="H57" s="12">
        <v>26.966666666666701</v>
      </c>
      <c r="I57" s="13">
        <v>1.3724351050679899</v>
      </c>
      <c r="J57" s="12" t="s">
        <v>967</v>
      </c>
      <c r="K57" s="14">
        <v>744</v>
      </c>
      <c r="L57" s="14">
        <v>325</v>
      </c>
      <c r="M57" s="14">
        <v>535</v>
      </c>
      <c r="N57" s="12">
        <v>37.01</v>
      </c>
      <c r="O57" s="12" t="s">
        <v>967</v>
      </c>
      <c r="P57" s="12">
        <v>5.9535587031183399E-3</v>
      </c>
      <c r="Q57" s="12">
        <v>6.24942060468376E-3</v>
      </c>
      <c r="R57" s="12">
        <v>0.40776209677419401</v>
      </c>
      <c r="S57" s="14">
        <v>31</v>
      </c>
      <c r="T57" s="12">
        <v>0.61384723915967299</v>
      </c>
      <c r="U57" s="14">
        <v>746</v>
      </c>
      <c r="V57" s="14">
        <v>6</v>
      </c>
      <c r="W57" s="12">
        <v>6.0000000000000001E-3</v>
      </c>
      <c r="X57" s="12">
        <v>0.61984723915967299</v>
      </c>
      <c r="Y57" s="14">
        <v>746</v>
      </c>
      <c r="Z57" s="14">
        <v>30</v>
      </c>
      <c r="AA57" s="12" t="s">
        <v>2367</v>
      </c>
    </row>
    <row r="58" spans="1:27" ht="14.25" x14ac:dyDescent="0.45">
      <c r="A58" s="12" t="s">
        <v>976</v>
      </c>
      <c r="B58" s="12" t="s">
        <v>1971</v>
      </c>
      <c r="C58" s="12" t="s">
        <v>1972</v>
      </c>
      <c r="D58" s="12" t="s">
        <v>1974</v>
      </c>
      <c r="E58" s="20">
        <v>34551</v>
      </c>
      <c r="F58" s="20">
        <v>44280</v>
      </c>
      <c r="G58" s="12">
        <v>13.53</v>
      </c>
      <c r="H58" s="12">
        <v>9.3666666666666707</v>
      </c>
      <c r="I58" s="13">
        <v>1.4444839857651199</v>
      </c>
      <c r="J58" s="12" t="s">
        <v>976</v>
      </c>
      <c r="K58" s="14">
        <v>737</v>
      </c>
      <c r="L58" s="14">
        <v>1063</v>
      </c>
      <c r="M58" s="14">
        <v>783</v>
      </c>
      <c r="N58" s="12">
        <v>13.53</v>
      </c>
      <c r="O58" s="12" t="s">
        <v>976</v>
      </c>
      <c r="P58" s="12">
        <v>2.1764833626909202E-3</v>
      </c>
      <c r="Q58" s="12">
        <v>6.5774971439025703E-3</v>
      </c>
      <c r="R58" s="12">
        <v>0.141633064516129</v>
      </c>
      <c r="S58" s="14">
        <v>28</v>
      </c>
      <c r="T58" s="12">
        <v>0.49271169759481998</v>
      </c>
      <c r="U58" s="14">
        <v>786</v>
      </c>
      <c r="V58" s="14">
        <v>2</v>
      </c>
      <c r="W58" s="12">
        <v>5.5999999999999999E-3</v>
      </c>
      <c r="X58" s="12">
        <v>0.49831169759482002</v>
      </c>
      <c r="Y58" s="14">
        <v>786</v>
      </c>
      <c r="Z58" s="14">
        <v>27</v>
      </c>
      <c r="AA58" s="12" t="s">
        <v>2367</v>
      </c>
    </row>
    <row r="59" spans="1:27" ht="14.25" x14ac:dyDescent="0.45">
      <c r="A59" s="12" t="s">
        <v>990</v>
      </c>
      <c r="B59" s="12" t="s">
        <v>1971</v>
      </c>
      <c r="C59" s="12" t="s">
        <v>1972</v>
      </c>
      <c r="D59" s="12" t="s">
        <v>1974</v>
      </c>
      <c r="E59" s="20">
        <v>34046</v>
      </c>
      <c r="F59" s="20">
        <v>44280</v>
      </c>
      <c r="G59" s="12">
        <v>0.08</v>
      </c>
      <c r="H59" s="12">
        <v>9.3666666666666707</v>
      </c>
      <c r="I59" s="13">
        <v>8.5409252669039204E-3</v>
      </c>
      <c r="J59" s="12" t="s">
        <v>990</v>
      </c>
      <c r="K59" s="14">
        <v>1755</v>
      </c>
      <c r="L59" s="14">
        <v>1063</v>
      </c>
      <c r="M59" s="14">
        <v>1849</v>
      </c>
      <c r="N59" s="12">
        <v>0.08</v>
      </c>
      <c r="O59" s="12" t="s">
        <v>990</v>
      </c>
      <c r="P59" s="12">
        <v>1.2869081228032099E-5</v>
      </c>
      <c r="Q59" s="12">
        <v>3.88913356623951E-5</v>
      </c>
      <c r="R59" s="12">
        <v>0.141633064516129</v>
      </c>
      <c r="S59" s="14">
        <v>29</v>
      </c>
      <c r="T59" s="12">
        <v>2.9132990249509001E-3</v>
      </c>
      <c r="U59" s="14">
        <v>1859</v>
      </c>
      <c r="V59" s="14">
        <v>1</v>
      </c>
      <c r="W59" s="12">
        <v>5.4999999999999997E-3</v>
      </c>
      <c r="X59" s="12">
        <v>8.4132990249508998E-3</v>
      </c>
      <c r="Y59" s="14">
        <v>1860</v>
      </c>
      <c r="Z59" s="14">
        <v>29</v>
      </c>
      <c r="AA59" s="12" t="s">
        <v>2367</v>
      </c>
    </row>
    <row r="60" spans="1:27" ht="14.25" x14ac:dyDescent="0.45">
      <c r="A60" s="12" t="s">
        <v>999</v>
      </c>
      <c r="B60" s="12" t="s">
        <v>1971</v>
      </c>
      <c r="C60" s="12" t="s">
        <v>1972</v>
      </c>
      <c r="D60" s="12" t="s">
        <v>1974</v>
      </c>
      <c r="E60" s="20">
        <v>34661</v>
      </c>
      <c r="F60" s="20">
        <v>44334</v>
      </c>
      <c r="G60" s="12">
        <v>2.08</v>
      </c>
      <c r="H60" s="12">
        <v>7.56666666666667</v>
      </c>
      <c r="I60" s="13">
        <v>0.27488986784141001</v>
      </c>
      <c r="J60" s="12" t="s">
        <v>999</v>
      </c>
      <c r="K60" s="14">
        <v>1246</v>
      </c>
      <c r="L60" s="14">
        <v>1269</v>
      </c>
      <c r="M60" s="14">
        <v>1347</v>
      </c>
      <c r="N60" s="12">
        <v>2.08</v>
      </c>
      <c r="O60" s="12" t="s">
        <v>999</v>
      </c>
      <c r="P60" s="12">
        <v>3.3459611192883398E-4</v>
      </c>
      <c r="Q60" s="12">
        <v>1.25171849493154E-3</v>
      </c>
      <c r="R60" s="12">
        <v>0.114415322580645</v>
      </c>
      <c r="S60" s="14">
        <v>28</v>
      </c>
      <c r="T60" s="12">
        <v>9.0779760130552195E-2</v>
      </c>
      <c r="U60" s="14">
        <v>1315</v>
      </c>
      <c r="V60" s="14">
        <v>4</v>
      </c>
      <c r="W60" s="12">
        <v>5.7999999999999996E-3</v>
      </c>
      <c r="X60" s="12">
        <v>9.6579760130552195E-2</v>
      </c>
      <c r="Y60" s="14">
        <v>1313</v>
      </c>
      <c r="Z60" s="14">
        <v>27</v>
      </c>
      <c r="AA60" s="12" t="s">
        <v>2367</v>
      </c>
    </row>
    <row r="61" spans="1:27" ht="14.25" x14ac:dyDescent="0.45">
      <c r="A61" s="12" t="s">
        <v>1031</v>
      </c>
      <c r="B61" s="12" t="s">
        <v>1971</v>
      </c>
      <c r="C61" s="12" t="s">
        <v>1972</v>
      </c>
      <c r="D61" s="12" t="s">
        <v>1974</v>
      </c>
      <c r="E61" s="20">
        <v>33498</v>
      </c>
      <c r="F61" s="20">
        <v>44326</v>
      </c>
      <c r="G61" s="12">
        <v>799.3</v>
      </c>
      <c r="H61" s="12">
        <v>7.8333333333333304</v>
      </c>
      <c r="I61" s="13">
        <v>102.03829787234</v>
      </c>
      <c r="J61" s="12" t="s">
        <v>1031</v>
      </c>
      <c r="K61" s="14">
        <v>14</v>
      </c>
      <c r="L61" s="14">
        <v>1244</v>
      </c>
      <c r="M61" s="14">
        <v>73</v>
      </c>
      <c r="N61" s="12">
        <v>799.3</v>
      </c>
      <c r="O61" s="12" t="s">
        <v>1031</v>
      </c>
      <c r="P61" s="12">
        <v>0.12857820781957499</v>
      </c>
      <c r="Q61" s="12">
        <v>0.46463416655221401</v>
      </c>
      <c r="R61" s="12">
        <v>0.118447580645161</v>
      </c>
      <c r="S61" s="14">
        <v>31</v>
      </c>
      <c r="T61" s="12">
        <v>33.861318202747398</v>
      </c>
      <c r="U61" s="14">
        <v>23</v>
      </c>
      <c r="V61" s="14">
        <v>5</v>
      </c>
      <c r="W61" s="12">
        <v>5.8999999999999999E-3</v>
      </c>
      <c r="X61" s="12">
        <v>33.867218202747402</v>
      </c>
      <c r="Y61" s="14">
        <v>23</v>
      </c>
      <c r="Z61" s="14">
        <v>30</v>
      </c>
      <c r="AA61" s="12" t="s">
        <v>2367</v>
      </c>
    </row>
    <row r="62" spans="1:27" ht="14.25" x14ac:dyDescent="0.45">
      <c r="A62" s="12" t="s">
        <v>1078</v>
      </c>
      <c r="B62" s="12" t="s">
        <v>1971</v>
      </c>
      <c r="C62" s="12" t="s">
        <v>1972</v>
      </c>
      <c r="D62" s="12" t="s">
        <v>1974</v>
      </c>
      <c r="E62" s="20">
        <v>32506</v>
      </c>
      <c r="F62" s="20">
        <v>44278</v>
      </c>
      <c r="G62" s="12">
        <v>11.26</v>
      </c>
      <c r="H62" s="12">
        <v>9.43333333333333</v>
      </c>
      <c r="I62" s="13">
        <v>1.19363957597173</v>
      </c>
      <c r="J62" s="12" t="s">
        <v>1078</v>
      </c>
      <c r="K62" s="14">
        <v>769</v>
      </c>
      <c r="L62" s="14">
        <v>1048</v>
      </c>
      <c r="M62" s="14">
        <v>823</v>
      </c>
      <c r="N62" s="12">
        <v>11.26</v>
      </c>
      <c r="O62" s="12" t="s">
        <v>1078</v>
      </c>
      <c r="P62" s="12">
        <v>1.8113231828455101E-3</v>
      </c>
      <c r="Q62" s="12">
        <v>5.4352702966412496E-3</v>
      </c>
      <c r="R62" s="12">
        <v>0.14264112903225801</v>
      </c>
      <c r="S62" s="14">
        <v>34</v>
      </c>
      <c r="T62" s="12">
        <v>0.40762901289678499</v>
      </c>
      <c r="U62" s="14">
        <v>820</v>
      </c>
      <c r="V62" s="14">
        <v>4</v>
      </c>
      <c r="W62" s="12">
        <v>5.7999999999999996E-3</v>
      </c>
      <c r="X62" s="12">
        <v>0.41342901289678502</v>
      </c>
      <c r="Y62" s="14">
        <v>820</v>
      </c>
      <c r="Z62" s="14">
        <v>33</v>
      </c>
      <c r="AA62" s="12" t="s">
        <v>2367</v>
      </c>
    </row>
    <row r="63" spans="1:27" ht="14.25" x14ac:dyDescent="0.45">
      <c r="A63" s="12" t="s">
        <v>1091</v>
      </c>
      <c r="B63" s="12" t="s">
        <v>1971</v>
      </c>
      <c r="C63" s="12" t="s">
        <v>1972</v>
      </c>
      <c r="D63" s="12" t="s">
        <v>1974</v>
      </c>
      <c r="E63" s="20">
        <v>32115</v>
      </c>
      <c r="F63" s="20">
        <v>44301</v>
      </c>
      <c r="G63" s="12">
        <v>0.89</v>
      </c>
      <c r="H63" s="12">
        <v>8.6666666666666696</v>
      </c>
      <c r="I63" s="13">
        <v>0.102692307692308</v>
      </c>
      <c r="J63" s="12" t="s">
        <v>1091</v>
      </c>
      <c r="K63" s="14">
        <v>1486</v>
      </c>
      <c r="L63" s="14">
        <v>1179</v>
      </c>
      <c r="M63" s="14">
        <v>1581</v>
      </c>
      <c r="N63" s="12">
        <v>0.89</v>
      </c>
      <c r="O63" s="12" t="s">
        <v>1091</v>
      </c>
      <c r="P63" s="12">
        <v>1.4316852866185699E-4</v>
      </c>
      <c r="Q63" s="12">
        <v>4.6761221806771098E-4</v>
      </c>
      <c r="R63" s="12">
        <v>0.13104838709677399</v>
      </c>
      <c r="S63" s="14">
        <v>35</v>
      </c>
      <c r="T63" s="12">
        <v>3.45945834540516E-2</v>
      </c>
      <c r="U63" s="14">
        <v>1590</v>
      </c>
      <c r="V63" s="14">
        <v>1</v>
      </c>
      <c r="W63" s="12">
        <v>5.4999999999999997E-3</v>
      </c>
      <c r="X63" s="12">
        <v>4.0094583454051598E-2</v>
      </c>
      <c r="Y63" s="14">
        <v>1590</v>
      </c>
      <c r="Z63" s="14">
        <v>34</v>
      </c>
      <c r="AA63" s="12" t="s">
        <v>2367</v>
      </c>
    </row>
    <row r="64" spans="1:27" ht="14.25" x14ac:dyDescent="0.45">
      <c r="A64" s="12" t="s">
        <v>1105</v>
      </c>
      <c r="B64" s="12" t="s">
        <v>1971</v>
      </c>
      <c r="C64" s="12" t="s">
        <v>1972</v>
      </c>
      <c r="D64" s="12" t="s">
        <v>1974</v>
      </c>
      <c r="E64" s="20">
        <v>34947</v>
      </c>
      <c r="F64" s="20">
        <v>44336</v>
      </c>
      <c r="G64" s="12">
        <v>5.48</v>
      </c>
      <c r="H64" s="12">
        <v>7.5</v>
      </c>
      <c r="I64" s="13">
        <v>0.73066666666666702</v>
      </c>
      <c r="J64" s="12" t="s">
        <v>1105</v>
      </c>
      <c r="K64" s="14">
        <v>920</v>
      </c>
      <c r="L64" s="14">
        <v>1377</v>
      </c>
      <c r="M64" s="14">
        <v>1001</v>
      </c>
      <c r="N64" s="12">
        <v>5.48</v>
      </c>
      <c r="O64" s="12" t="s">
        <v>1105</v>
      </c>
      <c r="P64" s="12">
        <v>8.8153206412019697E-4</v>
      </c>
      <c r="Q64" s="12">
        <v>3.32711055332272E-3</v>
      </c>
      <c r="R64" s="12">
        <v>0.113407258064516</v>
      </c>
      <c r="S64" s="14">
        <v>27</v>
      </c>
      <c r="T64" s="12">
        <v>0.24100186198717699</v>
      </c>
      <c r="U64" s="14">
        <v>981</v>
      </c>
      <c r="V64" s="14">
        <v>2</v>
      </c>
      <c r="W64" s="12">
        <v>5.5999999999999999E-3</v>
      </c>
      <c r="X64" s="12">
        <v>0.24660186198717701</v>
      </c>
      <c r="Y64" s="14">
        <v>981</v>
      </c>
      <c r="Z64" s="14">
        <v>26</v>
      </c>
      <c r="AA64" s="12" t="s">
        <v>2367</v>
      </c>
    </row>
    <row r="65" spans="1:27" ht="14.25" x14ac:dyDescent="0.45">
      <c r="A65" s="12" t="s">
        <v>1137</v>
      </c>
      <c r="B65" s="12" t="s">
        <v>1971</v>
      </c>
      <c r="C65" s="12" t="s">
        <v>1972</v>
      </c>
      <c r="D65" s="12" t="s">
        <v>1974</v>
      </c>
      <c r="E65" s="20">
        <v>32908</v>
      </c>
      <c r="F65" s="20">
        <v>44334</v>
      </c>
      <c r="G65" s="12">
        <v>0.22</v>
      </c>
      <c r="H65" s="12">
        <v>7.56666666666667</v>
      </c>
      <c r="I65" s="13">
        <v>2.9074889867841399E-2</v>
      </c>
      <c r="J65" s="12" t="s">
        <v>1137</v>
      </c>
      <c r="K65" s="14">
        <v>1659</v>
      </c>
      <c r="L65" s="14">
        <v>1269</v>
      </c>
      <c r="M65" s="14">
        <v>1775</v>
      </c>
      <c r="N65" s="12">
        <v>0.22</v>
      </c>
      <c r="O65" s="12" t="s">
        <v>1137</v>
      </c>
      <c r="P65" s="12">
        <v>3.5389973377088197E-5</v>
      </c>
      <c r="Q65" s="12">
        <v>1.3239330234852799E-4</v>
      </c>
      <c r="R65" s="12">
        <v>0.114415322580645</v>
      </c>
      <c r="S65" s="14">
        <v>32</v>
      </c>
      <c r="T65" s="12">
        <v>9.6017053984237908E-3</v>
      </c>
      <c r="U65" s="14">
        <v>1764</v>
      </c>
      <c r="V65" s="14">
        <v>1</v>
      </c>
      <c r="W65" s="12">
        <v>5.4999999999999997E-3</v>
      </c>
      <c r="X65" s="12">
        <v>1.5101705398423799E-2</v>
      </c>
      <c r="Y65" s="14">
        <v>1764</v>
      </c>
      <c r="Z65" s="14">
        <v>32</v>
      </c>
      <c r="AA65" s="12" t="s">
        <v>2367</v>
      </c>
    </row>
    <row r="66" spans="1:27" ht="14.25" x14ac:dyDescent="0.45">
      <c r="A66" s="12" t="s">
        <v>1138</v>
      </c>
      <c r="B66" s="12" t="s">
        <v>1971</v>
      </c>
      <c r="C66" s="12" t="s">
        <v>1972</v>
      </c>
      <c r="D66" s="12" t="s">
        <v>1974</v>
      </c>
      <c r="E66" s="20">
        <v>33676</v>
      </c>
      <c r="F66" s="20">
        <v>44290</v>
      </c>
      <c r="G66" s="12">
        <v>14.89</v>
      </c>
      <c r="H66" s="12">
        <v>9.0333333333333297</v>
      </c>
      <c r="I66" s="13">
        <v>1.6483394833948299</v>
      </c>
      <c r="J66" s="12" t="s">
        <v>1138</v>
      </c>
      <c r="K66" s="14">
        <v>712</v>
      </c>
      <c r="L66" s="14">
        <v>1133</v>
      </c>
      <c r="M66" s="14">
        <v>768</v>
      </c>
      <c r="N66" s="12">
        <v>14.89</v>
      </c>
      <c r="O66" s="12" t="s">
        <v>1138</v>
      </c>
      <c r="P66" s="12">
        <v>2.3952577435674702E-3</v>
      </c>
      <c r="Q66" s="12">
        <v>7.5057587007228196E-3</v>
      </c>
      <c r="R66" s="12">
        <v>0.13659274193548401</v>
      </c>
      <c r="S66" s="14">
        <v>30</v>
      </c>
      <c r="T66" s="12">
        <v>0.55893208417895601</v>
      </c>
      <c r="U66" s="14">
        <v>764</v>
      </c>
      <c r="V66" s="14">
        <v>1</v>
      </c>
      <c r="W66" s="12">
        <v>5.4999999999999997E-3</v>
      </c>
      <c r="X66" s="12">
        <v>0.56443208417895596</v>
      </c>
      <c r="Y66" s="14">
        <v>764</v>
      </c>
      <c r="Z66" s="14">
        <v>30</v>
      </c>
      <c r="AA66" s="12" t="s">
        <v>2367</v>
      </c>
    </row>
    <row r="67" spans="1:27" ht="14.25" x14ac:dyDescent="0.45">
      <c r="A67" s="12" t="s">
        <v>1153</v>
      </c>
      <c r="B67" s="12" t="s">
        <v>1971</v>
      </c>
      <c r="C67" s="12" t="s">
        <v>1972</v>
      </c>
      <c r="D67" s="12" t="s">
        <v>1974</v>
      </c>
      <c r="E67" s="20">
        <v>32111</v>
      </c>
      <c r="F67" s="20">
        <v>44280</v>
      </c>
      <c r="G67" s="12">
        <v>0.02</v>
      </c>
      <c r="H67" s="12">
        <v>9.3666666666666707</v>
      </c>
      <c r="I67" s="13">
        <v>2.1352313167259801E-3</v>
      </c>
      <c r="J67" s="12" t="s">
        <v>1153</v>
      </c>
      <c r="K67" s="14">
        <v>1809</v>
      </c>
      <c r="L67" s="14">
        <v>1063</v>
      </c>
      <c r="M67" s="14">
        <v>1922</v>
      </c>
      <c r="N67" s="12">
        <v>0.02</v>
      </c>
      <c r="O67" s="12" t="s">
        <v>1153</v>
      </c>
      <c r="P67" s="12">
        <v>3.2172703070080202E-6</v>
      </c>
      <c r="Q67" s="12">
        <v>9.7228339155987699E-6</v>
      </c>
      <c r="R67" s="12">
        <v>0.141633064516129</v>
      </c>
      <c r="S67" s="14">
        <v>35</v>
      </c>
      <c r="T67" s="12">
        <v>7.2832475623772395E-4</v>
      </c>
      <c r="U67" s="14">
        <v>1927</v>
      </c>
      <c r="V67" s="14">
        <v>1</v>
      </c>
      <c r="W67" s="12">
        <v>5.4999999999999997E-3</v>
      </c>
      <c r="X67" s="12">
        <v>6.2283247562377204E-3</v>
      </c>
      <c r="Y67" s="14">
        <v>1927</v>
      </c>
      <c r="Z67" s="14">
        <v>34</v>
      </c>
      <c r="AA67" s="12" t="s">
        <v>2367</v>
      </c>
    </row>
    <row r="68" spans="1:27" ht="14.25" x14ac:dyDescent="0.45">
      <c r="A68" s="12" t="s">
        <v>1192</v>
      </c>
      <c r="B68" s="12" t="s">
        <v>1971</v>
      </c>
      <c r="C68" s="12" t="s">
        <v>1972</v>
      </c>
      <c r="D68" s="12" t="s">
        <v>1974</v>
      </c>
      <c r="E68" s="20">
        <v>33555</v>
      </c>
      <c r="F68" s="20">
        <v>44372</v>
      </c>
      <c r="G68" s="12">
        <v>1.83</v>
      </c>
      <c r="H68" s="12">
        <v>6.3</v>
      </c>
      <c r="I68" s="13">
        <v>0.29047619047619</v>
      </c>
      <c r="J68" s="12" t="s">
        <v>1192</v>
      </c>
      <c r="K68" s="14">
        <v>1233</v>
      </c>
      <c r="L68" s="14">
        <v>1606</v>
      </c>
      <c r="M68" s="14">
        <v>1436</v>
      </c>
      <c r="N68" s="12">
        <v>1.83</v>
      </c>
      <c r="O68" s="12" t="s">
        <v>1192</v>
      </c>
      <c r="P68" s="12">
        <v>2.9438023309123399E-4</v>
      </c>
      <c r="Q68" s="12">
        <v>1.32269123926412E-3</v>
      </c>
      <c r="R68" s="12">
        <v>9.5262096774193505E-2</v>
      </c>
      <c r="S68" s="14">
        <v>31</v>
      </c>
      <c r="T68" s="12">
        <v>9.3707461194928496E-2</v>
      </c>
      <c r="U68" s="14">
        <v>1307</v>
      </c>
      <c r="V68" s="14">
        <v>2</v>
      </c>
      <c r="W68" s="12">
        <v>5.5999999999999999E-3</v>
      </c>
      <c r="X68" s="12">
        <v>9.9307461194928504E-2</v>
      </c>
      <c r="Y68" s="14">
        <v>1307</v>
      </c>
      <c r="Z68" s="14">
        <v>30</v>
      </c>
      <c r="AA68" s="12" t="s">
        <v>2367</v>
      </c>
    </row>
    <row r="69" spans="1:27" ht="14.25" x14ac:dyDescent="0.45">
      <c r="A69" s="12" t="s">
        <v>1198</v>
      </c>
      <c r="B69" s="12" t="s">
        <v>1971</v>
      </c>
      <c r="C69" s="12" t="s">
        <v>1972</v>
      </c>
      <c r="D69" s="12" t="s">
        <v>1974</v>
      </c>
      <c r="E69" s="20">
        <v>33323</v>
      </c>
      <c r="F69" s="20">
        <v>44371</v>
      </c>
      <c r="G69" s="12">
        <v>1.94</v>
      </c>
      <c r="H69" s="12">
        <v>6.3333333333333304</v>
      </c>
      <c r="I69" s="13">
        <v>0.30631578947368399</v>
      </c>
      <c r="J69" s="12" t="s">
        <v>1198</v>
      </c>
      <c r="K69" s="14">
        <v>1221</v>
      </c>
      <c r="L69" s="14">
        <v>1557</v>
      </c>
      <c r="M69" s="14">
        <v>1425</v>
      </c>
      <c r="N69" s="12">
        <v>1.94</v>
      </c>
      <c r="O69" s="12" t="s">
        <v>1198</v>
      </c>
      <c r="P69" s="12">
        <v>3.1207521977977802E-4</v>
      </c>
      <c r="Q69" s="12">
        <v>1.3948172844077699E-3</v>
      </c>
      <c r="R69" s="12">
        <v>9.5766129032257993E-2</v>
      </c>
      <c r="S69" s="14">
        <v>31</v>
      </c>
      <c r="T69" s="12">
        <v>9.88789010172271E-2</v>
      </c>
      <c r="U69" s="14">
        <v>1293</v>
      </c>
      <c r="V69" s="14">
        <v>1</v>
      </c>
      <c r="W69" s="12">
        <v>5.4999999999999997E-3</v>
      </c>
      <c r="X69" s="12">
        <v>0.10437890101722699</v>
      </c>
      <c r="Y69" s="14">
        <v>1293</v>
      </c>
      <c r="Z69" s="14">
        <v>31</v>
      </c>
      <c r="AA69" s="12" t="s">
        <v>2367</v>
      </c>
    </row>
    <row r="70" spans="1:27" ht="14.25" x14ac:dyDescent="0.45">
      <c r="A70" s="12" t="s">
        <v>1207</v>
      </c>
      <c r="B70" s="12" t="s">
        <v>1971</v>
      </c>
      <c r="C70" s="12" t="s">
        <v>1972</v>
      </c>
      <c r="D70" s="12" t="s">
        <v>1974</v>
      </c>
      <c r="E70" s="20">
        <v>33243</v>
      </c>
      <c r="F70" s="20">
        <v>44328</v>
      </c>
      <c r="G70" s="12">
        <v>0.01</v>
      </c>
      <c r="H70" s="12">
        <v>7.7666666666666702</v>
      </c>
      <c r="I70" s="13">
        <v>1.28755364806867E-3</v>
      </c>
      <c r="J70" s="12" t="s">
        <v>1207</v>
      </c>
      <c r="K70" s="14">
        <v>1823</v>
      </c>
      <c r="L70" s="14">
        <v>1260</v>
      </c>
      <c r="M70" s="14">
        <v>1944</v>
      </c>
      <c r="N70" s="12">
        <v>0.01</v>
      </c>
      <c r="O70" s="12" t="s">
        <v>1207</v>
      </c>
      <c r="P70" s="12">
        <v>1.6086351535040101E-6</v>
      </c>
      <c r="Q70" s="12">
        <v>5.8629105800069898E-6</v>
      </c>
      <c r="R70" s="12">
        <v>0.117439516129032</v>
      </c>
      <c r="S70" s="14">
        <v>31</v>
      </c>
      <c r="T70" s="12">
        <v>4.2675572950683701E-4</v>
      </c>
      <c r="U70" s="14">
        <v>1942</v>
      </c>
      <c r="V70" s="14">
        <v>1</v>
      </c>
      <c r="W70" s="12">
        <v>5.4999999999999997E-3</v>
      </c>
      <c r="X70" s="12">
        <v>5.92675572950684E-3</v>
      </c>
      <c r="Y70" s="14">
        <v>1944</v>
      </c>
      <c r="Z70" s="14">
        <v>31</v>
      </c>
      <c r="AA70" s="12" t="s">
        <v>2367</v>
      </c>
    </row>
    <row r="71" spans="1:27" ht="14.25" x14ac:dyDescent="0.45">
      <c r="A71" s="12" t="s">
        <v>1216</v>
      </c>
      <c r="B71" s="12" t="s">
        <v>1971</v>
      </c>
      <c r="C71" s="12" t="s">
        <v>1972</v>
      </c>
      <c r="D71" s="12" t="s">
        <v>1974</v>
      </c>
      <c r="E71" s="20">
        <v>35376</v>
      </c>
      <c r="F71" s="20">
        <v>44370</v>
      </c>
      <c r="G71" s="12">
        <v>47.69</v>
      </c>
      <c r="H71" s="12">
        <v>6.3666666666666698</v>
      </c>
      <c r="I71" s="13">
        <v>7.4905759162303696</v>
      </c>
      <c r="J71" s="12" t="s">
        <v>1216</v>
      </c>
      <c r="K71" s="14">
        <v>365</v>
      </c>
      <c r="L71" s="14">
        <v>1504</v>
      </c>
      <c r="M71" s="14">
        <v>491</v>
      </c>
      <c r="N71" s="12">
        <v>47.69</v>
      </c>
      <c r="O71" s="12" t="s">
        <v>1216</v>
      </c>
      <c r="P71" s="12">
        <v>7.6715810470606204E-3</v>
      </c>
      <c r="Q71" s="12">
        <v>3.4108541306599099E-2</v>
      </c>
      <c r="R71" s="12">
        <v>9.6270161290322606E-2</v>
      </c>
      <c r="S71" s="14">
        <v>26</v>
      </c>
      <c r="T71" s="12">
        <v>2.4194681209272102</v>
      </c>
      <c r="U71" s="14">
        <v>405</v>
      </c>
      <c r="V71" s="14">
        <v>3</v>
      </c>
      <c r="W71" s="12">
        <v>5.7000000000000002E-3</v>
      </c>
      <c r="X71" s="12">
        <v>2.4251681209272098</v>
      </c>
      <c r="Y71" s="14">
        <v>405</v>
      </c>
      <c r="Z71" s="14">
        <v>25</v>
      </c>
      <c r="AA71" s="12" t="s">
        <v>2367</v>
      </c>
    </row>
    <row r="72" spans="1:27" ht="14.25" x14ac:dyDescent="0.45">
      <c r="A72" s="12" t="s">
        <v>1228</v>
      </c>
      <c r="B72" s="12" t="s">
        <v>1971</v>
      </c>
      <c r="C72" s="12" t="s">
        <v>1972</v>
      </c>
      <c r="D72" s="12" t="s">
        <v>1974</v>
      </c>
      <c r="E72" s="20">
        <v>33915</v>
      </c>
      <c r="F72" s="20">
        <v>44334</v>
      </c>
      <c r="G72" s="12">
        <v>0.53</v>
      </c>
      <c r="H72" s="12">
        <v>7.56666666666667</v>
      </c>
      <c r="I72" s="13">
        <v>7.0044052863436096E-2</v>
      </c>
      <c r="J72" s="12" t="s">
        <v>1228</v>
      </c>
      <c r="K72" s="14">
        <v>1563</v>
      </c>
      <c r="L72" s="14">
        <v>1269</v>
      </c>
      <c r="M72" s="14">
        <v>1673</v>
      </c>
      <c r="N72" s="12">
        <v>0.53</v>
      </c>
      <c r="O72" s="12" t="s">
        <v>1228</v>
      </c>
      <c r="P72" s="12">
        <v>8.5257663135712494E-5</v>
      </c>
      <c r="Q72" s="12">
        <v>3.1894750111236198E-4</v>
      </c>
      <c r="R72" s="12">
        <v>0.114415322580645</v>
      </c>
      <c r="S72" s="14">
        <v>30</v>
      </c>
      <c r="T72" s="12">
        <v>2.3131381187111898E-2</v>
      </c>
      <c r="U72" s="14">
        <v>1662</v>
      </c>
      <c r="V72" s="14">
        <v>1</v>
      </c>
      <c r="W72" s="12">
        <v>5.4999999999999997E-3</v>
      </c>
      <c r="X72" s="12">
        <v>2.86313811871119E-2</v>
      </c>
      <c r="Y72" s="14">
        <v>1662</v>
      </c>
      <c r="Z72" s="14">
        <v>29</v>
      </c>
      <c r="AA72" s="12" t="s">
        <v>2367</v>
      </c>
    </row>
    <row r="73" spans="1:27" ht="14.25" x14ac:dyDescent="0.45">
      <c r="A73" s="12" t="s">
        <v>1237</v>
      </c>
      <c r="B73" s="12" t="s">
        <v>1971</v>
      </c>
      <c r="C73" s="12" t="s">
        <v>1972</v>
      </c>
      <c r="D73" s="12" t="s">
        <v>1974</v>
      </c>
      <c r="E73" s="20">
        <v>35034</v>
      </c>
      <c r="F73" s="20">
        <v>44335</v>
      </c>
      <c r="G73" s="12">
        <v>0.36</v>
      </c>
      <c r="H73" s="12">
        <v>7.5333333333333297</v>
      </c>
      <c r="I73" s="13">
        <v>4.7787610619468998E-2</v>
      </c>
      <c r="J73" s="12" t="s">
        <v>1237</v>
      </c>
      <c r="K73" s="14">
        <v>1615</v>
      </c>
      <c r="L73" s="14">
        <v>1332</v>
      </c>
      <c r="M73" s="14">
        <v>1719</v>
      </c>
      <c r="N73" s="12">
        <v>0.36</v>
      </c>
      <c r="O73" s="12" t="s">
        <v>1237</v>
      </c>
      <c r="P73" s="12">
        <v>5.7910865526144299E-5</v>
      </c>
      <c r="Q73" s="12">
        <v>2.1760218559778099E-4</v>
      </c>
      <c r="R73" s="12">
        <v>0.113911290322581</v>
      </c>
      <c r="S73" s="14">
        <v>27</v>
      </c>
      <c r="T73" s="12">
        <v>1.5771794057091702E-2</v>
      </c>
      <c r="U73" s="14">
        <v>1713</v>
      </c>
      <c r="V73" s="14">
        <v>1</v>
      </c>
      <c r="W73" s="12">
        <v>5.4999999999999997E-3</v>
      </c>
      <c r="X73" s="12">
        <v>2.12717940570917E-2</v>
      </c>
      <c r="Y73" s="14">
        <v>1714</v>
      </c>
      <c r="Z73" s="14">
        <v>26</v>
      </c>
      <c r="AA73" s="12" t="s">
        <v>2367</v>
      </c>
    </row>
    <row r="74" spans="1:27" ht="14.25" x14ac:dyDescent="0.45">
      <c r="A74" s="12" t="s">
        <v>1247</v>
      </c>
      <c r="B74" s="12" t="s">
        <v>1971</v>
      </c>
      <c r="C74" s="12" t="s">
        <v>1972</v>
      </c>
      <c r="D74" s="12" t="s">
        <v>1974</v>
      </c>
      <c r="E74" s="20">
        <v>32700</v>
      </c>
      <c r="F74" s="20">
        <v>44334</v>
      </c>
      <c r="G74" s="12">
        <v>3.53</v>
      </c>
      <c r="H74" s="12">
        <v>7.56666666666667</v>
      </c>
      <c r="I74" s="13">
        <v>0.46651982378854601</v>
      </c>
      <c r="J74" s="12" t="s">
        <v>1247</v>
      </c>
      <c r="K74" s="14">
        <v>1084</v>
      </c>
      <c r="L74" s="14">
        <v>1269</v>
      </c>
      <c r="M74" s="14">
        <v>1169</v>
      </c>
      <c r="N74" s="12">
        <v>3.53</v>
      </c>
      <c r="O74" s="12" t="s">
        <v>1247</v>
      </c>
      <c r="P74" s="12">
        <v>5.67848209186915E-4</v>
      </c>
      <c r="Q74" s="12">
        <v>2.1243107149559199E-3</v>
      </c>
      <c r="R74" s="12">
        <v>0.114415322580645</v>
      </c>
      <c r="S74" s="14">
        <v>33</v>
      </c>
      <c r="T74" s="12">
        <v>0.15406372752925501</v>
      </c>
      <c r="U74" s="14">
        <v>1146</v>
      </c>
      <c r="V74" s="14">
        <v>1</v>
      </c>
      <c r="W74" s="12">
        <v>5.4999999999999997E-3</v>
      </c>
      <c r="X74" s="12">
        <v>0.15956372752925499</v>
      </c>
      <c r="Y74" s="14">
        <v>1146</v>
      </c>
      <c r="Z74" s="14">
        <v>33</v>
      </c>
      <c r="AA74" s="12" t="s">
        <v>2367</v>
      </c>
    </row>
    <row r="75" spans="1:27" ht="14.25" x14ac:dyDescent="0.45">
      <c r="A75" s="12" t="s">
        <v>1265</v>
      </c>
      <c r="B75" s="12" t="s">
        <v>1971</v>
      </c>
      <c r="C75" s="12" t="s">
        <v>1972</v>
      </c>
      <c r="D75" s="12" t="s">
        <v>1974</v>
      </c>
      <c r="E75" s="20">
        <v>34437</v>
      </c>
      <c r="F75" s="20">
        <v>44147</v>
      </c>
      <c r="G75" s="12">
        <v>1.38</v>
      </c>
      <c r="H75" s="12">
        <v>13.8</v>
      </c>
      <c r="I75" s="13">
        <v>0.1</v>
      </c>
      <c r="J75" s="12" t="s">
        <v>1265</v>
      </c>
      <c r="K75" s="14">
        <v>1495</v>
      </c>
      <c r="L75" s="14">
        <v>620</v>
      </c>
      <c r="M75" s="14">
        <v>1491</v>
      </c>
      <c r="N75" s="12">
        <v>1.38</v>
      </c>
      <c r="O75" s="12" t="s">
        <v>1265</v>
      </c>
      <c r="P75" s="12">
        <v>2.2199165118355301E-4</v>
      </c>
      <c r="Q75" s="12">
        <v>4.5535272171387601E-4</v>
      </c>
      <c r="R75" s="12">
        <v>0.20866935483870999</v>
      </c>
      <c r="S75" s="14">
        <v>28</v>
      </c>
      <c r="T75" s="12">
        <v>3.6784232026500503E-2</v>
      </c>
      <c r="U75" s="14">
        <v>1571</v>
      </c>
      <c r="V75" s="14">
        <v>1</v>
      </c>
      <c r="W75" s="12">
        <v>5.4999999999999997E-3</v>
      </c>
      <c r="X75" s="12">
        <v>4.2284232026500501E-2</v>
      </c>
      <c r="Y75" s="14">
        <v>1571</v>
      </c>
      <c r="Z75" s="14">
        <v>28</v>
      </c>
      <c r="AA75" s="12" t="s">
        <v>2367</v>
      </c>
    </row>
    <row r="76" spans="1:27" ht="14.25" x14ac:dyDescent="0.45">
      <c r="A76" s="12" t="s">
        <v>1284</v>
      </c>
      <c r="B76" s="12" t="s">
        <v>1971</v>
      </c>
      <c r="C76" s="12" t="s">
        <v>1972</v>
      </c>
      <c r="D76" s="12" t="s">
        <v>1974</v>
      </c>
      <c r="E76" s="20">
        <v>35443</v>
      </c>
      <c r="F76" s="20">
        <v>44336</v>
      </c>
      <c r="G76" s="12">
        <v>4.95</v>
      </c>
      <c r="H76" s="12">
        <v>7.5</v>
      </c>
      <c r="I76" s="13">
        <v>0.66</v>
      </c>
      <c r="J76" s="12" t="s">
        <v>1284</v>
      </c>
      <c r="K76" s="14">
        <v>958</v>
      </c>
      <c r="L76" s="14">
        <v>1377</v>
      </c>
      <c r="M76" s="14">
        <v>1040</v>
      </c>
      <c r="N76" s="12">
        <v>4.95</v>
      </c>
      <c r="O76" s="12" t="s">
        <v>1284</v>
      </c>
      <c r="P76" s="12">
        <v>7.9627440098448403E-4</v>
      </c>
      <c r="Q76" s="12">
        <v>3.0053279633115802E-3</v>
      </c>
      <c r="R76" s="12">
        <v>0.113407258064516</v>
      </c>
      <c r="S76" s="14">
        <v>25</v>
      </c>
      <c r="T76" s="12">
        <v>0.21769328774389199</v>
      </c>
      <c r="U76" s="14">
        <v>1015</v>
      </c>
      <c r="V76" s="14">
        <v>2</v>
      </c>
      <c r="W76" s="12">
        <v>5.5999999999999999E-3</v>
      </c>
      <c r="X76" s="12">
        <v>0.22329328774389201</v>
      </c>
      <c r="Y76" s="14">
        <v>1015</v>
      </c>
      <c r="Z76" s="14">
        <v>25</v>
      </c>
      <c r="AA76" s="12" t="s">
        <v>2367</v>
      </c>
    </row>
    <row r="77" spans="1:27" ht="14.25" x14ac:dyDescent="0.45">
      <c r="A77" s="12" t="s">
        <v>1312</v>
      </c>
      <c r="B77" s="12" t="s">
        <v>1971</v>
      </c>
      <c r="C77" s="12" t="s">
        <v>1972</v>
      </c>
      <c r="D77" s="12" t="s">
        <v>1974</v>
      </c>
      <c r="E77" s="20">
        <v>32535</v>
      </c>
      <c r="F77" s="20">
        <v>44336</v>
      </c>
      <c r="G77" s="12">
        <v>0.17</v>
      </c>
      <c r="H77" s="12">
        <v>7.5</v>
      </c>
      <c r="I77" s="13">
        <v>2.26666666666667E-2</v>
      </c>
      <c r="J77" s="12" t="s">
        <v>1312</v>
      </c>
      <c r="K77" s="14">
        <v>1677</v>
      </c>
      <c r="L77" s="14">
        <v>1377</v>
      </c>
      <c r="M77" s="14">
        <v>1797</v>
      </c>
      <c r="N77" s="12">
        <v>0.17</v>
      </c>
      <c r="O77" s="12" t="s">
        <v>1312</v>
      </c>
      <c r="P77" s="12">
        <v>2.7346797609568201E-5</v>
      </c>
      <c r="Q77" s="12">
        <v>1.03213283588479E-4</v>
      </c>
      <c r="R77" s="12">
        <v>0.113407258064516</v>
      </c>
      <c r="S77" s="14">
        <v>33</v>
      </c>
      <c r="T77" s="12">
        <v>7.4763351346387097E-3</v>
      </c>
      <c r="U77" s="14">
        <v>1785</v>
      </c>
      <c r="V77" s="14">
        <v>1</v>
      </c>
      <c r="W77" s="12">
        <v>5.4999999999999997E-3</v>
      </c>
      <c r="X77" s="12">
        <v>1.29763351346387E-2</v>
      </c>
      <c r="Y77" s="14">
        <v>1785</v>
      </c>
      <c r="Z77" s="14">
        <v>33</v>
      </c>
      <c r="AA77" s="12" t="s">
        <v>2367</v>
      </c>
    </row>
    <row r="78" spans="1:27" ht="14.25" x14ac:dyDescent="0.45">
      <c r="A78" s="12" t="s">
        <v>1320</v>
      </c>
      <c r="B78" s="12" t="s">
        <v>1971</v>
      </c>
      <c r="C78" s="12" t="s">
        <v>1972</v>
      </c>
      <c r="D78" s="12" t="s">
        <v>1974</v>
      </c>
      <c r="E78" s="20">
        <v>33380</v>
      </c>
      <c r="F78" s="20">
        <v>44287</v>
      </c>
      <c r="G78" s="12">
        <v>4.6100000000000003</v>
      </c>
      <c r="H78" s="12">
        <v>9.1333333333333293</v>
      </c>
      <c r="I78" s="13">
        <v>0.50474452554744498</v>
      </c>
      <c r="J78" s="12" t="s">
        <v>1320</v>
      </c>
      <c r="K78" s="14">
        <v>1046</v>
      </c>
      <c r="L78" s="14">
        <v>1119</v>
      </c>
      <c r="M78" s="14">
        <v>1059</v>
      </c>
      <c r="N78" s="12">
        <v>4.6100000000000003</v>
      </c>
      <c r="O78" s="12" t="s">
        <v>1320</v>
      </c>
      <c r="P78" s="12">
        <v>7.4158080576534804E-4</v>
      </c>
      <c r="Q78" s="12">
        <v>2.2983679347820798E-3</v>
      </c>
      <c r="R78" s="12">
        <v>0.13810483870967699</v>
      </c>
      <c r="S78" s="14">
        <v>31</v>
      </c>
      <c r="T78" s="12">
        <v>0.17145727614008099</v>
      </c>
      <c r="U78" s="14">
        <v>1103</v>
      </c>
      <c r="V78" s="14">
        <v>1</v>
      </c>
      <c r="W78" s="12">
        <v>5.4999999999999997E-3</v>
      </c>
      <c r="X78" s="12">
        <v>0.176957276140081</v>
      </c>
      <c r="Y78" s="14">
        <v>1103</v>
      </c>
      <c r="Z78" s="14">
        <v>31</v>
      </c>
      <c r="AA78" s="12" t="s">
        <v>2367</v>
      </c>
    </row>
    <row r="79" spans="1:27" ht="14.25" x14ac:dyDescent="0.45">
      <c r="A79" s="12" t="s">
        <v>1341</v>
      </c>
      <c r="B79" s="12" t="s">
        <v>1971</v>
      </c>
      <c r="C79" s="12" t="s">
        <v>1972</v>
      </c>
      <c r="D79" s="12" t="s">
        <v>1974</v>
      </c>
      <c r="E79" s="20">
        <v>35048</v>
      </c>
      <c r="F79" s="20">
        <v>44371</v>
      </c>
      <c r="G79" s="12">
        <v>1.26</v>
      </c>
      <c r="H79" s="12">
        <v>6.3333333333333304</v>
      </c>
      <c r="I79" s="13">
        <v>0.19894736842105301</v>
      </c>
      <c r="J79" s="12" t="s">
        <v>1341</v>
      </c>
      <c r="K79" s="14">
        <v>1350</v>
      </c>
      <c r="L79" s="14">
        <v>1557</v>
      </c>
      <c r="M79" s="14">
        <v>1513</v>
      </c>
      <c r="N79" s="12">
        <v>1.26</v>
      </c>
      <c r="O79" s="12" t="s">
        <v>1341</v>
      </c>
      <c r="P79" s="12">
        <v>2.02688029341505E-4</v>
      </c>
      <c r="Q79" s="12">
        <v>9.0591225688339502E-4</v>
      </c>
      <c r="R79" s="12">
        <v>9.5766129032257993E-2</v>
      </c>
      <c r="S79" s="14">
        <v>27</v>
      </c>
      <c r="T79" s="12">
        <v>6.4220317155518597E-2</v>
      </c>
      <c r="U79" s="14">
        <v>1464</v>
      </c>
      <c r="V79" s="14">
        <v>1</v>
      </c>
      <c r="W79" s="12">
        <v>5.4999999999999997E-3</v>
      </c>
      <c r="X79" s="12">
        <v>6.9720317155518602E-2</v>
      </c>
      <c r="Y79" s="14">
        <v>1464</v>
      </c>
      <c r="Z79" s="14">
        <v>26</v>
      </c>
      <c r="AA79" s="12" t="s">
        <v>2367</v>
      </c>
    </row>
    <row r="80" spans="1:27" ht="14.25" x14ac:dyDescent="0.45">
      <c r="A80" s="12" t="s">
        <v>1355</v>
      </c>
      <c r="B80" s="12" t="s">
        <v>1971</v>
      </c>
      <c r="C80" s="12" t="s">
        <v>1972</v>
      </c>
      <c r="D80" s="12" t="s">
        <v>1974</v>
      </c>
      <c r="E80" s="20">
        <v>34135</v>
      </c>
      <c r="F80" s="20">
        <v>44371</v>
      </c>
      <c r="G80" s="12">
        <v>1.65</v>
      </c>
      <c r="H80" s="12">
        <v>6.3333333333333304</v>
      </c>
      <c r="I80" s="13">
        <v>0.26052631578947399</v>
      </c>
      <c r="J80" s="12" t="s">
        <v>1355</v>
      </c>
      <c r="K80" s="14">
        <v>1265</v>
      </c>
      <c r="L80" s="14">
        <v>1557</v>
      </c>
      <c r="M80" s="14">
        <v>1460</v>
      </c>
      <c r="N80" s="12">
        <v>1.65</v>
      </c>
      <c r="O80" s="12" t="s">
        <v>1355</v>
      </c>
      <c r="P80" s="12">
        <v>2.65424800328161E-4</v>
      </c>
      <c r="Q80" s="12">
        <v>1.1863136697282601E-3</v>
      </c>
      <c r="R80" s="12">
        <v>9.5766129032257993E-2</v>
      </c>
      <c r="S80" s="14">
        <v>29</v>
      </c>
      <c r="T80" s="12">
        <v>8.4098034370321997E-2</v>
      </c>
      <c r="U80" s="14">
        <v>1339</v>
      </c>
      <c r="V80" s="14">
        <v>1</v>
      </c>
      <c r="W80" s="12">
        <v>5.4999999999999997E-3</v>
      </c>
      <c r="X80" s="12">
        <v>8.9598034370322002E-2</v>
      </c>
      <c r="Y80" s="14">
        <v>1339</v>
      </c>
      <c r="Z80" s="14">
        <v>29</v>
      </c>
      <c r="AA80" s="12" t="s">
        <v>2367</v>
      </c>
    </row>
    <row r="81" spans="1:27" ht="14.25" x14ac:dyDescent="0.45">
      <c r="A81" s="12" t="s">
        <v>1357</v>
      </c>
      <c r="B81" s="12" t="s">
        <v>1971</v>
      </c>
      <c r="C81" s="12" t="s">
        <v>1972</v>
      </c>
      <c r="D81" s="12" t="s">
        <v>1974</v>
      </c>
      <c r="E81" s="20">
        <v>35310</v>
      </c>
      <c r="F81" s="20">
        <v>44371</v>
      </c>
      <c r="G81" s="12">
        <v>0.11</v>
      </c>
      <c r="H81" s="12">
        <v>6.3333333333333304</v>
      </c>
      <c r="I81" s="13">
        <v>1.7368421052631599E-2</v>
      </c>
      <c r="J81" s="12" t="s">
        <v>1357</v>
      </c>
      <c r="K81" s="14">
        <v>1704</v>
      </c>
      <c r="L81" s="14">
        <v>1557</v>
      </c>
      <c r="M81" s="14">
        <v>1826</v>
      </c>
      <c r="N81" s="12">
        <v>0.11</v>
      </c>
      <c r="O81" s="12" t="s">
        <v>1357</v>
      </c>
      <c r="P81" s="12">
        <v>1.7694986688544098E-5</v>
      </c>
      <c r="Q81" s="12">
        <v>7.9087577981883705E-5</v>
      </c>
      <c r="R81" s="12">
        <v>9.5766129032257993E-2</v>
      </c>
      <c r="S81" s="14">
        <v>26</v>
      </c>
      <c r="T81" s="12">
        <v>5.6065356246881304E-3</v>
      </c>
      <c r="U81" s="14">
        <v>1809</v>
      </c>
      <c r="V81" s="14">
        <v>1</v>
      </c>
      <c r="W81" s="12">
        <v>5.4999999999999997E-3</v>
      </c>
      <c r="X81" s="12">
        <v>1.1106535624688101E-2</v>
      </c>
      <c r="Y81" s="14">
        <v>1811</v>
      </c>
      <c r="Z81" s="14">
        <v>25</v>
      </c>
      <c r="AA81" s="12" t="s">
        <v>2367</v>
      </c>
    </row>
    <row r="82" spans="1:27" ht="14.25" x14ac:dyDescent="0.45">
      <c r="A82" s="12" t="s">
        <v>1363</v>
      </c>
      <c r="B82" s="12" t="s">
        <v>1971</v>
      </c>
      <c r="C82" s="12" t="s">
        <v>1972</v>
      </c>
      <c r="D82" s="12" t="s">
        <v>1974</v>
      </c>
      <c r="E82" s="20">
        <v>35236</v>
      </c>
      <c r="F82" s="20">
        <v>44335</v>
      </c>
      <c r="G82" s="12">
        <v>0.09</v>
      </c>
      <c r="H82" s="12">
        <v>7.5333333333333297</v>
      </c>
      <c r="I82" s="13">
        <v>1.19469026548673E-2</v>
      </c>
      <c r="J82" s="12" t="s">
        <v>1363</v>
      </c>
      <c r="K82" s="14">
        <v>1730</v>
      </c>
      <c r="L82" s="14">
        <v>1332</v>
      </c>
      <c r="M82" s="14">
        <v>1839</v>
      </c>
      <c r="N82" s="12">
        <v>0.09</v>
      </c>
      <c r="O82" s="12" t="s">
        <v>1363</v>
      </c>
      <c r="P82" s="12">
        <v>1.44777163815361E-5</v>
      </c>
      <c r="Q82" s="12">
        <v>5.4400546399445303E-5</v>
      </c>
      <c r="R82" s="12">
        <v>0.113911290322581</v>
      </c>
      <c r="S82" s="14">
        <v>26</v>
      </c>
      <c r="T82" s="12">
        <v>3.9429485142729401E-3</v>
      </c>
      <c r="U82" s="14">
        <v>1839</v>
      </c>
      <c r="V82" s="14">
        <v>1</v>
      </c>
      <c r="W82" s="12">
        <v>5.4999999999999997E-3</v>
      </c>
      <c r="X82" s="12">
        <v>9.4429485142729398E-3</v>
      </c>
      <c r="Y82" s="14">
        <v>1839</v>
      </c>
      <c r="Z82" s="14">
        <v>26</v>
      </c>
      <c r="AA82" s="12" t="s">
        <v>2367</v>
      </c>
    </row>
    <row r="83" spans="1:27" ht="14.25" x14ac:dyDescent="0.45">
      <c r="A83" s="12" t="s">
        <v>1369</v>
      </c>
      <c r="B83" s="12" t="s">
        <v>1971</v>
      </c>
      <c r="C83" s="12" t="s">
        <v>1972</v>
      </c>
      <c r="D83" s="12" t="s">
        <v>1974</v>
      </c>
      <c r="E83" s="20">
        <v>35502</v>
      </c>
      <c r="F83" s="20">
        <v>44130</v>
      </c>
      <c r="G83" s="12">
        <v>12.76</v>
      </c>
      <c r="H83" s="12">
        <v>14.366666666666699</v>
      </c>
      <c r="I83" s="13">
        <v>0.88816705336426904</v>
      </c>
      <c r="J83" s="12" t="s">
        <v>1369</v>
      </c>
      <c r="K83" s="14">
        <v>859</v>
      </c>
      <c r="L83" s="14">
        <v>577</v>
      </c>
      <c r="M83" s="14">
        <v>795</v>
      </c>
      <c r="N83" s="12">
        <v>12.76</v>
      </c>
      <c r="O83" s="12" t="s">
        <v>1369</v>
      </c>
      <c r="P83" s="12">
        <v>2.0526184558711199E-3</v>
      </c>
      <c r="Q83" s="12">
        <v>4.0442928508601303E-3</v>
      </c>
      <c r="R83" s="12">
        <v>0.21723790322580599</v>
      </c>
      <c r="S83" s="14">
        <v>25</v>
      </c>
      <c r="T83" s="12">
        <v>0.32974149527392499</v>
      </c>
      <c r="U83" s="14">
        <v>893</v>
      </c>
      <c r="V83" s="14">
        <v>1</v>
      </c>
      <c r="W83" s="12">
        <v>5.4999999999999997E-3</v>
      </c>
      <c r="X83" s="12">
        <v>0.33524149527392499</v>
      </c>
      <c r="Y83" s="14">
        <v>893</v>
      </c>
      <c r="Z83" s="14">
        <v>25</v>
      </c>
      <c r="AA83" s="12" t="s">
        <v>2367</v>
      </c>
    </row>
    <row r="84" spans="1:27" ht="14.25" x14ac:dyDescent="0.45">
      <c r="A84" s="12" t="s">
        <v>1387</v>
      </c>
      <c r="B84" s="12" t="s">
        <v>1971</v>
      </c>
      <c r="C84" s="12" t="s">
        <v>1972</v>
      </c>
      <c r="D84" s="12" t="s">
        <v>1974</v>
      </c>
      <c r="E84" s="20">
        <v>33716</v>
      </c>
      <c r="F84" s="20">
        <v>44335</v>
      </c>
      <c r="G84" s="12">
        <v>0.24</v>
      </c>
      <c r="H84" s="12">
        <v>7.5333333333333297</v>
      </c>
      <c r="I84" s="13">
        <v>3.1858407079646003E-2</v>
      </c>
      <c r="J84" s="12" t="s">
        <v>1387</v>
      </c>
      <c r="K84" s="14">
        <v>1649</v>
      </c>
      <c r="L84" s="14">
        <v>1332</v>
      </c>
      <c r="M84" s="14">
        <v>1761</v>
      </c>
      <c r="N84" s="12">
        <v>0.24</v>
      </c>
      <c r="O84" s="12" t="s">
        <v>1387</v>
      </c>
      <c r="P84" s="12">
        <v>3.8607243684096202E-5</v>
      </c>
      <c r="Q84" s="12">
        <v>1.4506812373185399E-4</v>
      </c>
      <c r="R84" s="12">
        <v>0.113911290322581</v>
      </c>
      <c r="S84" s="14">
        <v>30</v>
      </c>
      <c r="T84" s="12">
        <v>1.05145293713945E-2</v>
      </c>
      <c r="U84" s="14">
        <v>1756</v>
      </c>
      <c r="V84" s="14">
        <v>1</v>
      </c>
      <c r="W84" s="12">
        <v>5.4999999999999997E-3</v>
      </c>
      <c r="X84" s="12">
        <v>1.6014529371394502E-2</v>
      </c>
      <c r="Y84" s="14">
        <v>1756</v>
      </c>
      <c r="Z84" s="14">
        <v>30</v>
      </c>
      <c r="AA84" s="12" t="s">
        <v>2367</v>
      </c>
    </row>
    <row r="85" spans="1:27" ht="14.25" x14ac:dyDescent="0.45">
      <c r="A85" s="12" t="s">
        <v>1403</v>
      </c>
      <c r="B85" s="12" t="s">
        <v>1971</v>
      </c>
      <c r="C85" s="12" t="s">
        <v>1972</v>
      </c>
      <c r="D85" s="12" t="s">
        <v>1974</v>
      </c>
      <c r="E85" s="20">
        <v>33494</v>
      </c>
      <c r="F85" s="20">
        <v>44334</v>
      </c>
      <c r="G85" s="12">
        <v>1.1100000000000001</v>
      </c>
      <c r="H85" s="12">
        <v>7.56666666666667</v>
      </c>
      <c r="I85" s="13">
        <v>0.146696035242291</v>
      </c>
      <c r="J85" s="12" t="s">
        <v>1403</v>
      </c>
      <c r="K85" s="14">
        <v>1417</v>
      </c>
      <c r="L85" s="14">
        <v>1269</v>
      </c>
      <c r="M85" s="14">
        <v>1528</v>
      </c>
      <c r="N85" s="12">
        <v>1.1100000000000001</v>
      </c>
      <c r="O85" s="12" t="s">
        <v>1403</v>
      </c>
      <c r="P85" s="12">
        <v>1.78558502038945E-4</v>
      </c>
      <c r="Q85" s="12">
        <v>6.6798438912211695E-4</v>
      </c>
      <c r="R85" s="12">
        <v>0.114415322580645</v>
      </c>
      <c r="S85" s="14">
        <v>31</v>
      </c>
      <c r="T85" s="12">
        <v>4.8444968146592798E-2</v>
      </c>
      <c r="U85" s="14">
        <v>1525</v>
      </c>
      <c r="V85" s="14">
        <v>1</v>
      </c>
      <c r="W85" s="12">
        <v>5.4999999999999997E-3</v>
      </c>
      <c r="X85" s="12">
        <v>5.3944968146592803E-2</v>
      </c>
      <c r="Y85" s="14">
        <v>1525</v>
      </c>
      <c r="Z85" s="14">
        <v>30</v>
      </c>
      <c r="AA85" s="12" t="s">
        <v>2367</v>
      </c>
    </row>
    <row r="86" spans="1:27" ht="14.25" x14ac:dyDescent="0.45">
      <c r="A86" s="12" t="s">
        <v>1485</v>
      </c>
      <c r="B86" s="12" t="s">
        <v>1971</v>
      </c>
      <c r="C86" s="12" t="s">
        <v>1972</v>
      </c>
      <c r="D86" s="12" t="s">
        <v>1974</v>
      </c>
      <c r="E86" s="20">
        <v>33617</v>
      </c>
      <c r="F86" s="20">
        <v>44336</v>
      </c>
      <c r="G86" s="12">
        <v>1.8</v>
      </c>
      <c r="H86" s="12">
        <v>7.5</v>
      </c>
      <c r="I86" s="13">
        <v>0.24</v>
      </c>
      <c r="J86" s="12" t="s">
        <v>1485</v>
      </c>
      <c r="K86" s="14">
        <v>1290</v>
      </c>
      <c r="L86" s="14">
        <v>1377</v>
      </c>
      <c r="M86" s="14">
        <v>1439</v>
      </c>
      <c r="N86" s="12">
        <v>1.8</v>
      </c>
      <c r="O86" s="12" t="s">
        <v>1485</v>
      </c>
      <c r="P86" s="12">
        <v>2.89554327630722E-4</v>
      </c>
      <c r="Q86" s="12">
        <v>1.0928465321133E-3</v>
      </c>
      <c r="R86" s="12">
        <v>0.113407258064516</v>
      </c>
      <c r="S86" s="14">
        <v>30</v>
      </c>
      <c r="T86" s="12">
        <v>7.9161195543233406E-2</v>
      </c>
      <c r="U86" s="14">
        <v>1363</v>
      </c>
      <c r="V86" s="14">
        <v>1</v>
      </c>
      <c r="W86" s="12">
        <v>5.4999999999999997E-3</v>
      </c>
      <c r="X86" s="12">
        <v>8.4661195543233397E-2</v>
      </c>
      <c r="Y86" s="14">
        <v>1363</v>
      </c>
      <c r="Z86" s="14">
        <v>30</v>
      </c>
      <c r="AA86" s="12" t="s">
        <v>2367</v>
      </c>
    </row>
    <row r="87" spans="1:27" ht="14.25" x14ac:dyDescent="0.45">
      <c r="A87" s="12" t="s">
        <v>1491</v>
      </c>
      <c r="B87" s="12" t="s">
        <v>1971</v>
      </c>
      <c r="C87" s="12" t="s">
        <v>1972</v>
      </c>
      <c r="D87" s="12" t="s">
        <v>1974</v>
      </c>
      <c r="E87" s="20">
        <v>35261</v>
      </c>
      <c r="F87" s="20">
        <v>44337</v>
      </c>
      <c r="G87" s="12">
        <v>1.76</v>
      </c>
      <c r="H87" s="12">
        <v>7.4666666666666703</v>
      </c>
      <c r="I87" s="13">
        <v>0.23571428571428599</v>
      </c>
      <c r="J87" s="12" t="s">
        <v>1491</v>
      </c>
      <c r="K87" s="14">
        <v>1298</v>
      </c>
      <c r="L87" s="14">
        <v>1428</v>
      </c>
      <c r="M87" s="14">
        <v>1445</v>
      </c>
      <c r="N87" s="12">
        <v>1.76</v>
      </c>
      <c r="O87" s="12" t="s">
        <v>1491</v>
      </c>
      <c r="P87" s="12">
        <v>2.8311978701670601E-4</v>
      </c>
      <c r="Q87" s="12">
        <v>1.0733314154684199E-3</v>
      </c>
      <c r="R87" s="12">
        <v>0.112903225806452</v>
      </c>
      <c r="S87" s="14">
        <v>26</v>
      </c>
      <c r="T87" s="12">
        <v>7.7700205479902806E-2</v>
      </c>
      <c r="U87" s="14">
        <v>1381</v>
      </c>
      <c r="V87" s="14">
        <v>1</v>
      </c>
      <c r="W87" s="12">
        <v>5.4999999999999997E-3</v>
      </c>
      <c r="X87" s="12">
        <v>8.3200205479902797E-2</v>
      </c>
      <c r="Y87" s="14">
        <v>1381</v>
      </c>
      <c r="Z87" s="14">
        <v>25</v>
      </c>
      <c r="AA87" s="12" t="s">
        <v>2367</v>
      </c>
    </row>
    <row r="88" spans="1:27" ht="14.25" x14ac:dyDescent="0.45">
      <c r="A88" s="12" t="s">
        <v>1504</v>
      </c>
      <c r="B88" s="12" t="s">
        <v>1971</v>
      </c>
      <c r="C88" s="12" t="s">
        <v>1972</v>
      </c>
      <c r="D88" s="12" t="s">
        <v>1974</v>
      </c>
      <c r="E88" s="20">
        <v>33674</v>
      </c>
      <c r="F88" s="20">
        <v>44334</v>
      </c>
      <c r="G88" s="12">
        <v>0.28999999999999998</v>
      </c>
      <c r="H88" s="12">
        <v>7.56666666666667</v>
      </c>
      <c r="I88" s="13">
        <v>3.8325991189427297E-2</v>
      </c>
      <c r="J88" s="12" t="s">
        <v>1504</v>
      </c>
      <c r="K88" s="14">
        <v>1632</v>
      </c>
      <c r="L88" s="14">
        <v>1269</v>
      </c>
      <c r="M88" s="14">
        <v>1740</v>
      </c>
      <c r="N88" s="12">
        <v>0.28999999999999998</v>
      </c>
      <c r="O88" s="12" t="s">
        <v>1504</v>
      </c>
      <c r="P88" s="12">
        <v>4.6650419451616299E-5</v>
      </c>
      <c r="Q88" s="12">
        <v>1.74518444004878E-4</v>
      </c>
      <c r="R88" s="12">
        <v>0.114415322580645</v>
      </c>
      <c r="S88" s="14">
        <v>30</v>
      </c>
      <c r="T88" s="12">
        <v>1.26567934797405E-2</v>
      </c>
      <c r="U88" s="14">
        <v>1735</v>
      </c>
      <c r="V88" s="14">
        <v>1</v>
      </c>
      <c r="W88" s="12">
        <v>5.4999999999999997E-3</v>
      </c>
      <c r="X88" s="12">
        <v>1.8156793479740502E-2</v>
      </c>
      <c r="Y88" s="14">
        <v>1736</v>
      </c>
      <c r="Z88" s="14">
        <v>30</v>
      </c>
      <c r="AA88" s="12" t="s">
        <v>2367</v>
      </c>
    </row>
    <row r="89" spans="1:27" ht="14.25" x14ac:dyDescent="0.45">
      <c r="A89" s="12" t="s">
        <v>1515</v>
      </c>
      <c r="B89" s="12" t="s">
        <v>1971</v>
      </c>
      <c r="C89" s="12" t="s">
        <v>1972</v>
      </c>
      <c r="D89" s="12" t="s">
        <v>1974</v>
      </c>
      <c r="E89" s="20">
        <v>34103</v>
      </c>
      <c r="F89" s="20">
        <v>44323</v>
      </c>
      <c r="G89" s="12">
        <v>0.27</v>
      </c>
      <c r="H89" s="12">
        <v>7.93333333333333</v>
      </c>
      <c r="I89" s="13">
        <v>3.4033613445378197E-2</v>
      </c>
      <c r="J89" s="12" t="s">
        <v>1515</v>
      </c>
      <c r="K89" s="14">
        <v>1643</v>
      </c>
      <c r="L89" s="14">
        <v>1243</v>
      </c>
      <c r="M89" s="14">
        <v>1747</v>
      </c>
      <c r="N89" s="12">
        <v>0.27</v>
      </c>
      <c r="O89" s="12" t="s">
        <v>1515</v>
      </c>
      <c r="P89" s="12">
        <v>4.3433149144608199E-5</v>
      </c>
      <c r="Q89" s="12">
        <v>1.54972985121109E-4</v>
      </c>
      <c r="R89" s="12">
        <v>0.119959677419355</v>
      </c>
      <c r="S89" s="14">
        <v>29</v>
      </c>
      <c r="T89" s="12">
        <v>1.13145546629921E-2</v>
      </c>
      <c r="U89" s="14">
        <v>1750</v>
      </c>
      <c r="V89" s="14">
        <v>1</v>
      </c>
      <c r="W89" s="12">
        <v>5.4999999999999997E-3</v>
      </c>
      <c r="X89" s="12">
        <v>1.6814554662992101E-2</v>
      </c>
      <c r="Y89" s="14">
        <v>1752</v>
      </c>
      <c r="Z89" s="14">
        <v>29</v>
      </c>
      <c r="AA89" s="12" t="s">
        <v>2367</v>
      </c>
    </row>
    <row r="90" spans="1:27" ht="14.25" x14ac:dyDescent="0.45">
      <c r="A90" s="12" t="s">
        <v>1528</v>
      </c>
      <c r="B90" s="12" t="s">
        <v>1971</v>
      </c>
      <c r="C90" s="12" t="s">
        <v>1972</v>
      </c>
      <c r="D90" s="12" t="s">
        <v>1974</v>
      </c>
      <c r="E90" s="20">
        <v>34051</v>
      </c>
      <c r="F90" s="20">
        <v>44356</v>
      </c>
      <c r="G90" s="12">
        <v>0.71</v>
      </c>
      <c r="H90" s="12">
        <v>6.8333333333333304</v>
      </c>
      <c r="I90" s="13">
        <v>0.10390243902439</v>
      </c>
      <c r="J90" s="12" t="s">
        <v>1528</v>
      </c>
      <c r="K90" s="14">
        <v>1483</v>
      </c>
      <c r="L90" s="14">
        <v>1486</v>
      </c>
      <c r="M90" s="14">
        <v>1624</v>
      </c>
      <c r="N90" s="12">
        <v>0.71</v>
      </c>
      <c r="O90" s="12" t="s">
        <v>1528</v>
      </c>
      <c r="P90" s="12">
        <v>1.1421309589878501E-4</v>
      </c>
      <c r="Q90" s="12">
        <v>4.7312258402466102E-4</v>
      </c>
      <c r="R90" s="12">
        <v>0.10332661290322601</v>
      </c>
      <c r="S90" s="14">
        <v>29</v>
      </c>
      <c r="T90" s="12">
        <v>3.3853152597745698E-2</v>
      </c>
      <c r="U90" s="14">
        <v>1595</v>
      </c>
      <c r="V90" s="14">
        <v>1</v>
      </c>
      <c r="W90" s="12">
        <v>5.4999999999999997E-3</v>
      </c>
      <c r="X90" s="12">
        <v>3.9353152597745703E-2</v>
      </c>
      <c r="Y90" s="14">
        <v>1595</v>
      </c>
      <c r="Z90" s="14">
        <v>29</v>
      </c>
      <c r="AA90" s="12" t="s">
        <v>2367</v>
      </c>
    </row>
    <row r="91" spans="1:27" ht="14.25" x14ac:dyDescent="0.45">
      <c r="A91" s="12" t="s">
        <v>1535</v>
      </c>
      <c r="B91" s="12" t="s">
        <v>1971</v>
      </c>
      <c r="C91" s="12" t="s">
        <v>1972</v>
      </c>
      <c r="D91" s="12" t="s">
        <v>1974</v>
      </c>
      <c r="E91" s="20">
        <v>33196</v>
      </c>
      <c r="F91" s="20">
        <v>44370</v>
      </c>
      <c r="G91" s="12">
        <v>7.87</v>
      </c>
      <c r="H91" s="12">
        <v>6.3666666666666698</v>
      </c>
      <c r="I91" s="13">
        <v>1.2361256544502599</v>
      </c>
      <c r="J91" s="12" t="s">
        <v>1535</v>
      </c>
      <c r="K91" s="14">
        <v>760</v>
      </c>
      <c r="L91" s="14">
        <v>1504</v>
      </c>
      <c r="M91" s="14">
        <v>893</v>
      </c>
      <c r="N91" s="12">
        <v>7.87</v>
      </c>
      <c r="O91" s="12" t="s">
        <v>1535</v>
      </c>
      <c r="P91" s="12">
        <v>1.26599586580766E-3</v>
      </c>
      <c r="Q91" s="12">
        <v>5.6287318113427296E-3</v>
      </c>
      <c r="R91" s="12">
        <v>9.6270161290322606E-2</v>
      </c>
      <c r="S91" s="14">
        <v>32</v>
      </c>
      <c r="T91" s="12">
        <v>0.39927058317670799</v>
      </c>
      <c r="U91" s="14">
        <v>830</v>
      </c>
      <c r="V91" s="14">
        <v>2</v>
      </c>
      <c r="W91" s="12">
        <v>5.5999999999999999E-3</v>
      </c>
      <c r="X91" s="12">
        <v>0.40487058317670799</v>
      </c>
      <c r="Y91" s="14">
        <v>830</v>
      </c>
      <c r="Z91" s="14">
        <v>31</v>
      </c>
      <c r="AA91" s="12" t="s">
        <v>2367</v>
      </c>
    </row>
    <row r="92" spans="1:27" ht="14.25" x14ac:dyDescent="0.45">
      <c r="A92" s="12" t="s">
        <v>1542</v>
      </c>
      <c r="B92" s="12" t="s">
        <v>1971</v>
      </c>
      <c r="C92" s="12" t="s">
        <v>1972</v>
      </c>
      <c r="D92" s="12" t="s">
        <v>1974</v>
      </c>
      <c r="E92" s="20">
        <v>33245</v>
      </c>
      <c r="F92" s="20">
        <v>44371</v>
      </c>
      <c r="G92" s="12">
        <v>2.42</v>
      </c>
      <c r="H92" s="12">
        <v>6.3333333333333304</v>
      </c>
      <c r="I92" s="13">
        <v>0.382105263157895</v>
      </c>
      <c r="J92" s="12" t="s">
        <v>1542</v>
      </c>
      <c r="K92" s="14">
        <v>1157</v>
      </c>
      <c r="L92" s="14">
        <v>1557</v>
      </c>
      <c r="M92" s="14">
        <v>1290</v>
      </c>
      <c r="N92" s="12">
        <v>2.42</v>
      </c>
      <c r="O92" s="12" t="s">
        <v>1542</v>
      </c>
      <c r="P92" s="12">
        <v>3.8928970714796997E-4</v>
      </c>
      <c r="Q92" s="12">
        <v>1.73992671560144E-3</v>
      </c>
      <c r="R92" s="12">
        <v>9.5766129032257993E-2</v>
      </c>
      <c r="S92" s="14">
        <v>31</v>
      </c>
      <c r="T92" s="12">
        <v>0.12334378374313899</v>
      </c>
      <c r="U92" s="14">
        <v>1219</v>
      </c>
      <c r="V92" s="14">
        <v>1</v>
      </c>
      <c r="W92" s="12">
        <v>5.4999999999999997E-3</v>
      </c>
      <c r="X92" s="12">
        <v>0.12884378374313901</v>
      </c>
      <c r="Y92" s="14">
        <v>1219</v>
      </c>
      <c r="Z92" s="14">
        <v>31</v>
      </c>
      <c r="AA92" s="12" t="s">
        <v>2367</v>
      </c>
    </row>
    <row r="93" spans="1:27" ht="14.25" x14ac:dyDescent="0.45">
      <c r="A93" s="12" t="s">
        <v>1550</v>
      </c>
      <c r="B93" s="12" t="s">
        <v>1971</v>
      </c>
      <c r="C93" s="12" t="s">
        <v>1972</v>
      </c>
      <c r="D93" s="12" t="s">
        <v>1974</v>
      </c>
      <c r="E93" s="20">
        <v>34810</v>
      </c>
      <c r="F93" s="20">
        <v>44371</v>
      </c>
      <c r="G93" s="12">
        <v>1.85</v>
      </c>
      <c r="H93" s="12">
        <v>6.3333333333333304</v>
      </c>
      <c r="I93" s="13">
        <v>0.29210526315789498</v>
      </c>
      <c r="J93" s="12" t="s">
        <v>1550</v>
      </c>
      <c r="K93" s="14">
        <v>1230</v>
      </c>
      <c r="L93" s="14">
        <v>1557</v>
      </c>
      <c r="M93" s="14">
        <v>1432</v>
      </c>
      <c r="N93" s="12">
        <v>1.85</v>
      </c>
      <c r="O93" s="12" t="s">
        <v>1550</v>
      </c>
      <c r="P93" s="12">
        <v>2.9759750339824201E-4</v>
      </c>
      <c r="Q93" s="12">
        <v>1.3301092660589499E-3</v>
      </c>
      <c r="R93" s="12">
        <v>9.5766129032257993E-2</v>
      </c>
      <c r="S93" s="14">
        <v>27</v>
      </c>
      <c r="T93" s="12">
        <v>9.4291735506118607E-2</v>
      </c>
      <c r="U93" s="14">
        <v>1305</v>
      </c>
      <c r="V93" s="14">
        <v>1</v>
      </c>
      <c r="W93" s="12">
        <v>5.4999999999999997E-3</v>
      </c>
      <c r="X93" s="12">
        <v>9.9791735506118598E-2</v>
      </c>
      <c r="Y93" s="14">
        <v>1305</v>
      </c>
      <c r="Z93" s="14">
        <v>27</v>
      </c>
      <c r="AA93" s="12" t="s">
        <v>2367</v>
      </c>
    </row>
    <row r="94" spans="1:27" ht="14.25" x14ac:dyDescent="0.45">
      <c r="A94" s="12" t="s">
        <v>1565</v>
      </c>
      <c r="B94" s="12" t="s">
        <v>1971</v>
      </c>
      <c r="C94" s="12" t="s">
        <v>1972</v>
      </c>
      <c r="D94" s="12" t="s">
        <v>1974</v>
      </c>
      <c r="E94" s="20">
        <v>32901</v>
      </c>
      <c r="F94" s="20">
        <v>44392</v>
      </c>
      <c r="G94" s="12">
        <v>99.72</v>
      </c>
      <c r="H94" s="12">
        <v>5.6333333333333302</v>
      </c>
      <c r="I94" s="13">
        <v>17.701775147928998</v>
      </c>
      <c r="J94" s="12" t="s">
        <v>1565</v>
      </c>
      <c r="K94" s="14">
        <v>156</v>
      </c>
      <c r="L94" s="14">
        <v>1672</v>
      </c>
      <c r="M94" s="14">
        <v>384</v>
      </c>
      <c r="N94" s="12">
        <v>99.72</v>
      </c>
      <c r="O94" s="12" t="s">
        <v>1565</v>
      </c>
      <c r="P94" s="12">
        <v>1.6041309750742E-2</v>
      </c>
      <c r="Q94" s="12">
        <v>8.0605514927765104E-2</v>
      </c>
      <c r="R94" s="12">
        <v>8.5181451612903206E-2</v>
      </c>
      <c r="S94" s="14">
        <v>32</v>
      </c>
      <c r="T94" s="12">
        <v>5.6393937986381504</v>
      </c>
      <c r="U94" s="14">
        <v>234</v>
      </c>
      <c r="V94" s="14">
        <v>3</v>
      </c>
      <c r="W94" s="12">
        <v>5.7000000000000002E-3</v>
      </c>
      <c r="X94" s="12">
        <v>5.6450937986381504</v>
      </c>
      <c r="Y94" s="14">
        <v>234</v>
      </c>
      <c r="Z94" s="14">
        <v>32</v>
      </c>
      <c r="AA94" s="12" t="s">
        <v>2367</v>
      </c>
    </row>
    <row r="95" spans="1:27" ht="14.25" x14ac:dyDescent="0.45">
      <c r="A95" s="12" t="s">
        <v>1576</v>
      </c>
      <c r="B95" s="12" t="s">
        <v>1971</v>
      </c>
      <c r="C95" s="12" t="s">
        <v>1972</v>
      </c>
      <c r="D95" s="12" t="s">
        <v>1974</v>
      </c>
      <c r="E95" s="20">
        <v>33587</v>
      </c>
      <c r="F95" s="20">
        <v>44421</v>
      </c>
      <c r="G95" s="12">
        <v>0.44</v>
      </c>
      <c r="H95" s="12">
        <v>4.6666666666666696</v>
      </c>
      <c r="I95" s="13">
        <v>9.4285714285714306E-2</v>
      </c>
      <c r="J95" s="12" t="s">
        <v>1576</v>
      </c>
      <c r="K95" s="14">
        <v>1511</v>
      </c>
      <c r="L95" s="14">
        <v>1803</v>
      </c>
      <c r="M95" s="14">
        <v>1702</v>
      </c>
      <c r="N95" s="12">
        <v>0.44</v>
      </c>
      <c r="O95" s="12" t="s">
        <v>1576</v>
      </c>
      <c r="P95" s="12">
        <v>7.0779946754176393E-5</v>
      </c>
      <c r="Q95" s="12">
        <v>4.29332566187369E-4</v>
      </c>
      <c r="R95" s="12">
        <v>7.0564516129032306E-2</v>
      </c>
      <c r="S95" s="14">
        <v>31</v>
      </c>
      <c r="T95" s="12">
        <v>2.9487533389992202E-2</v>
      </c>
      <c r="U95" s="14">
        <v>1625</v>
      </c>
      <c r="V95" s="14">
        <v>1</v>
      </c>
      <c r="W95" s="12">
        <v>5.4999999999999997E-3</v>
      </c>
      <c r="X95" s="12">
        <v>3.4987533389992199E-2</v>
      </c>
      <c r="Y95" s="14">
        <v>1627</v>
      </c>
      <c r="Z95" s="14">
        <v>30</v>
      </c>
      <c r="AA95" s="12" t="s">
        <v>2367</v>
      </c>
    </row>
    <row r="96" spans="1:27" ht="14.25" x14ac:dyDescent="0.45">
      <c r="A96" s="12" t="s">
        <v>1577</v>
      </c>
      <c r="B96" s="12" t="s">
        <v>1971</v>
      </c>
      <c r="C96" s="12" t="s">
        <v>1972</v>
      </c>
      <c r="D96" s="12" t="s">
        <v>1974</v>
      </c>
      <c r="E96" s="20">
        <v>32067</v>
      </c>
      <c r="F96" s="20">
        <v>44419</v>
      </c>
      <c r="G96" s="12">
        <v>16.48</v>
      </c>
      <c r="H96" s="12">
        <v>4.7333333333333298</v>
      </c>
      <c r="I96" s="13">
        <v>3.4816901408450698</v>
      </c>
      <c r="J96" s="12" t="s">
        <v>1577</v>
      </c>
      <c r="K96" s="14">
        <v>520</v>
      </c>
      <c r="L96" s="14">
        <v>1780</v>
      </c>
      <c r="M96" s="14">
        <v>751</v>
      </c>
      <c r="N96" s="12">
        <v>16.48</v>
      </c>
      <c r="O96" s="12" t="s">
        <v>1577</v>
      </c>
      <c r="P96" s="12">
        <v>2.6510307329746098E-3</v>
      </c>
      <c r="Q96" s="12">
        <v>1.5853970817981702E-2</v>
      </c>
      <c r="R96" s="12">
        <v>7.1572580645161296E-2</v>
      </c>
      <c r="S96" s="14">
        <v>35</v>
      </c>
      <c r="T96" s="12">
        <v>1.0902868286103999</v>
      </c>
      <c r="U96" s="14">
        <v>558</v>
      </c>
      <c r="V96" s="14">
        <v>3</v>
      </c>
      <c r="W96" s="12">
        <v>5.7000000000000002E-3</v>
      </c>
      <c r="X96" s="12">
        <v>1.0959868286104</v>
      </c>
      <c r="Y96" s="14">
        <v>558</v>
      </c>
      <c r="Z96" s="14">
        <v>34</v>
      </c>
      <c r="AA96" s="12" t="s">
        <v>2367</v>
      </c>
    </row>
    <row r="97" spans="1:27" ht="14.25" x14ac:dyDescent="0.45">
      <c r="A97" s="12" t="s">
        <v>1585</v>
      </c>
      <c r="B97" s="12" t="s">
        <v>1971</v>
      </c>
      <c r="C97" s="12" t="s">
        <v>1972</v>
      </c>
      <c r="D97" s="12" t="s">
        <v>1974</v>
      </c>
      <c r="E97" s="20">
        <v>32035</v>
      </c>
      <c r="F97" s="20">
        <v>44407</v>
      </c>
      <c r="G97" s="12">
        <v>1.04</v>
      </c>
      <c r="H97" s="12">
        <v>5.1333333333333302</v>
      </c>
      <c r="I97" s="13">
        <v>0.202597402597403</v>
      </c>
      <c r="J97" s="12" t="s">
        <v>1585</v>
      </c>
      <c r="K97" s="14">
        <v>1346</v>
      </c>
      <c r="L97" s="14">
        <v>1720</v>
      </c>
      <c r="M97" s="14">
        <v>1542</v>
      </c>
      <c r="N97" s="12">
        <v>1.04</v>
      </c>
      <c r="O97" s="12" t="s">
        <v>1585</v>
      </c>
      <c r="P97" s="12">
        <v>1.6729805596441699E-4</v>
      </c>
      <c r="Q97" s="12">
        <v>9.2253278684889105E-4</v>
      </c>
      <c r="R97" s="12">
        <v>7.7620967741935498E-2</v>
      </c>
      <c r="S97" s="14">
        <v>35</v>
      </c>
      <c r="T97" s="12">
        <v>6.39319762767213E-2</v>
      </c>
      <c r="U97" s="14">
        <v>1466</v>
      </c>
      <c r="V97" s="14">
        <v>1</v>
      </c>
      <c r="W97" s="12">
        <v>5.4999999999999997E-3</v>
      </c>
      <c r="X97" s="12">
        <v>6.9431976276721305E-2</v>
      </c>
      <c r="Y97" s="14">
        <v>1466</v>
      </c>
      <c r="Z97" s="14">
        <v>34</v>
      </c>
      <c r="AA97" s="12" t="s">
        <v>2367</v>
      </c>
    </row>
    <row r="98" spans="1:27" ht="14.25" x14ac:dyDescent="0.45">
      <c r="A98" s="12" t="s">
        <v>1627</v>
      </c>
      <c r="B98" s="12" t="s">
        <v>1971</v>
      </c>
      <c r="C98" s="12" t="s">
        <v>1972</v>
      </c>
      <c r="D98" s="12" t="s">
        <v>1974</v>
      </c>
      <c r="E98" s="20">
        <v>33711</v>
      </c>
      <c r="F98" s="20">
        <v>44417</v>
      </c>
      <c r="G98" s="12">
        <v>9.34</v>
      </c>
      <c r="H98" s="12">
        <v>4.8</v>
      </c>
      <c r="I98" s="13">
        <v>1.94583333333333</v>
      </c>
      <c r="J98" s="12" t="s">
        <v>1627</v>
      </c>
      <c r="K98" s="14">
        <v>665</v>
      </c>
      <c r="L98" s="14">
        <v>1757</v>
      </c>
      <c r="M98" s="14">
        <v>858</v>
      </c>
      <c r="N98" s="12">
        <v>9.34</v>
      </c>
      <c r="O98" s="12" t="s">
        <v>1627</v>
      </c>
      <c r="P98" s="12">
        <v>1.5024652333727401E-3</v>
      </c>
      <c r="Q98" s="12">
        <v>8.8604050433491698E-3</v>
      </c>
      <c r="R98" s="12">
        <v>7.25806451612903E-2</v>
      </c>
      <c r="S98" s="14">
        <v>30</v>
      </c>
      <c r="T98" s="12">
        <v>0.61011776146080099</v>
      </c>
      <c r="U98" s="14">
        <v>747</v>
      </c>
      <c r="V98" s="14">
        <v>2</v>
      </c>
      <c r="W98" s="12">
        <v>5.5999999999999999E-3</v>
      </c>
      <c r="X98" s="12">
        <v>0.61571776146080104</v>
      </c>
      <c r="Y98" s="14">
        <v>747</v>
      </c>
      <c r="Z98" s="14">
        <v>30</v>
      </c>
      <c r="AA98" s="12" t="s">
        <v>2367</v>
      </c>
    </row>
    <row r="99" spans="1:27" ht="14.25" x14ac:dyDescent="0.45">
      <c r="A99" s="12" t="s">
        <v>1634</v>
      </c>
      <c r="B99" s="12" t="s">
        <v>1971</v>
      </c>
      <c r="C99" s="12" t="s">
        <v>1972</v>
      </c>
      <c r="D99" s="12" t="s">
        <v>1974</v>
      </c>
      <c r="E99" s="20">
        <v>34713</v>
      </c>
      <c r="F99" s="20">
        <v>44417</v>
      </c>
      <c r="G99" s="12">
        <v>0.63</v>
      </c>
      <c r="H99" s="12">
        <v>4.8</v>
      </c>
      <c r="I99" s="13">
        <v>0.13125000000000001</v>
      </c>
      <c r="J99" s="12" t="s">
        <v>1634</v>
      </c>
      <c r="K99" s="14">
        <v>1441</v>
      </c>
      <c r="L99" s="14">
        <v>1757</v>
      </c>
      <c r="M99" s="14">
        <v>1646</v>
      </c>
      <c r="N99" s="12">
        <v>0.63</v>
      </c>
      <c r="O99" s="12" t="s">
        <v>1634</v>
      </c>
      <c r="P99" s="12">
        <v>1.01344014670753E-4</v>
      </c>
      <c r="Q99" s="12">
        <v>5.9765044724946199E-4</v>
      </c>
      <c r="R99" s="12">
        <v>7.25806451612903E-2</v>
      </c>
      <c r="S99" s="14">
        <v>27</v>
      </c>
      <c r="T99" s="12">
        <v>4.1153553503244601E-2</v>
      </c>
      <c r="U99" s="14">
        <v>1554</v>
      </c>
      <c r="V99" s="14">
        <v>1</v>
      </c>
      <c r="W99" s="12">
        <v>5.4999999999999997E-3</v>
      </c>
      <c r="X99" s="12">
        <v>4.6653553503244599E-2</v>
      </c>
      <c r="Y99" s="14">
        <v>1555</v>
      </c>
      <c r="Z99" s="14">
        <v>27</v>
      </c>
      <c r="AA99" s="12" t="s">
        <v>2367</v>
      </c>
    </row>
    <row r="100" spans="1:27" ht="14.25" x14ac:dyDescent="0.45">
      <c r="A100" s="12" t="s">
        <v>1642</v>
      </c>
      <c r="B100" s="12" t="s">
        <v>1971</v>
      </c>
      <c r="C100" s="12" t="s">
        <v>1972</v>
      </c>
      <c r="D100" s="12" t="s">
        <v>1974</v>
      </c>
      <c r="E100" s="20">
        <v>35589</v>
      </c>
      <c r="F100" s="20">
        <v>44417</v>
      </c>
      <c r="G100" s="12">
        <v>0.53</v>
      </c>
      <c r="H100" s="12">
        <v>4.8</v>
      </c>
      <c r="I100" s="13">
        <v>0.110416666666667</v>
      </c>
      <c r="J100" s="12" t="s">
        <v>1642</v>
      </c>
      <c r="K100" s="14">
        <v>1466</v>
      </c>
      <c r="L100" s="14">
        <v>1757</v>
      </c>
      <c r="M100" s="14">
        <v>1673</v>
      </c>
      <c r="N100" s="12">
        <v>0.53</v>
      </c>
      <c r="O100" s="12" t="s">
        <v>1642</v>
      </c>
      <c r="P100" s="12">
        <v>8.5257663135712494E-5</v>
      </c>
      <c r="Q100" s="12">
        <v>5.0278529689240503E-4</v>
      </c>
      <c r="R100" s="12">
        <v>7.25806451612903E-2</v>
      </c>
      <c r="S100" s="14">
        <v>25</v>
      </c>
      <c r="T100" s="12">
        <v>3.4621243423364499E-2</v>
      </c>
      <c r="U100" s="14">
        <v>1589</v>
      </c>
      <c r="V100" s="14">
        <v>2</v>
      </c>
      <c r="W100" s="12">
        <v>5.5999999999999999E-3</v>
      </c>
      <c r="X100" s="12">
        <v>4.02212434233645E-2</v>
      </c>
      <c r="Y100" s="14">
        <v>1589</v>
      </c>
      <c r="Z100" s="14">
        <v>25</v>
      </c>
      <c r="AA100" s="12" t="s">
        <v>2367</v>
      </c>
    </row>
    <row r="101" spans="1:27" ht="14.25" x14ac:dyDescent="0.45">
      <c r="A101" s="12" t="s">
        <v>1643</v>
      </c>
      <c r="B101" s="12" t="s">
        <v>1971</v>
      </c>
      <c r="C101" s="12" t="s">
        <v>1972</v>
      </c>
      <c r="D101" s="12" t="s">
        <v>1974</v>
      </c>
      <c r="E101" s="20">
        <v>35236</v>
      </c>
      <c r="F101" s="20">
        <v>44335</v>
      </c>
      <c r="G101" s="12">
        <v>0.44</v>
      </c>
      <c r="H101" s="12">
        <v>7.5333333333333297</v>
      </c>
      <c r="I101" s="13">
        <v>5.8407079646017698E-2</v>
      </c>
      <c r="J101" s="12" t="s">
        <v>1643</v>
      </c>
      <c r="K101" s="14">
        <v>1583</v>
      </c>
      <c r="L101" s="14">
        <v>1332</v>
      </c>
      <c r="M101" s="14">
        <v>1702</v>
      </c>
      <c r="N101" s="12">
        <v>0.44</v>
      </c>
      <c r="O101" s="12" t="s">
        <v>1643</v>
      </c>
      <c r="P101" s="12">
        <v>7.0779946754176393E-5</v>
      </c>
      <c r="Q101" s="12">
        <v>2.6595822684173301E-4</v>
      </c>
      <c r="R101" s="12">
        <v>0.113911290322581</v>
      </c>
      <c r="S101" s="14">
        <v>26</v>
      </c>
      <c r="T101" s="12">
        <v>1.92766371808899E-2</v>
      </c>
      <c r="U101" s="14">
        <v>1689</v>
      </c>
      <c r="V101" s="14">
        <v>1</v>
      </c>
      <c r="W101" s="12">
        <v>5.4999999999999997E-3</v>
      </c>
      <c r="X101" s="12">
        <v>2.4776637180889901E-2</v>
      </c>
      <c r="Y101" s="14">
        <v>1689</v>
      </c>
      <c r="Z101" s="14">
        <v>26</v>
      </c>
      <c r="AA101" s="12" t="s">
        <v>2367</v>
      </c>
    </row>
    <row r="102" spans="1:27" ht="14.25" x14ac:dyDescent="0.45">
      <c r="A102" s="12" t="s">
        <v>1655</v>
      </c>
      <c r="B102" s="12" t="s">
        <v>1971</v>
      </c>
      <c r="C102" s="12" t="s">
        <v>1972</v>
      </c>
      <c r="D102" s="12" t="s">
        <v>1974</v>
      </c>
      <c r="E102" s="20">
        <v>32507</v>
      </c>
      <c r="F102" s="20">
        <v>44426</v>
      </c>
      <c r="G102" s="12">
        <v>30.83</v>
      </c>
      <c r="H102" s="12">
        <v>4.5</v>
      </c>
      <c r="I102" s="13">
        <v>6.85111111111111</v>
      </c>
      <c r="J102" s="12" t="s">
        <v>1655</v>
      </c>
      <c r="K102" s="14">
        <v>382</v>
      </c>
      <c r="L102" s="14">
        <v>1839</v>
      </c>
      <c r="M102" s="14">
        <v>562</v>
      </c>
      <c r="N102" s="12">
        <v>30.83</v>
      </c>
      <c r="O102" s="12" t="s">
        <v>1655</v>
      </c>
      <c r="P102" s="12">
        <v>4.9594221782528602E-3</v>
      </c>
      <c r="Q102" s="12">
        <v>3.1196720912086199E-2</v>
      </c>
      <c r="R102" s="12">
        <v>6.80443548387097E-2</v>
      </c>
      <c r="S102" s="14">
        <v>34</v>
      </c>
      <c r="T102" s="12">
        <v>2.13577338868987</v>
      </c>
      <c r="U102" s="14">
        <v>432</v>
      </c>
      <c r="V102" s="14">
        <v>3</v>
      </c>
      <c r="W102" s="12">
        <v>5.7000000000000002E-3</v>
      </c>
      <c r="X102" s="12">
        <v>2.14147338868987</v>
      </c>
      <c r="Y102" s="14">
        <v>432</v>
      </c>
      <c r="Z102" s="14">
        <v>33</v>
      </c>
      <c r="AA102" s="12" t="s">
        <v>2367</v>
      </c>
    </row>
    <row r="103" spans="1:27" ht="14.25" x14ac:dyDescent="0.45">
      <c r="A103" s="12" t="s">
        <v>1657</v>
      </c>
      <c r="B103" s="12" t="s">
        <v>1971</v>
      </c>
      <c r="C103" s="12" t="s">
        <v>1972</v>
      </c>
      <c r="D103" s="12" t="s">
        <v>1974</v>
      </c>
      <c r="E103" s="20">
        <v>34096</v>
      </c>
      <c r="F103" s="20">
        <v>44414</v>
      </c>
      <c r="G103" s="12">
        <v>2.39</v>
      </c>
      <c r="H103" s="12">
        <v>4.9000000000000004</v>
      </c>
      <c r="I103" s="13">
        <v>0.48775510204081601</v>
      </c>
      <c r="J103" s="12" t="s">
        <v>1657</v>
      </c>
      <c r="K103" s="14">
        <v>1065</v>
      </c>
      <c r="L103" s="14">
        <v>1748</v>
      </c>
      <c r="M103" s="14">
        <v>1295</v>
      </c>
      <c r="N103" s="12">
        <v>2.39</v>
      </c>
      <c r="O103" s="12" t="s">
        <v>1657</v>
      </c>
      <c r="P103" s="12">
        <v>3.8446380168745799E-4</v>
      </c>
      <c r="Q103" s="12">
        <v>2.2210061324411498E-3</v>
      </c>
      <c r="R103" s="12">
        <v>7.4092741935483902E-2</v>
      </c>
      <c r="S103" s="14">
        <v>29</v>
      </c>
      <c r="T103" s="12">
        <v>0.153230275840852</v>
      </c>
      <c r="U103" s="14">
        <v>1148</v>
      </c>
      <c r="V103" s="14">
        <v>1</v>
      </c>
      <c r="W103" s="12">
        <v>5.4999999999999997E-3</v>
      </c>
      <c r="X103" s="12">
        <v>0.158730275840852</v>
      </c>
      <c r="Y103" s="14">
        <v>1148</v>
      </c>
      <c r="Z103" s="14">
        <v>29</v>
      </c>
      <c r="AA103" s="12" t="s">
        <v>2367</v>
      </c>
    </row>
    <row r="104" spans="1:27" ht="14.25" x14ac:dyDescent="0.45">
      <c r="A104" s="12" t="s">
        <v>1658</v>
      </c>
      <c r="B104" s="12" t="s">
        <v>1971</v>
      </c>
      <c r="C104" s="12" t="s">
        <v>1972</v>
      </c>
      <c r="D104" s="12" t="s">
        <v>1974</v>
      </c>
      <c r="E104" s="20">
        <v>34601</v>
      </c>
      <c r="F104" s="20">
        <v>44334</v>
      </c>
      <c r="G104" s="12">
        <v>0.18</v>
      </c>
      <c r="H104" s="12">
        <v>7.56666666666667</v>
      </c>
      <c r="I104" s="13">
        <v>2.3788546255506599E-2</v>
      </c>
      <c r="J104" s="12" t="s">
        <v>1658</v>
      </c>
      <c r="K104" s="14">
        <v>1674</v>
      </c>
      <c r="L104" s="14">
        <v>1269</v>
      </c>
      <c r="M104" s="14">
        <v>1787</v>
      </c>
      <c r="N104" s="12">
        <v>0.18</v>
      </c>
      <c r="O104" s="12" t="s">
        <v>1658</v>
      </c>
      <c r="P104" s="12">
        <v>2.89554327630722E-5</v>
      </c>
      <c r="Q104" s="12">
        <v>1.0832179283061399E-4</v>
      </c>
      <c r="R104" s="12">
        <v>0.114415322580645</v>
      </c>
      <c r="S104" s="14">
        <v>28</v>
      </c>
      <c r="T104" s="12">
        <v>7.8559407805285607E-3</v>
      </c>
      <c r="U104" s="14">
        <v>1778</v>
      </c>
      <c r="V104" s="14">
        <v>2</v>
      </c>
      <c r="W104" s="12">
        <v>5.5999999999999999E-3</v>
      </c>
      <c r="X104" s="12">
        <v>1.34559407805286E-2</v>
      </c>
      <c r="Y104" s="14">
        <v>1777</v>
      </c>
      <c r="Z104" s="14">
        <v>27</v>
      </c>
      <c r="AA104" s="12" t="s">
        <v>2367</v>
      </c>
    </row>
    <row r="105" spans="1:27" ht="14.25" x14ac:dyDescent="0.45">
      <c r="A105" s="12" t="s">
        <v>1689</v>
      </c>
      <c r="B105" s="12" t="s">
        <v>1971</v>
      </c>
      <c r="C105" s="12" t="s">
        <v>1972</v>
      </c>
      <c r="D105" s="12" t="s">
        <v>1974</v>
      </c>
      <c r="E105" s="20">
        <v>33064</v>
      </c>
      <c r="F105" s="20">
        <v>44389</v>
      </c>
      <c r="G105" s="12">
        <v>0.14000000000000001</v>
      </c>
      <c r="H105" s="12">
        <v>5.7333333333333298</v>
      </c>
      <c r="I105" s="13">
        <v>2.4418604651162801E-2</v>
      </c>
      <c r="J105" s="12" t="s">
        <v>1689</v>
      </c>
      <c r="K105" s="14">
        <v>1672</v>
      </c>
      <c r="L105" s="14">
        <v>1660</v>
      </c>
      <c r="M105" s="14">
        <v>1812</v>
      </c>
      <c r="N105" s="12">
        <v>0.14000000000000001</v>
      </c>
      <c r="O105" s="12" t="s">
        <v>1689</v>
      </c>
      <c r="P105" s="12">
        <v>2.2520892149056099E-5</v>
      </c>
      <c r="Q105" s="12">
        <v>1.11190780883621E-4</v>
      </c>
      <c r="R105" s="12">
        <v>8.6693548387096794E-2</v>
      </c>
      <c r="S105" s="14">
        <v>32</v>
      </c>
      <c r="T105" s="12">
        <v>7.7939572608159103E-3</v>
      </c>
      <c r="U105" s="14">
        <v>1779</v>
      </c>
      <c r="V105" s="14">
        <v>1</v>
      </c>
      <c r="W105" s="12">
        <v>5.4999999999999997E-3</v>
      </c>
      <c r="X105" s="12">
        <v>1.32939572608159E-2</v>
      </c>
      <c r="Y105" s="14">
        <v>1779</v>
      </c>
      <c r="Z105" s="14">
        <v>32</v>
      </c>
      <c r="AA105" s="12" t="s">
        <v>2367</v>
      </c>
    </row>
    <row r="106" spans="1:27" ht="14.25" x14ac:dyDescent="0.45">
      <c r="A106" s="12" t="s">
        <v>1706</v>
      </c>
      <c r="B106" s="12" t="s">
        <v>1971</v>
      </c>
      <c r="C106" s="12" t="s">
        <v>1972</v>
      </c>
      <c r="D106" s="12" t="s">
        <v>1974</v>
      </c>
      <c r="E106" s="20">
        <v>33967</v>
      </c>
      <c r="F106" s="20">
        <v>44404</v>
      </c>
      <c r="G106" s="12">
        <v>1.31</v>
      </c>
      <c r="H106" s="12">
        <v>5.2333333333333298</v>
      </c>
      <c r="I106" s="13">
        <v>0.25031847133758001</v>
      </c>
      <c r="J106" s="12" t="s">
        <v>1706</v>
      </c>
      <c r="K106" s="14">
        <v>1276</v>
      </c>
      <c r="L106" s="14">
        <v>1697</v>
      </c>
      <c r="M106" s="14">
        <v>1502</v>
      </c>
      <c r="N106" s="12">
        <v>1.31</v>
      </c>
      <c r="O106" s="12" t="s">
        <v>1706</v>
      </c>
      <c r="P106" s="12">
        <v>2.1073120510902501E-4</v>
      </c>
      <c r="Q106" s="12">
        <v>1.1398319721882401E-3</v>
      </c>
      <c r="R106" s="12">
        <v>7.9133064516129004E-2</v>
      </c>
      <c r="S106" s="14">
        <v>30</v>
      </c>
      <c r="T106" s="12">
        <v>7.9141918453353305E-2</v>
      </c>
      <c r="U106" s="14">
        <v>1364</v>
      </c>
      <c r="V106" s="14">
        <v>1</v>
      </c>
      <c r="W106" s="12">
        <v>5.4999999999999997E-3</v>
      </c>
      <c r="X106" s="12">
        <v>8.4641918453353296E-2</v>
      </c>
      <c r="Y106" s="14">
        <v>1364</v>
      </c>
      <c r="Z106" s="14">
        <v>29</v>
      </c>
      <c r="AA106" s="12" t="s">
        <v>2367</v>
      </c>
    </row>
    <row r="107" spans="1:27" ht="14.25" x14ac:dyDescent="0.45">
      <c r="A107" s="12" t="s">
        <v>1710</v>
      </c>
      <c r="B107" s="12" t="s">
        <v>1971</v>
      </c>
      <c r="C107" s="12" t="s">
        <v>1972</v>
      </c>
      <c r="D107" s="12" t="s">
        <v>1974</v>
      </c>
      <c r="E107" s="20">
        <v>34223</v>
      </c>
      <c r="F107" s="20">
        <v>44370</v>
      </c>
      <c r="G107" s="12">
        <v>2.0299999999999998</v>
      </c>
      <c r="H107" s="12">
        <v>6.3666666666666698</v>
      </c>
      <c r="I107" s="13">
        <v>0.31884816753926698</v>
      </c>
      <c r="J107" s="12" t="s">
        <v>1710</v>
      </c>
      <c r="K107" s="14">
        <v>1209</v>
      </c>
      <c r="L107" s="14">
        <v>1504</v>
      </c>
      <c r="M107" s="14">
        <v>1355</v>
      </c>
      <c r="N107" s="12">
        <v>2.0299999999999998</v>
      </c>
      <c r="O107" s="12" t="s">
        <v>1710</v>
      </c>
      <c r="P107" s="12">
        <v>3.2655293616131402E-4</v>
      </c>
      <c r="Q107" s="12">
        <v>1.45188380902487E-3</v>
      </c>
      <c r="R107" s="12">
        <v>9.6270161290322606E-2</v>
      </c>
      <c r="S107" s="14">
        <v>29</v>
      </c>
      <c r="T107" s="12">
        <v>0.102988473170104</v>
      </c>
      <c r="U107" s="14">
        <v>1285</v>
      </c>
      <c r="V107" s="14">
        <v>1</v>
      </c>
      <c r="W107" s="12">
        <v>5.4999999999999997E-3</v>
      </c>
      <c r="X107" s="12">
        <v>0.108488473170104</v>
      </c>
      <c r="Y107" s="14">
        <v>1285</v>
      </c>
      <c r="Z107" s="14">
        <v>28</v>
      </c>
      <c r="AA107" s="12" t="s">
        <v>2367</v>
      </c>
    </row>
    <row r="108" spans="1:27" ht="14.25" x14ac:dyDescent="0.45">
      <c r="A108" s="12" t="s">
        <v>1713</v>
      </c>
      <c r="B108" s="12" t="s">
        <v>1971</v>
      </c>
      <c r="C108" s="12" t="s">
        <v>1972</v>
      </c>
      <c r="D108" s="12" t="s">
        <v>1974</v>
      </c>
      <c r="E108" s="20">
        <v>32281</v>
      </c>
      <c r="F108" s="20">
        <v>44417</v>
      </c>
      <c r="G108" s="12">
        <v>0.15</v>
      </c>
      <c r="H108" s="12">
        <v>4.8</v>
      </c>
      <c r="I108" s="13">
        <v>3.125E-2</v>
      </c>
      <c r="J108" s="12" t="s">
        <v>1713</v>
      </c>
      <c r="K108" s="14">
        <v>1652</v>
      </c>
      <c r="L108" s="14">
        <v>1757</v>
      </c>
      <c r="M108" s="14">
        <v>1807</v>
      </c>
      <c r="N108" s="12">
        <v>0.15</v>
      </c>
      <c r="O108" s="12" t="s">
        <v>1713</v>
      </c>
      <c r="P108" s="12">
        <v>2.4129527302560101E-5</v>
      </c>
      <c r="Q108" s="12">
        <v>1.4229772553558601E-4</v>
      </c>
      <c r="R108" s="12">
        <v>7.25806451612903E-2</v>
      </c>
      <c r="S108" s="14">
        <v>34</v>
      </c>
      <c r="T108" s="12">
        <v>9.7984651198201392E-3</v>
      </c>
      <c r="U108" s="14">
        <v>1762</v>
      </c>
      <c r="V108" s="14">
        <v>1</v>
      </c>
      <c r="W108" s="12">
        <v>5.4999999999999997E-3</v>
      </c>
      <c r="X108" s="12">
        <v>1.5298465119820101E-2</v>
      </c>
      <c r="Y108" s="14">
        <v>1762</v>
      </c>
      <c r="Z108" s="14">
        <v>34</v>
      </c>
      <c r="AA108" s="12" t="s">
        <v>2367</v>
      </c>
    </row>
    <row r="109" spans="1:27" ht="14.25" x14ac:dyDescent="0.45">
      <c r="A109" s="12" t="s">
        <v>1728</v>
      </c>
      <c r="B109" s="12" t="s">
        <v>1971</v>
      </c>
      <c r="C109" s="12" t="s">
        <v>1972</v>
      </c>
      <c r="D109" s="12" t="s">
        <v>1974</v>
      </c>
      <c r="E109" s="20">
        <v>33409</v>
      </c>
      <c r="F109" s="20">
        <v>44424</v>
      </c>
      <c r="G109" s="12">
        <v>7.04</v>
      </c>
      <c r="H109" s="12">
        <v>4.56666666666667</v>
      </c>
      <c r="I109" s="13">
        <v>1.5416058394160601</v>
      </c>
      <c r="J109" s="12" t="s">
        <v>1728</v>
      </c>
      <c r="K109" s="14">
        <v>727</v>
      </c>
      <c r="L109" s="14">
        <v>1809</v>
      </c>
      <c r="M109" s="14">
        <v>919</v>
      </c>
      <c r="N109" s="12">
        <v>7.04</v>
      </c>
      <c r="O109" s="12" t="s">
        <v>1728</v>
      </c>
      <c r="P109" s="12">
        <v>1.1324791480668199E-3</v>
      </c>
      <c r="Q109" s="12">
        <v>7.0197441478810603E-3</v>
      </c>
      <c r="R109" s="12">
        <v>6.9052419354838704E-2</v>
      </c>
      <c r="S109" s="14">
        <v>31</v>
      </c>
      <c r="T109" s="12">
        <v>0.48120197729507203</v>
      </c>
      <c r="U109" s="14">
        <v>793</v>
      </c>
      <c r="V109" s="14">
        <v>1</v>
      </c>
      <c r="W109" s="12">
        <v>5.4999999999999997E-3</v>
      </c>
      <c r="X109" s="12">
        <v>0.48670197729507197</v>
      </c>
      <c r="Y109" s="14">
        <v>793</v>
      </c>
      <c r="Z109" s="14">
        <v>31</v>
      </c>
      <c r="AA109" s="12" t="s">
        <v>2367</v>
      </c>
    </row>
    <row r="110" spans="1:27" ht="14.25" x14ac:dyDescent="0.45">
      <c r="A110" s="12" t="s">
        <v>1733</v>
      </c>
      <c r="B110" s="12" t="s">
        <v>1971</v>
      </c>
      <c r="C110" s="12" t="s">
        <v>1972</v>
      </c>
      <c r="D110" s="12" t="s">
        <v>1974</v>
      </c>
      <c r="E110" s="20">
        <v>34785</v>
      </c>
      <c r="F110" s="20">
        <v>44382</v>
      </c>
      <c r="G110" s="12">
        <v>203.83</v>
      </c>
      <c r="H110" s="12">
        <v>5.9666666666666703</v>
      </c>
      <c r="I110" s="13">
        <v>34.161452513966502</v>
      </c>
      <c r="J110" s="12" t="s">
        <v>1733</v>
      </c>
      <c r="K110" s="14">
        <v>69</v>
      </c>
      <c r="L110" s="14">
        <v>1646</v>
      </c>
      <c r="M110" s="14">
        <v>284</v>
      </c>
      <c r="N110" s="12">
        <v>203.83</v>
      </c>
      <c r="O110" s="12" t="s">
        <v>1733</v>
      </c>
      <c r="P110" s="12">
        <v>3.2788810333872202E-2</v>
      </c>
      <c r="Q110" s="12">
        <v>0.15555510379934001</v>
      </c>
      <c r="R110" s="12">
        <v>9.0221774193548404E-2</v>
      </c>
      <c r="S110" s="14">
        <v>27</v>
      </c>
      <c r="T110" s="12">
        <v>10.9517743749789</v>
      </c>
      <c r="U110" s="14">
        <v>101</v>
      </c>
      <c r="V110" s="14">
        <v>3</v>
      </c>
      <c r="W110" s="12">
        <v>5.7000000000000002E-3</v>
      </c>
      <c r="X110" s="12">
        <v>10.957474374978901</v>
      </c>
      <c r="Y110" s="14">
        <v>101</v>
      </c>
      <c r="Z110" s="14">
        <v>27</v>
      </c>
      <c r="AA110" s="12" t="s">
        <v>2367</v>
      </c>
    </row>
    <row r="111" spans="1:27" ht="14.25" x14ac:dyDescent="0.45">
      <c r="A111" s="12" t="s">
        <v>1737</v>
      </c>
      <c r="B111" s="12" t="s">
        <v>1971</v>
      </c>
      <c r="C111" s="12" t="s">
        <v>1972</v>
      </c>
      <c r="D111" s="12" t="s">
        <v>1974</v>
      </c>
      <c r="E111" s="20">
        <v>32070</v>
      </c>
      <c r="F111" s="20">
        <v>44370</v>
      </c>
      <c r="G111" s="12">
        <v>2.5</v>
      </c>
      <c r="H111" s="12">
        <v>6.3666666666666698</v>
      </c>
      <c r="I111" s="13">
        <v>0.39267015706806302</v>
      </c>
      <c r="J111" s="12" t="s">
        <v>1737</v>
      </c>
      <c r="K111" s="14">
        <v>1147</v>
      </c>
      <c r="L111" s="14">
        <v>1504</v>
      </c>
      <c r="M111" s="14">
        <v>1272</v>
      </c>
      <c r="N111" s="12">
        <v>2.5</v>
      </c>
      <c r="O111" s="12" t="s">
        <v>1737</v>
      </c>
      <c r="P111" s="12">
        <v>4.0215878837600202E-4</v>
      </c>
      <c r="Q111" s="12">
        <v>1.7880342475675799E-3</v>
      </c>
      <c r="R111" s="12">
        <v>9.6270161290322606E-2</v>
      </c>
      <c r="S111" s="14">
        <v>35</v>
      </c>
      <c r="T111" s="12">
        <v>0.12683309503707399</v>
      </c>
      <c r="U111" s="14">
        <v>1211</v>
      </c>
      <c r="V111" s="14">
        <v>1</v>
      </c>
      <c r="W111" s="12">
        <v>5.4999999999999997E-3</v>
      </c>
      <c r="X111" s="12">
        <v>0.13233309503707399</v>
      </c>
      <c r="Y111" s="14">
        <v>1211</v>
      </c>
      <c r="Z111" s="14">
        <v>34</v>
      </c>
      <c r="AA111" s="12" t="s">
        <v>2367</v>
      </c>
    </row>
    <row r="112" spans="1:27" ht="14.25" x14ac:dyDescent="0.45">
      <c r="A112" s="12" t="s">
        <v>1748</v>
      </c>
      <c r="B112" s="12" t="s">
        <v>1971</v>
      </c>
      <c r="C112" s="12" t="s">
        <v>1972</v>
      </c>
      <c r="D112" s="12" t="s">
        <v>1974</v>
      </c>
      <c r="E112" s="20">
        <v>35551</v>
      </c>
      <c r="F112" s="20">
        <v>44372</v>
      </c>
      <c r="G112" s="12">
        <v>0.46</v>
      </c>
      <c r="H112" s="12">
        <v>6.3</v>
      </c>
      <c r="I112" s="13">
        <v>7.3015873015873006E-2</v>
      </c>
      <c r="J112" s="12" t="s">
        <v>1748</v>
      </c>
      <c r="K112" s="14">
        <v>1555</v>
      </c>
      <c r="L112" s="14">
        <v>1606</v>
      </c>
      <c r="M112" s="14">
        <v>1696</v>
      </c>
      <c r="N112" s="12">
        <v>0.46</v>
      </c>
      <c r="O112" s="12" t="s">
        <v>1748</v>
      </c>
      <c r="P112" s="12">
        <v>7.3997217061184405E-5</v>
      </c>
      <c r="Q112" s="12">
        <v>3.3247976506092498E-4</v>
      </c>
      <c r="R112" s="12">
        <v>9.5262096774193505E-2</v>
      </c>
      <c r="S112" s="14">
        <v>25</v>
      </c>
      <c r="T112" s="12">
        <v>2.3554880956102201E-2</v>
      </c>
      <c r="U112" s="14">
        <v>1659</v>
      </c>
      <c r="V112" s="14">
        <v>1</v>
      </c>
      <c r="W112" s="12">
        <v>5.4999999999999997E-3</v>
      </c>
      <c r="X112" s="12">
        <v>2.9054880956102199E-2</v>
      </c>
      <c r="Y112" s="14">
        <v>1660</v>
      </c>
      <c r="Z112" s="14">
        <v>25</v>
      </c>
      <c r="AA112" s="12" t="s">
        <v>2367</v>
      </c>
    </row>
    <row r="113" spans="1:27" ht="14.25" x14ac:dyDescent="0.45">
      <c r="A113" s="12" t="s">
        <v>1766</v>
      </c>
      <c r="B113" s="12" t="s">
        <v>1971</v>
      </c>
      <c r="C113" s="12" t="s">
        <v>1972</v>
      </c>
      <c r="D113" s="12" t="s">
        <v>1974</v>
      </c>
      <c r="E113" s="20">
        <v>32984</v>
      </c>
      <c r="F113" s="20">
        <v>44438</v>
      </c>
      <c r="G113" s="12">
        <v>9.5399999999999991</v>
      </c>
      <c r="H113" s="12">
        <v>4.0999999999999996</v>
      </c>
      <c r="I113" s="13">
        <v>2.3268292682926801</v>
      </c>
      <c r="J113" s="12" t="s">
        <v>1766</v>
      </c>
      <c r="K113" s="14">
        <v>615</v>
      </c>
      <c r="L113" s="14">
        <v>1854</v>
      </c>
      <c r="M113" s="14">
        <v>853</v>
      </c>
      <c r="N113" s="12">
        <v>9.5399999999999991</v>
      </c>
      <c r="O113" s="12" t="s">
        <v>1766</v>
      </c>
      <c r="P113" s="12">
        <v>1.5346379364428199E-3</v>
      </c>
      <c r="Q113" s="12">
        <v>1.0595280402805799E-2</v>
      </c>
      <c r="R113" s="12">
        <v>6.1995967741935498E-2</v>
      </c>
      <c r="S113" s="14">
        <v>32</v>
      </c>
      <c r="T113" s="12">
        <v>0.719753947791968</v>
      </c>
      <c r="U113" s="14">
        <v>703</v>
      </c>
      <c r="V113" s="14">
        <v>2</v>
      </c>
      <c r="W113" s="12">
        <v>5.5999999999999999E-3</v>
      </c>
      <c r="X113" s="12">
        <v>0.72535394779196805</v>
      </c>
      <c r="Y113" s="14">
        <v>703</v>
      </c>
      <c r="Z113" s="14">
        <v>32</v>
      </c>
      <c r="AA113" s="12" t="s">
        <v>2367</v>
      </c>
    </row>
    <row r="114" spans="1:27" ht="14.25" x14ac:dyDescent="0.45">
      <c r="A114" s="12" t="s">
        <v>1767</v>
      </c>
      <c r="B114" s="12" t="s">
        <v>1971</v>
      </c>
      <c r="C114" s="12" t="s">
        <v>1972</v>
      </c>
      <c r="D114" s="12" t="s">
        <v>1974</v>
      </c>
      <c r="E114" s="20">
        <v>33221</v>
      </c>
      <c r="F114" s="20">
        <v>44410</v>
      </c>
      <c r="G114" s="12">
        <v>1.75</v>
      </c>
      <c r="H114" s="12">
        <v>5.0333333333333297</v>
      </c>
      <c r="I114" s="13">
        <v>0.34768211920529801</v>
      </c>
      <c r="J114" s="12" t="s">
        <v>1767</v>
      </c>
      <c r="K114" s="14">
        <v>1191</v>
      </c>
      <c r="L114" s="14">
        <v>1727</v>
      </c>
      <c r="M114" s="14">
        <v>1449</v>
      </c>
      <c r="N114" s="12">
        <v>1.75</v>
      </c>
      <c r="O114" s="12" t="s">
        <v>1767</v>
      </c>
      <c r="P114" s="12">
        <v>2.8151115186320199E-4</v>
      </c>
      <c r="Q114" s="12">
        <v>1.5831799927138099E-3</v>
      </c>
      <c r="R114" s="12">
        <v>7.6108870967741896E-2</v>
      </c>
      <c r="S114" s="14">
        <v>32</v>
      </c>
      <c r="T114" s="12">
        <v>0.109505417739483</v>
      </c>
      <c r="U114" s="14">
        <v>1266</v>
      </c>
      <c r="V114" s="14">
        <v>1</v>
      </c>
      <c r="W114" s="12">
        <v>5.4999999999999997E-3</v>
      </c>
      <c r="X114" s="12">
        <v>0.115005417739483</v>
      </c>
      <c r="Y114" s="14">
        <v>1266</v>
      </c>
      <c r="Z114" s="14">
        <v>31</v>
      </c>
      <c r="AA114" s="12" t="s">
        <v>2367</v>
      </c>
    </row>
    <row r="115" spans="1:27" ht="14.25" x14ac:dyDescent="0.45">
      <c r="A115" s="12" t="s">
        <v>1775</v>
      </c>
      <c r="B115" s="12" t="s">
        <v>1971</v>
      </c>
      <c r="C115" s="12" t="s">
        <v>1972</v>
      </c>
      <c r="D115" s="12" t="s">
        <v>1974</v>
      </c>
      <c r="E115" s="20">
        <v>35192</v>
      </c>
      <c r="F115" s="20">
        <v>44419</v>
      </c>
      <c r="G115" s="12">
        <v>127.53</v>
      </c>
      <c r="H115" s="12">
        <v>4.7333333333333298</v>
      </c>
      <c r="I115" s="13">
        <v>26.9429577464789</v>
      </c>
      <c r="J115" s="12" t="s">
        <v>1775</v>
      </c>
      <c r="K115" s="14">
        <v>94</v>
      </c>
      <c r="L115" s="14">
        <v>1780</v>
      </c>
      <c r="M115" s="14">
        <v>343</v>
      </c>
      <c r="N115" s="12">
        <v>127.53</v>
      </c>
      <c r="O115" s="12" t="s">
        <v>1775</v>
      </c>
      <c r="P115" s="12">
        <v>2.0514924112636598E-2</v>
      </c>
      <c r="Q115" s="12">
        <v>0.12268549140881101</v>
      </c>
      <c r="R115" s="12">
        <v>7.1572580645161296E-2</v>
      </c>
      <c r="S115" s="14">
        <v>26</v>
      </c>
      <c r="T115" s="12">
        <v>8.4371528672745697</v>
      </c>
      <c r="U115" s="14">
        <v>138</v>
      </c>
      <c r="V115" s="14">
        <v>3</v>
      </c>
      <c r="W115" s="12">
        <v>5.7000000000000002E-3</v>
      </c>
      <c r="X115" s="12">
        <v>8.4428528672745706</v>
      </c>
      <c r="Y115" s="14">
        <v>138</v>
      </c>
      <c r="Z115" s="14">
        <v>26</v>
      </c>
      <c r="AA115" s="12" t="s">
        <v>2367</v>
      </c>
    </row>
    <row r="116" spans="1:27" ht="14.25" x14ac:dyDescent="0.45">
      <c r="A116" s="12" t="s">
        <v>1797</v>
      </c>
      <c r="B116" s="12" t="s">
        <v>1971</v>
      </c>
      <c r="C116" s="12" t="s">
        <v>1972</v>
      </c>
      <c r="D116" s="12" t="s">
        <v>1974</v>
      </c>
      <c r="E116" s="20">
        <v>32910</v>
      </c>
      <c r="F116" s="20">
        <v>44417</v>
      </c>
      <c r="G116" s="12">
        <v>1.84</v>
      </c>
      <c r="H116" s="12">
        <v>4.8</v>
      </c>
      <c r="I116" s="13">
        <v>0.38333333333333303</v>
      </c>
      <c r="J116" s="12" t="s">
        <v>1797</v>
      </c>
      <c r="K116" s="14">
        <v>1156</v>
      </c>
      <c r="L116" s="14">
        <v>1757</v>
      </c>
      <c r="M116" s="14">
        <v>1433</v>
      </c>
      <c r="N116" s="12">
        <v>1.84</v>
      </c>
      <c r="O116" s="12" t="s">
        <v>1797</v>
      </c>
      <c r="P116" s="12">
        <v>2.95988868244738E-4</v>
      </c>
      <c r="Q116" s="12">
        <v>1.74551876656986E-3</v>
      </c>
      <c r="R116" s="12">
        <v>7.25806451612903E-2</v>
      </c>
      <c r="S116" s="14">
        <v>32</v>
      </c>
      <c r="T116" s="12">
        <v>0.120194505469794</v>
      </c>
      <c r="U116" s="14">
        <v>1230</v>
      </c>
      <c r="V116" s="14">
        <v>1</v>
      </c>
      <c r="W116" s="12">
        <v>5.4999999999999997E-3</v>
      </c>
      <c r="X116" s="12">
        <v>0.12569450546979399</v>
      </c>
      <c r="Y116" s="14">
        <v>1230</v>
      </c>
      <c r="Z116" s="14">
        <v>32</v>
      </c>
      <c r="AA116" s="12" t="s">
        <v>2367</v>
      </c>
    </row>
    <row r="117" spans="1:27" ht="14.25" x14ac:dyDescent="0.45">
      <c r="A117" s="12" t="s">
        <v>1802</v>
      </c>
      <c r="B117" s="12" t="s">
        <v>1971</v>
      </c>
      <c r="C117" s="12" t="s">
        <v>1972</v>
      </c>
      <c r="D117" s="12" t="s">
        <v>1974</v>
      </c>
      <c r="E117" s="20">
        <v>34174</v>
      </c>
      <c r="F117" s="20">
        <v>43708</v>
      </c>
      <c r="G117" s="12">
        <v>0.14000000000000001</v>
      </c>
      <c r="H117" s="12">
        <v>28.433333333333302</v>
      </c>
      <c r="I117" s="13">
        <v>4.9237983587338803E-3</v>
      </c>
      <c r="J117" s="12" t="s">
        <v>1802</v>
      </c>
      <c r="K117" s="14">
        <v>1780</v>
      </c>
      <c r="L117" s="14">
        <v>274</v>
      </c>
      <c r="M117" s="14">
        <v>1812</v>
      </c>
      <c r="N117" s="12">
        <v>0.14000000000000001</v>
      </c>
      <c r="O117" s="12" t="s">
        <v>1802</v>
      </c>
      <c r="P117" s="12">
        <v>2.2520892149056099E-5</v>
      </c>
      <c r="Q117" s="12">
        <v>2.24206498381979E-5</v>
      </c>
      <c r="R117" s="12">
        <v>0.42993951612903197</v>
      </c>
      <c r="S117" s="14">
        <v>29</v>
      </c>
      <c r="T117" s="12">
        <v>2.2458240704769702E-3</v>
      </c>
      <c r="U117" s="14">
        <v>1871</v>
      </c>
      <c r="V117" s="14">
        <v>1</v>
      </c>
      <c r="W117" s="12">
        <v>5.4999999999999997E-3</v>
      </c>
      <c r="X117" s="12">
        <v>7.7458240704769699E-3</v>
      </c>
      <c r="Y117" s="14">
        <v>1871</v>
      </c>
      <c r="Z117" s="14">
        <v>28</v>
      </c>
      <c r="AA117" s="12" t="s">
        <v>2367</v>
      </c>
    </row>
    <row r="118" spans="1:27" ht="14.25" x14ac:dyDescent="0.45">
      <c r="A118" s="12" t="s">
        <v>1852</v>
      </c>
      <c r="B118" s="12" t="s">
        <v>1971</v>
      </c>
      <c r="C118" s="12" t="s">
        <v>1972</v>
      </c>
      <c r="D118" s="12" t="s">
        <v>1974</v>
      </c>
      <c r="E118" s="20">
        <v>35320</v>
      </c>
      <c r="F118" s="20">
        <v>44518</v>
      </c>
      <c r="G118" s="12">
        <v>1.42</v>
      </c>
      <c r="H118" s="12">
        <v>1.43333333333333</v>
      </c>
      <c r="I118" s="13">
        <v>0.99069767441860501</v>
      </c>
      <c r="J118" s="12" t="s">
        <v>1852</v>
      </c>
      <c r="K118" s="14">
        <v>823</v>
      </c>
      <c r="L118" s="14">
        <v>1938</v>
      </c>
      <c r="M118" s="14">
        <v>1486</v>
      </c>
      <c r="N118" s="12">
        <v>1.42</v>
      </c>
      <c r="O118" s="12" t="s">
        <v>1852</v>
      </c>
      <c r="P118" s="12">
        <v>2.2842619179756901E-4</v>
      </c>
      <c r="Q118" s="12">
        <v>4.5111688244211896E-3</v>
      </c>
      <c r="R118" s="12">
        <v>2.1673387096774199E-2</v>
      </c>
      <c r="S118" s="14">
        <v>26</v>
      </c>
      <c r="T118" s="12">
        <v>0.29051403371873302</v>
      </c>
      <c r="U118" s="14">
        <v>929</v>
      </c>
      <c r="V118" s="14">
        <v>2</v>
      </c>
      <c r="W118" s="12">
        <v>5.5999999999999999E-3</v>
      </c>
      <c r="X118" s="12">
        <v>0.29611403371873302</v>
      </c>
      <c r="Y118" s="14">
        <v>929</v>
      </c>
      <c r="Z118" s="14">
        <v>25</v>
      </c>
      <c r="AA118" s="12" t="s">
        <v>2367</v>
      </c>
    </row>
    <row r="119" spans="1:27" ht="14.25" x14ac:dyDescent="0.45">
      <c r="A119" s="12" t="s">
        <v>1853</v>
      </c>
      <c r="B119" s="12" t="s">
        <v>1971</v>
      </c>
      <c r="C119" s="12" t="s">
        <v>1972</v>
      </c>
      <c r="D119" s="12" t="s">
        <v>1974</v>
      </c>
      <c r="E119" s="20">
        <v>34491</v>
      </c>
      <c r="F119" s="20">
        <v>44398</v>
      </c>
      <c r="G119" s="12">
        <v>40.85</v>
      </c>
      <c r="H119" s="12">
        <v>5.43333333333333</v>
      </c>
      <c r="I119" s="13">
        <v>7.5184049079754596</v>
      </c>
      <c r="J119" s="12" t="s">
        <v>1853</v>
      </c>
      <c r="K119" s="14">
        <v>364</v>
      </c>
      <c r="L119" s="14">
        <v>1681</v>
      </c>
      <c r="M119" s="14">
        <v>514</v>
      </c>
      <c r="N119" s="12">
        <v>40.85</v>
      </c>
      <c r="O119" s="12" t="s">
        <v>1853</v>
      </c>
      <c r="P119" s="12">
        <v>6.5712746020638799E-3</v>
      </c>
      <c r="Q119" s="12">
        <v>3.4235261377935901E-2</v>
      </c>
      <c r="R119" s="12">
        <v>8.2157258064516098E-2</v>
      </c>
      <c r="S119" s="14">
        <v>28</v>
      </c>
      <c r="T119" s="12">
        <v>2.3861266336983902</v>
      </c>
      <c r="U119" s="14">
        <v>409</v>
      </c>
      <c r="V119" s="14">
        <v>1</v>
      </c>
      <c r="W119" s="12">
        <v>5.4999999999999997E-3</v>
      </c>
      <c r="X119" s="12">
        <v>2.3916266336983898</v>
      </c>
      <c r="Y119" s="14">
        <v>409</v>
      </c>
      <c r="Z119" s="14">
        <v>28</v>
      </c>
      <c r="AA119" s="12" t="s">
        <v>2367</v>
      </c>
    </row>
    <row r="120" spans="1:27" ht="14.25" x14ac:dyDescent="0.45">
      <c r="A120" s="12" t="s">
        <v>1887</v>
      </c>
      <c r="B120" s="12" t="s">
        <v>1971</v>
      </c>
      <c r="C120" s="12" t="s">
        <v>1972</v>
      </c>
      <c r="D120" s="12" t="s">
        <v>1974</v>
      </c>
      <c r="E120" s="20">
        <v>34299</v>
      </c>
      <c r="F120" s="20">
        <v>44477</v>
      </c>
      <c r="G120" s="12">
        <v>5.83</v>
      </c>
      <c r="H120" s="12">
        <v>2.8</v>
      </c>
      <c r="I120" s="13">
        <v>2.08214285714286</v>
      </c>
      <c r="J120" s="12" t="s">
        <v>1887</v>
      </c>
      <c r="K120" s="14">
        <v>648</v>
      </c>
      <c r="L120" s="14">
        <v>1894</v>
      </c>
      <c r="M120" s="14">
        <v>979</v>
      </c>
      <c r="N120" s="12">
        <v>5.83</v>
      </c>
      <c r="O120" s="12" t="s">
        <v>1887</v>
      </c>
      <c r="P120" s="12">
        <v>9.3783429449283704E-4</v>
      </c>
      <c r="Q120" s="12">
        <v>9.4810941699710605E-3</v>
      </c>
      <c r="R120" s="12">
        <v>4.2338709677419303E-2</v>
      </c>
      <c r="S120" s="14">
        <v>29</v>
      </c>
      <c r="T120" s="12">
        <v>0.62773717166667298</v>
      </c>
      <c r="U120" s="14">
        <v>740</v>
      </c>
      <c r="V120" s="14">
        <v>1</v>
      </c>
      <c r="W120" s="12">
        <v>5.4999999999999997E-3</v>
      </c>
      <c r="X120" s="12">
        <v>0.63323717166667304</v>
      </c>
      <c r="Y120" s="14">
        <v>740</v>
      </c>
      <c r="Z120" s="14">
        <v>28</v>
      </c>
      <c r="AA120" s="12" t="s">
        <v>2367</v>
      </c>
    </row>
    <row r="121" spans="1:27" ht="14.25" x14ac:dyDescent="0.45">
      <c r="A121" s="12" t="s">
        <v>1889</v>
      </c>
      <c r="B121" s="12" t="s">
        <v>1971</v>
      </c>
      <c r="C121" s="12" t="s">
        <v>1972</v>
      </c>
      <c r="D121" s="12" t="s">
        <v>1974</v>
      </c>
      <c r="E121" s="20">
        <v>34077</v>
      </c>
      <c r="F121" s="20">
        <v>44440</v>
      </c>
      <c r="G121" s="12">
        <v>25.31</v>
      </c>
      <c r="H121" s="12">
        <v>4.0333333333333297</v>
      </c>
      <c r="I121" s="13">
        <v>6.2752066115702503</v>
      </c>
      <c r="J121" s="12" t="s">
        <v>1889</v>
      </c>
      <c r="K121" s="14">
        <v>401</v>
      </c>
      <c r="L121" s="14">
        <v>1859</v>
      </c>
      <c r="M121" s="14">
        <v>681</v>
      </c>
      <c r="N121" s="12">
        <v>25.31</v>
      </c>
      <c r="O121" s="12" t="s">
        <v>1889</v>
      </c>
      <c r="P121" s="12">
        <v>4.07145557351865E-3</v>
      </c>
      <c r="Q121" s="12">
        <v>2.8574324098954201E-2</v>
      </c>
      <c r="R121" s="12">
        <v>6.0987903225806397E-2</v>
      </c>
      <c r="S121" s="14">
        <v>29</v>
      </c>
      <c r="T121" s="12">
        <v>1.9385748401915901</v>
      </c>
      <c r="U121" s="14">
        <v>444</v>
      </c>
      <c r="V121" s="14">
        <v>1</v>
      </c>
      <c r="W121" s="12">
        <v>5.4999999999999997E-3</v>
      </c>
      <c r="X121" s="12">
        <v>1.9440748401915899</v>
      </c>
      <c r="Y121" s="14">
        <v>444</v>
      </c>
      <c r="Z121" s="14">
        <v>29</v>
      </c>
      <c r="AA121" s="12" t="s">
        <v>2367</v>
      </c>
    </row>
    <row r="122" spans="1:27" ht="14.25" x14ac:dyDescent="0.45">
      <c r="A122" s="12" t="s">
        <v>1922</v>
      </c>
      <c r="B122" s="12" t="s">
        <v>1971</v>
      </c>
      <c r="C122" s="12" t="s">
        <v>1972</v>
      </c>
      <c r="D122" s="12" t="s">
        <v>1974</v>
      </c>
      <c r="E122" s="20">
        <v>33220</v>
      </c>
      <c r="F122" s="20">
        <v>44336</v>
      </c>
      <c r="G122" s="12">
        <v>0.02</v>
      </c>
      <c r="H122" s="12">
        <v>7.5</v>
      </c>
      <c r="I122" s="13">
        <v>2.66666666666667E-3</v>
      </c>
      <c r="J122" s="12" t="s">
        <v>1922</v>
      </c>
      <c r="K122" s="14">
        <v>1801</v>
      </c>
      <c r="L122" s="14">
        <v>1377</v>
      </c>
      <c r="M122" s="14">
        <v>1922</v>
      </c>
      <c r="N122" s="12">
        <v>0.02</v>
      </c>
      <c r="O122" s="12" t="s">
        <v>1922</v>
      </c>
      <c r="P122" s="12">
        <v>3.2172703070080202E-6</v>
      </c>
      <c r="Q122" s="12">
        <v>1.21427392457034E-5</v>
      </c>
      <c r="R122" s="12">
        <v>0.113407258064516</v>
      </c>
      <c r="S122" s="14">
        <v>32</v>
      </c>
      <c r="T122" s="12">
        <v>8.7956883936926003E-4</v>
      </c>
      <c r="U122" s="14">
        <v>1915</v>
      </c>
      <c r="V122" s="14">
        <v>1</v>
      </c>
      <c r="W122" s="12">
        <v>5.4999999999999997E-3</v>
      </c>
      <c r="X122" s="12">
        <v>6.3795688393692603E-3</v>
      </c>
      <c r="Y122" s="14">
        <v>1916</v>
      </c>
      <c r="Z122" s="14">
        <v>31</v>
      </c>
      <c r="AA122" s="12" t="s">
        <v>2367</v>
      </c>
    </row>
    <row r="123" spans="1:27" ht="14.25" x14ac:dyDescent="0.45">
      <c r="A123" s="12" t="s">
        <v>4</v>
      </c>
      <c r="B123" s="12" t="s">
        <v>1971</v>
      </c>
      <c r="C123" s="12" t="s">
        <v>1972</v>
      </c>
      <c r="D123" s="12" t="s">
        <v>1973</v>
      </c>
      <c r="E123" s="20">
        <v>32483</v>
      </c>
      <c r="F123" s="20">
        <v>43318</v>
      </c>
      <c r="G123" s="12">
        <v>332.6</v>
      </c>
      <c r="H123" s="12">
        <v>41.433333333333302</v>
      </c>
      <c r="I123" s="13">
        <v>8.0273531777956606</v>
      </c>
      <c r="J123" s="12" t="s">
        <v>4</v>
      </c>
      <c r="K123" s="14">
        <v>350</v>
      </c>
      <c r="L123" s="14">
        <v>141</v>
      </c>
      <c r="M123" s="14">
        <v>203</v>
      </c>
      <c r="N123" s="12">
        <v>332.6</v>
      </c>
      <c r="O123" s="12" t="s">
        <v>4</v>
      </c>
      <c r="P123" s="12">
        <v>5.3503205205543303E-2</v>
      </c>
      <c r="Q123" s="12">
        <v>3.6552771176677802E-2</v>
      </c>
      <c r="R123" s="12">
        <v>0.62651209677419295</v>
      </c>
      <c r="S123" s="14">
        <v>34</v>
      </c>
      <c r="T123" s="12">
        <v>4.29091839375024</v>
      </c>
      <c r="U123" s="14">
        <v>291</v>
      </c>
      <c r="V123" s="14">
        <v>7</v>
      </c>
      <c r="W123" s="12">
        <v>6.1000000000000004E-3</v>
      </c>
      <c r="X123" s="12">
        <v>4.29701839375024</v>
      </c>
      <c r="Y123" s="14">
        <v>291</v>
      </c>
      <c r="Z123" s="14">
        <v>33</v>
      </c>
      <c r="AA123" s="12" t="s">
        <v>2367</v>
      </c>
    </row>
    <row r="124" spans="1:27" ht="14.25" x14ac:dyDescent="0.45">
      <c r="A124" s="12" t="s">
        <v>12</v>
      </c>
      <c r="B124" s="12" t="s">
        <v>1971</v>
      </c>
      <c r="C124" s="12" t="s">
        <v>1972</v>
      </c>
      <c r="D124" s="12" t="s">
        <v>1987</v>
      </c>
      <c r="E124" s="20">
        <v>32288</v>
      </c>
      <c r="F124" s="20">
        <v>43328</v>
      </c>
      <c r="G124" s="12">
        <v>661.89</v>
      </c>
      <c r="H124" s="12">
        <v>41.1</v>
      </c>
      <c r="I124" s="13">
        <v>16.1043795620438</v>
      </c>
      <c r="J124" s="12" t="s">
        <v>12</v>
      </c>
      <c r="K124" s="14">
        <v>174</v>
      </c>
      <c r="L124" s="14">
        <v>162</v>
      </c>
      <c r="M124" s="14">
        <v>98</v>
      </c>
      <c r="N124" s="12">
        <v>661.89</v>
      </c>
      <c r="O124" s="12" t="s">
        <v>12</v>
      </c>
      <c r="P124" s="12">
        <v>0.106473952175277</v>
      </c>
      <c r="Q124" s="12">
        <v>7.3331730650899596E-2</v>
      </c>
      <c r="R124" s="12">
        <v>0.62147177419354804</v>
      </c>
      <c r="S124" s="14">
        <v>34</v>
      </c>
      <c r="T124" s="12">
        <v>8.5760063722540991</v>
      </c>
      <c r="U124" s="14">
        <v>129</v>
      </c>
      <c r="V124" s="14">
        <v>7</v>
      </c>
      <c r="W124" s="12">
        <v>6.1000000000000004E-3</v>
      </c>
      <c r="X124" s="12">
        <v>8.5821063722540991</v>
      </c>
      <c r="Y124" s="14">
        <v>129</v>
      </c>
      <c r="Z124" s="14">
        <v>34</v>
      </c>
      <c r="AA124" s="12" t="s">
        <v>2367</v>
      </c>
    </row>
    <row r="125" spans="1:27" ht="14.25" x14ac:dyDescent="0.45">
      <c r="A125" s="12" t="s">
        <v>24</v>
      </c>
      <c r="B125" s="12" t="s">
        <v>1971</v>
      </c>
      <c r="C125" s="12" t="s">
        <v>1972</v>
      </c>
      <c r="D125" s="12" t="s">
        <v>1993</v>
      </c>
      <c r="E125" s="20">
        <v>35170</v>
      </c>
      <c r="F125" s="20">
        <v>44124</v>
      </c>
      <c r="G125" s="12">
        <v>2156.3000000000002</v>
      </c>
      <c r="H125" s="12">
        <v>14.5666666666667</v>
      </c>
      <c r="I125" s="13">
        <v>148.02974828375301</v>
      </c>
      <c r="J125" s="12" t="s">
        <v>24</v>
      </c>
      <c r="K125" s="14">
        <v>9</v>
      </c>
      <c r="L125" s="14">
        <v>557</v>
      </c>
      <c r="M125" s="14">
        <v>20</v>
      </c>
      <c r="N125" s="12">
        <v>2156.3000000000002</v>
      </c>
      <c r="O125" s="12" t="s">
        <v>24</v>
      </c>
      <c r="P125" s="12">
        <v>0.34686999815007002</v>
      </c>
      <c r="Q125" s="12">
        <v>0.67405748775626795</v>
      </c>
      <c r="R125" s="12">
        <v>0.22026209677419401</v>
      </c>
      <c r="S125" s="14">
        <v>26</v>
      </c>
      <c r="T125" s="12">
        <v>55.136217915394397</v>
      </c>
      <c r="U125" s="14">
        <v>7</v>
      </c>
      <c r="V125" s="14">
        <v>18</v>
      </c>
      <c r="W125" s="12">
        <v>7.0000000000000001E-3</v>
      </c>
      <c r="X125" s="12">
        <v>55.143217915394402</v>
      </c>
      <c r="Y125" s="14">
        <v>7</v>
      </c>
      <c r="Z125" s="14">
        <v>26</v>
      </c>
      <c r="AA125" s="12" t="s">
        <v>2367</v>
      </c>
    </row>
    <row r="126" spans="1:27" ht="14.25" x14ac:dyDescent="0.45">
      <c r="A126" s="12" t="s">
        <v>26</v>
      </c>
      <c r="B126" s="12" t="s">
        <v>1971</v>
      </c>
      <c r="C126" s="12" t="s">
        <v>1972</v>
      </c>
      <c r="D126" s="12" t="s">
        <v>1993</v>
      </c>
      <c r="E126" s="20">
        <v>35293</v>
      </c>
      <c r="F126" s="20">
        <v>43650</v>
      </c>
      <c r="G126" s="12">
        <v>26.83</v>
      </c>
      <c r="H126" s="12">
        <v>30.366666666666699</v>
      </c>
      <c r="I126" s="13">
        <v>0.88353457738748598</v>
      </c>
      <c r="J126" s="12" t="s">
        <v>26</v>
      </c>
      <c r="K126" s="14">
        <v>861</v>
      </c>
      <c r="L126" s="14">
        <v>255</v>
      </c>
      <c r="M126" s="14">
        <v>671</v>
      </c>
      <c r="N126" s="12">
        <v>26.83</v>
      </c>
      <c r="O126" s="12" t="s">
        <v>26</v>
      </c>
      <c r="P126" s="12">
        <v>4.3159681168512603E-3</v>
      </c>
      <c r="Q126" s="12">
        <v>4.0231987454171104E-3</v>
      </c>
      <c r="R126" s="12">
        <v>0.45917338709677402</v>
      </c>
      <c r="S126" s="14">
        <v>26</v>
      </c>
      <c r="T126" s="12">
        <v>0.413298725970491</v>
      </c>
      <c r="U126" s="14">
        <v>817</v>
      </c>
      <c r="V126" s="14">
        <v>4</v>
      </c>
      <c r="W126" s="12">
        <v>5.7999999999999996E-3</v>
      </c>
      <c r="X126" s="12">
        <v>0.41909872597049103</v>
      </c>
      <c r="Y126" s="14">
        <v>817</v>
      </c>
      <c r="Z126" s="14">
        <v>25</v>
      </c>
      <c r="AA126" s="12" t="s">
        <v>2367</v>
      </c>
    </row>
    <row r="127" spans="1:27" ht="14.25" x14ac:dyDescent="0.45">
      <c r="A127" s="12" t="s">
        <v>30</v>
      </c>
      <c r="B127" s="12" t="s">
        <v>1971</v>
      </c>
      <c r="C127" s="12" t="s">
        <v>1972</v>
      </c>
      <c r="D127" s="12" t="s">
        <v>1975</v>
      </c>
      <c r="E127" s="20">
        <v>32161</v>
      </c>
      <c r="F127" s="20">
        <v>44117</v>
      </c>
      <c r="G127" s="12">
        <v>180.32</v>
      </c>
      <c r="H127" s="12">
        <v>14.8</v>
      </c>
      <c r="I127" s="13">
        <v>12.183783783783801</v>
      </c>
      <c r="J127" s="12" t="s">
        <v>30</v>
      </c>
      <c r="K127" s="14">
        <v>240</v>
      </c>
      <c r="L127" s="14">
        <v>544</v>
      </c>
      <c r="M127" s="14">
        <v>302</v>
      </c>
      <c r="N127" s="12">
        <v>180.32</v>
      </c>
      <c r="O127" s="12" t="s">
        <v>30</v>
      </c>
      <c r="P127" s="12">
        <v>2.9006909087984301E-2</v>
      </c>
      <c r="Q127" s="12">
        <v>5.5479191067193297E-2</v>
      </c>
      <c r="R127" s="12">
        <v>0.22379032258064499</v>
      </c>
      <c r="S127" s="14">
        <v>34</v>
      </c>
      <c r="T127" s="12">
        <v>4.5552085324989902</v>
      </c>
      <c r="U127" s="14">
        <v>282</v>
      </c>
      <c r="V127" s="14">
        <v>24</v>
      </c>
      <c r="W127" s="12">
        <v>7.4000000000000003E-3</v>
      </c>
      <c r="X127" s="12">
        <v>4.5626085324989898</v>
      </c>
      <c r="Y127" s="14">
        <v>282</v>
      </c>
      <c r="Z127" s="14">
        <v>34</v>
      </c>
      <c r="AA127" s="12" t="s">
        <v>2367</v>
      </c>
    </row>
    <row r="128" spans="1:27" ht="14.25" x14ac:dyDescent="0.45">
      <c r="A128" s="12" t="s">
        <v>36</v>
      </c>
      <c r="B128" s="12" t="s">
        <v>1971</v>
      </c>
      <c r="C128" s="12" t="s">
        <v>1972</v>
      </c>
      <c r="D128" s="12" t="s">
        <v>2012</v>
      </c>
      <c r="E128" s="20">
        <v>32484</v>
      </c>
      <c r="F128" s="20">
        <v>44161</v>
      </c>
      <c r="G128" s="12">
        <v>0.69</v>
      </c>
      <c r="H128" s="12">
        <v>13.3333333333333</v>
      </c>
      <c r="I128" s="13">
        <v>5.1749999999999997E-2</v>
      </c>
      <c r="J128" s="12" t="s">
        <v>36</v>
      </c>
      <c r="K128" s="14">
        <v>1604</v>
      </c>
      <c r="L128" s="14">
        <v>648</v>
      </c>
      <c r="M128" s="14">
        <v>1631</v>
      </c>
      <c r="N128" s="12">
        <v>0.69</v>
      </c>
      <c r="O128" s="12" t="s">
        <v>36</v>
      </c>
      <c r="P128" s="12">
        <v>1.1099582559177699E-4</v>
      </c>
      <c r="Q128" s="12">
        <v>2.3564503348693101E-4</v>
      </c>
      <c r="R128" s="12">
        <v>0.20161290322580599</v>
      </c>
      <c r="S128" s="14">
        <v>34</v>
      </c>
      <c r="T128" s="12">
        <v>1.8890158052624801E-2</v>
      </c>
      <c r="U128" s="14">
        <v>1693</v>
      </c>
      <c r="V128" s="14">
        <v>1</v>
      </c>
      <c r="W128" s="12">
        <v>5.4999999999999997E-3</v>
      </c>
      <c r="X128" s="12">
        <v>2.4390158052624799E-2</v>
      </c>
      <c r="Y128" s="14">
        <v>1693</v>
      </c>
      <c r="Z128" s="14">
        <v>33</v>
      </c>
      <c r="AA128" s="12" t="s">
        <v>2367</v>
      </c>
    </row>
    <row r="129" spans="1:27" ht="14.25" x14ac:dyDescent="0.45">
      <c r="A129" s="12" t="s">
        <v>41</v>
      </c>
      <c r="B129" s="12" t="s">
        <v>1971</v>
      </c>
      <c r="C129" s="12" t="s">
        <v>1972</v>
      </c>
      <c r="D129" s="12" t="s">
        <v>1990</v>
      </c>
      <c r="E129" s="20">
        <v>32959</v>
      </c>
      <c r="F129" s="20">
        <v>43185</v>
      </c>
      <c r="G129" s="12">
        <v>700.46</v>
      </c>
      <c r="H129" s="12">
        <v>45.866666666666703</v>
      </c>
      <c r="I129" s="13">
        <v>15.2716569767442</v>
      </c>
      <c r="J129" s="12" t="s">
        <v>41</v>
      </c>
      <c r="K129" s="14">
        <v>185</v>
      </c>
      <c r="L129" s="14">
        <v>81</v>
      </c>
      <c r="M129" s="14">
        <v>91</v>
      </c>
      <c r="N129" s="12">
        <v>700.46</v>
      </c>
      <c r="O129" s="12" t="s">
        <v>41</v>
      </c>
      <c r="P129" s="12">
        <v>0.11267845796234199</v>
      </c>
      <c r="Q129" s="12">
        <v>6.9539905694411694E-2</v>
      </c>
      <c r="R129" s="12">
        <v>0.69354838709677402</v>
      </c>
      <c r="S129" s="14">
        <v>32</v>
      </c>
      <c r="T129" s="12">
        <v>8.5716862794885493</v>
      </c>
      <c r="U129" s="14">
        <v>131</v>
      </c>
      <c r="V129" s="14">
        <v>8</v>
      </c>
      <c r="W129" s="12">
        <v>6.1999999999999998E-3</v>
      </c>
      <c r="X129" s="12">
        <v>8.5778862794885509</v>
      </c>
      <c r="Y129" s="14">
        <v>131</v>
      </c>
      <c r="Z129" s="14">
        <v>32</v>
      </c>
      <c r="AA129" s="12" t="s">
        <v>2367</v>
      </c>
    </row>
    <row r="130" spans="1:27" ht="14.25" x14ac:dyDescent="0.45">
      <c r="A130" s="12" t="s">
        <v>50</v>
      </c>
      <c r="B130" s="12" t="s">
        <v>1971</v>
      </c>
      <c r="C130" s="12" t="s">
        <v>1972</v>
      </c>
      <c r="D130" s="12" t="s">
        <v>1975</v>
      </c>
      <c r="E130" s="20">
        <v>34650</v>
      </c>
      <c r="F130" s="20">
        <v>44121</v>
      </c>
      <c r="G130" s="12">
        <v>8.9</v>
      </c>
      <c r="H130" s="12">
        <v>14.6666666666667</v>
      </c>
      <c r="I130" s="13">
        <v>0.60681818181818203</v>
      </c>
      <c r="J130" s="12" t="s">
        <v>50</v>
      </c>
      <c r="K130" s="14">
        <v>991</v>
      </c>
      <c r="L130" s="14">
        <v>547</v>
      </c>
      <c r="M130" s="14">
        <v>868</v>
      </c>
      <c r="N130" s="12">
        <v>8.9</v>
      </c>
      <c r="O130" s="12" t="s">
        <v>50</v>
      </c>
      <c r="P130" s="12">
        <v>1.4316852866185701E-3</v>
      </c>
      <c r="Q130" s="12">
        <v>2.7631631067637501E-3</v>
      </c>
      <c r="R130" s="12">
        <v>0.22177419354838701</v>
      </c>
      <c r="S130" s="14">
        <v>28</v>
      </c>
      <c r="T130" s="12">
        <v>0.22638589242092999</v>
      </c>
      <c r="U130" s="14">
        <v>999</v>
      </c>
      <c r="V130" s="14">
        <v>4</v>
      </c>
      <c r="W130" s="12">
        <v>5.7999999999999996E-3</v>
      </c>
      <c r="X130" s="12">
        <v>0.23218589242092999</v>
      </c>
      <c r="Y130" s="14">
        <v>999</v>
      </c>
      <c r="Z130" s="14">
        <v>27</v>
      </c>
      <c r="AA130" s="12" t="s">
        <v>2367</v>
      </c>
    </row>
    <row r="131" spans="1:27" ht="14.25" x14ac:dyDescent="0.45">
      <c r="A131" s="12" t="s">
        <v>53</v>
      </c>
      <c r="B131" s="12" t="s">
        <v>1971</v>
      </c>
      <c r="C131" s="12" t="s">
        <v>1972</v>
      </c>
      <c r="D131" s="12" t="s">
        <v>1975</v>
      </c>
      <c r="E131" s="20">
        <v>32842</v>
      </c>
      <c r="F131" s="20">
        <v>44186</v>
      </c>
      <c r="G131" s="12">
        <v>51.65</v>
      </c>
      <c r="H131" s="12">
        <v>12.5</v>
      </c>
      <c r="I131" s="13">
        <v>4.1319999999999997</v>
      </c>
      <c r="J131" s="12" t="s">
        <v>53</v>
      </c>
      <c r="K131" s="14">
        <v>492</v>
      </c>
      <c r="L131" s="14">
        <v>723</v>
      </c>
      <c r="M131" s="14">
        <v>479</v>
      </c>
      <c r="N131" s="12">
        <v>51.65</v>
      </c>
      <c r="O131" s="12" t="s">
        <v>53</v>
      </c>
      <c r="P131" s="12">
        <v>8.3086005678482105E-3</v>
      </c>
      <c r="Q131" s="12">
        <v>1.8815174461217301E-2</v>
      </c>
      <c r="R131" s="12">
        <v>0.18901209677419401</v>
      </c>
      <c r="S131" s="14">
        <v>33</v>
      </c>
      <c r="T131" s="12">
        <v>1.48752092512039</v>
      </c>
      <c r="U131" s="14">
        <v>496</v>
      </c>
      <c r="V131" s="14">
        <v>3</v>
      </c>
      <c r="W131" s="12">
        <v>5.7000000000000002E-3</v>
      </c>
      <c r="X131" s="12">
        <v>1.4932209251203901</v>
      </c>
      <c r="Y131" s="14">
        <v>496</v>
      </c>
      <c r="Z131" s="14">
        <v>32</v>
      </c>
      <c r="AA131" s="12" t="s">
        <v>2367</v>
      </c>
    </row>
    <row r="132" spans="1:27" ht="14.25" x14ac:dyDescent="0.45">
      <c r="A132" s="12" t="s">
        <v>57</v>
      </c>
      <c r="B132" s="12" t="s">
        <v>1971</v>
      </c>
      <c r="C132" s="12" t="s">
        <v>1972</v>
      </c>
      <c r="D132" s="12" t="s">
        <v>1975</v>
      </c>
      <c r="E132" s="20">
        <v>33736</v>
      </c>
      <c r="F132" s="20">
        <v>44137</v>
      </c>
      <c r="G132" s="12">
        <v>14.94</v>
      </c>
      <c r="H132" s="12">
        <v>14.133333333333301</v>
      </c>
      <c r="I132" s="13">
        <v>1.0570754716981099</v>
      </c>
      <c r="J132" s="12" t="s">
        <v>57</v>
      </c>
      <c r="K132" s="14">
        <v>806</v>
      </c>
      <c r="L132" s="14">
        <v>599</v>
      </c>
      <c r="M132" s="14">
        <v>767</v>
      </c>
      <c r="N132" s="12">
        <v>14.94</v>
      </c>
      <c r="O132" s="12" t="s">
        <v>57</v>
      </c>
      <c r="P132" s="12">
        <v>2.4033009193349898E-3</v>
      </c>
      <c r="Q132" s="12">
        <v>4.8134219309471501E-3</v>
      </c>
      <c r="R132" s="12">
        <v>0.21370967741935501</v>
      </c>
      <c r="S132" s="14">
        <v>30</v>
      </c>
      <c r="T132" s="12">
        <v>0.39096265515925899</v>
      </c>
      <c r="U132" s="14">
        <v>838</v>
      </c>
      <c r="V132" s="14">
        <v>2</v>
      </c>
      <c r="W132" s="12">
        <v>5.5999999999999999E-3</v>
      </c>
      <c r="X132" s="12">
        <v>0.39656265515925898</v>
      </c>
      <c r="Y132" s="14">
        <v>838</v>
      </c>
      <c r="Z132" s="14">
        <v>30</v>
      </c>
      <c r="AA132" s="12" t="s">
        <v>2367</v>
      </c>
    </row>
    <row r="133" spans="1:27" ht="14.25" x14ac:dyDescent="0.45">
      <c r="A133" s="12" t="s">
        <v>59</v>
      </c>
      <c r="B133" s="12" t="s">
        <v>1971</v>
      </c>
      <c r="C133" s="12" t="s">
        <v>1972</v>
      </c>
      <c r="D133" s="12" t="s">
        <v>1973</v>
      </c>
      <c r="E133" s="20">
        <v>33939</v>
      </c>
      <c r="F133" s="20">
        <v>44188</v>
      </c>
      <c r="G133" s="12">
        <v>2.79</v>
      </c>
      <c r="H133" s="12">
        <v>12.4333333333333</v>
      </c>
      <c r="I133" s="13">
        <v>0.22439678284182299</v>
      </c>
      <c r="J133" s="12" t="s">
        <v>59</v>
      </c>
      <c r="K133" s="14">
        <v>1314</v>
      </c>
      <c r="L133" s="14">
        <v>737</v>
      </c>
      <c r="M133" s="14">
        <v>1250</v>
      </c>
      <c r="N133" s="12">
        <v>2.79</v>
      </c>
      <c r="O133" s="12" t="s">
        <v>59</v>
      </c>
      <c r="P133" s="12">
        <v>4.4880920782761898E-4</v>
      </c>
      <c r="Q133" s="12">
        <v>1.0217968581086199E-3</v>
      </c>
      <c r="R133" s="12">
        <v>0.188004032258065</v>
      </c>
      <c r="S133" s="14">
        <v>30</v>
      </c>
      <c r="T133" s="12">
        <v>8.0692648925324295E-2</v>
      </c>
      <c r="U133" s="14">
        <v>1354</v>
      </c>
      <c r="V133" s="14">
        <v>1</v>
      </c>
      <c r="W133" s="12">
        <v>5.4999999999999997E-3</v>
      </c>
      <c r="X133" s="12">
        <v>8.61926489253243E-2</v>
      </c>
      <c r="Y133" s="14">
        <v>1354</v>
      </c>
      <c r="Z133" s="14">
        <v>29</v>
      </c>
      <c r="AA133" s="12" t="s">
        <v>2367</v>
      </c>
    </row>
    <row r="134" spans="1:27" ht="14.25" x14ac:dyDescent="0.45">
      <c r="A134" s="12" t="s">
        <v>62</v>
      </c>
      <c r="B134" s="12" t="s">
        <v>1971</v>
      </c>
      <c r="C134" s="12" t="s">
        <v>1972</v>
      </c>
      <c r="D134" s="12" t="s">
        <v>1995</v>
      </c>
      <c r="E134" s="20">
        <v>33405</v>
      </c>
      <c r="F134" s="20">
        <v>42922</v>
      </c>
      <c r="G134" s="12">
        <v>349.94</v>
      </c>
      <c r="H134" s="12">
        <v>54.633333333333297</v>
      </c>
      <c r="I134" s="13">
        <v>6.4052471018914003</v>
      </c>
      <c r="J134" s="12" t="s">
        <v>62</v>
      </c>
      <c r="K134" s="14">
        <v>399</v>
      </c>
      <c r="L134" s="14">
        <v>38</v>
      </c>
      <c r="M134" s="14">
        <v>197</v>
      </c>
      <c r="N134" s="12">
        <v>349.94</v>
      </c>
      <c r="O134" s="12" t="s">
        <v>62</v>
      </c>
      <c r="P134" s="12">
        <v>5.6292578561719299E-2</v>
      </c>
      <c r="Q134" s="12">
        <v>2.9166467010961601E-2</v>
      </c>
      <c r="R134" s="12">
        <v>0.82610887096774199</v>
      </c>
      <c r="S134" s="14">
        <v>31</v>
      </c>
      <c r="T134" s="12">
        <v>3.9338758842495798</v>
      </c>
      <c r="U134" s="14">
        <v>313</v>
      </c>
      <c r="V134" s="14">
        <v>5</v>
      </c>
      <c r="W134" s="12">
        <v>5.8999999999999999E-3</v>
      </c>
      <c r="X134" s="12">
        <v>3.9397758842495798</v>
      </c>
      <c r="Y134" s="14">
        <v>313</v>
      </c>
      <c r="Z134" s="14">
        <v>31</v>
      </c>
      <c r="AA134" s="12" t="s">
        <v>2367</v>
      </c>
    </row>
    <row r="135" spans="1:27" ht="14.25" x14ac:dyDescent="0.45">
      <c r="A135" s="12" t="s">
        <v>82</v>
      </c>
      <c r="B135" s="12" t="s">
        <v>1971</v>
      </c>
      <c r="C135" s="12" t="s">
        <v>1972</v>
      </c>
      <c r="D135" s="12" t="s">
        <v>2020</v>
      </c>
      <c r="E135" s="20">
        <v>32834</v>
      </c>
      <c r="F135" s="20">
        <v>44075</v>
      </c>
      <c r="G135" s="12">
        <v>17.89</v>
      </c>
      <c r="H135" s="12">
        <v>16.2</v>
      </c>
      <c r="I135" s="13">
        <v>1.1043209876543201</v>
      </c>
      <c r="J135" s="12" t="s">
        <v>82</v>
      </c>
      <c r="K135" s="14">
        <v>793</v>
      </c>
      <c r="L135" s="14">
        <v>484</v>
      </c>
      <c r="M135" s="14">
        <v>736</v>
      </c>
      <c r="N135" s="12">
        <v>17.89</v>
      </c>
      <c r="O135" s="12" t="s">
        <v>82</v>
      </c>
      <c r="P135" s="12">
        <v>2.8778482896186699E-3</v>
      </c>
      <c r="Q135" s="12">
        <v>5.0285556737414997E-3</v>
      </c>
      <c r="R135" s="12">
        <v>0.24495967741935501</v>
      </c>
      <c r="S135" s="14">
        <v>33</v>
      </c>
      <c r="T135" s="12">
        <v>0.42220404046954402</v>
      </c>
      <c r="U135" s="14">
        <v>811</v>
      </c>
      <c r="V135" s="14">
        <v>12</v>
      </c>
      <c r="W135" s="12">
        <v>6.6E-3</v>
      </c>
      <c r="X135" s="12">
        <v>0.42880404046954401</v>
      </c>
      <c r="Y135" s="14">
        <v>811</v>
      </c>
      <c r="Z135" s="14">
        <v>32</v>
      </c>
      <c r="AA135" s="12" t="s">
        <v>2367</v>
      </c>
    </row>
    <row r="136" spans="1:27" ht="14.25" x14ac:dyDescent="0.45">
      <c r="A136" s="12" t="s">
        <v>83</v>
      </c>
      <c r="B136" s="12" t="s">
        <v>1971</v>
      </c>
      <c r="C136" s="12" t="s">
        <v>1972</v>
      </c>
      <c r="D136" s="12" t="s">
        <v>1997</v>
      </c>
      <c r="E136" s="20">
        <v>33221</v>
      </c>
      <c r="F136" s="20">
        <v>44151</v>
      </c>
      <c r="G136" s="12">
        <v>1.33</v>
      </c>
      <c r="H136" s="12">
        <v>13.6666666666667</v>
      </c>
      <c r="I136" s="13">
        <v>9.7317073170731697E-2</v>
      </c>
      <c r="J136" s="12" t="s">
        <v>83</v>
      </c>
      <c r="K136" s="14">
        <v>1500</v>
      </c>
      <c r="L136" s="14">
        <v>625</v>
      </c>
      <c r="M136" s="14">
        <v>1500</v>
      </c>
      <c r="N136" s="12">
        <v>1.33</v>
      </c>
      <c r="O136" s="12" t="s">
        <v>83</v>
      </c>
      <c r="P136" s="12">
        <v>2.13948475416033E-4</v>
      </c>
      <c r="Q136" s="12">
        <v>4.4313594137521101E-4</v>
      </c>
      <c r="R136" s="12">
        <v>0.20665322580645201</v>
      </c>
      <c r="S136" s="14">
        <v>32</v>
      </c>
      <c r="T136" s="12">
        <v>3.5719064164051899E-2</v>
      </c>
      <c r="U136" s="14">
        <v>1581</v>
      </c>
      <c r="V136" s="14">
        <v>2</v>
      </c>
      <c r="W136" s="12">
        <v>5.5999999999999999E-3</v>
      </c>
      <c r="X136" s="12">
        <v>4.13190641640519E-2</v>
      </c>
      <c r="Y136" s="14">
        <v>1581</v>
      </c>
      <c r="Z136" s="14">
        <v>31</v>
      </c>
      <c r="AA136" s="12" t="s">
        <v>2367</v>
      </c>
    </row>
    <row r="137" spans="1:27" ht="14.25" x14ac:dyDescent="0.45">
      <c r="A137" s="12" t="s">
        <v>91</v>
      </c>
      <c r="B137" s="12" t="s">
        <v>1971</v>
      </c>
      <c r="C137" s="12" t="s">
        <v>1972</v>
      </c>
      <c r="D137" s="12" t="s">
        <v>1993</v>
      </c>
      <c r="E137" s="20">
        <v>32901</v>
      </c>
      <c r="F137" s="20">
        <v>44221</v>
      </c>
      <c r="G137" s="12">
        <v>51.54</v>
      </c>
      <c r="H137" s="12">
        <v>11.3333333333333</v>
      </c>
      <c r="I137" s="13">
        <v>4.5476470588235296</v>
      </c>
      <c r="J137" s="12" t="s">
        <v>91</v>
      </c>
      <c r="K137" s="14">
        <v>465</v>
      </c>
      <c r="L137" s="14">
        <v>860</v>
      </c>
      <c r="M137" s="14">
        <v>481</v>
      </c>
      <c r="N137" s="12">
        <v>51.54</v>
      </c>
      <c r="O137" s="12" t="s">
        <v>91</v>
      </c>
      <c r="P137" s="12">
        <v>8.2909055811596598E-3</v>
      </c>
      <c r="Q137" s="12">
        <v>2.0707834656294E-2</v>
      </c>
      <c r="R137" s="12">
        <v>0.171370967741935</v>
      </c>
      <c r="S137" s="14">
        <v>32</v>
      </c>
      <c r="T137" s="12">
        <v>1.6051486253118601</v>
      </c>
      <c r="U137" s="14">
        <v>476</v>
      </c>
      <c r="V137" s="14">
        <v>10</v>
      </c>
      <c r="W137" s="12">
        <v>6.4000000000000003E-3</v>
      </c>
      <c r="X137" s="12">
        <v>1.6115486253118601</v>
      </c>
      <c r="Y137" s="14">
        <v>476</v>
      </c>
      <c r="Z137" s="14">
        <v>32</v>
      </c>
      <c r="AA137" s="12" t="s">
        <v>2367</v>
      </c>
    </row>
    <row r="138" spans="1:27" ht="14.25" x14ac:dyDescent="0.45">
      <c r="A138" s="12" t="s">
        <v>95</v>
      </c>
      <c r="B138" s="12" t="s">
        <v>1971</v>
      </c>
      <c r="C138" s="12" t="s">
        <v>1972</v>
      </c>
      <c r="D138" s="12" t="s">
        <v>1993</v>
      </c>
      <c r="E138" s="20">
        <v>33128</v>
      </c>
      <c r="F138" s="20">
        <v>43290</v>
      </c>
      <c r="G138" s="12">
        <v>383.38</v>
      </c>
      <c r="H138" s="12">
        <v>42.366666666666703</v>
      </c>
      <c r="I138" s="13">
        <v>9.0490952006294307</v>
      </c>
      <c r="J138" s="12" t="s">
        <v>95</v>
      </c>
      <c r="K138" s="14">
        <v>319</v>
      </c>
      <c r="L138" s="14">
        <v>118</v>
      </c>
      <c r="M138" s="14">
        <v>186</v>
      </c>
      <c r="N138" s="12">
        <v>383.38</v>
      </c>
      <c r="O138" s="12" t="s">
        <v>95</v>
      </c>
      <c r="P138" s="12">
        <v>6.1671854515036699E-2</v>
      </c>
      <c r="Q138" s="12">
        <v>4.1205301286545801E-2</v>
      </c>
      <c r="R138" s="12">
        <v>0.640625</v>
      </c>
      <c r="S138" s="14">
        <v>32</v>
      </c>
      <c r="T138" s="12">
        <v>4.8880258747229899</v>
      </c>
      <c r="U138" s="14">
        <v>267</v>
      </c>
      <c r="V138" s="14">
        <v>5</v>
      </c>
      <c r="W138" s="12">
        <v>5.8999999999999999E-3</v>
      </c>
      <c r="X138" s="12">
        <v>4.8939258747229903</v>
      </c>
      <c r="Y138" s="14">
        <v>267</v>
      </c>
      <c r="Z138" s="14">
        <v>31</v>
      </c>
      <c r="AA138" s="12" t="s">
        <v>2367</v>
      </c>
    </row>
    <row r="139" spans="1:27" ht="14.25" x14ac:dyDescent="0.45">
      <c r="A139" s="12" t="s">
        <v>123</v>
      </c>
      <c r="B139" s="12" t="s">
        <v>1971</v>
      </c>
      <c r="C139" s="12" t="s">
        <v>1972</v>
      </c>
      <c r="D139" s="12" t="s">
        <v>1990</v>
      </c>
      <c r="E139" s="20">
        <v>34891</v>
      </c>
      <c r="F139" s="20">
        <v>43377</v>
      </c>
      <c r="G139" s="12">
        <v>546.27</v>
      </c>
      <c r="H139" s="12">
        <v>39.466666666666697</v>
      </c>
      <c r="I139" s="13">
        <v>13.841300675675701</v>
      </c>
      <c r="J139" s="12" t="s">
        <v>123</v>
      </c>
      <c r="K139" s="14">
        <v>209</v>
      </c>
      <c r="L139" s="14">
        <v>192</v>
      </c>
      <c r="M139" s="14">
        <v>134</v>
      </c>
      <c r="N139" s="12">
        <v>546.27</v>
      </c>
      <c r="O139" s="12" t="s">
        <v>123</v>
      </c>
      <c r="P139" s="12">
        <v>8.7874912530463506E-2</v>
      </c>
      <c r="Q139" s="12">
        <v>6.3026739347290306E-2</v>
      </c>
      <c r="R139" s="12">
        <v>0.59677419354838701</v>
      </c>
      <c r="S139" s="14">
        <v>27</v>
      </c>
      <c r="T139" s="12">
        <v>7.2344804290980198</v>
      </c>
      <c r="U139" s="14">
        <v>181</v>
      </c>
      <c r="V139" s="14">
        <v>7</v>
      </c>
      <c r="W139" s="12">
        <v>6.1000000000000004E-3</v>
      </c>
      <c r="X139" s="12">
        <v>7.2405804290980198</v>
      </c>
      <c r="Y139" s="14">
        <v>181</v>
      </c>
      <c r="Z139" s="14">
        <v>27</v>
      </c>
      <c r="AA139" s="12" t="s">
        <v>2367</v>
      </c>
    </row>
    <row r="140" spans="1:27" ht="14.25" x14ac:dyDescent="0.45">
      <c r="A140" s="12" t="s">
        <v>124</v>
      </c>
      <c r="B140" s="12" t="s">
        <v>1971</v>
      </c>
      <c r="C140" s="12" t="s">
        <v>1972</v>
      </c>
      <c r="D140" s="12" t="s">
        <v>1973</v>
      </c>
      <c r="E140" s="20">
        <v>33665</v>
      </c>
      <c r="F140" s="20">
        <v>44188</v>
      </c>
      <c r="G140" s="12">
        <v>0.95</v>
      </c>
      <c r="H140" s="12">
        <v>12.4333333333333</v>
      </c>
      <c r="I140" s="13">
        <v>7.6407506702412906E-2</v>
      </c>
      <c r="J140" s="12" t="s">
        <v>124</v>
      </c>
      <c r="K140" s="14">
        <v>1546</v>
      </c>
      <c r="L140" s="14">
        <v>737</v>
      </c>
      <c r="M140" s="14">
        <v>1568</v>
      </c>
      <c r="N140" s="12">
        <v>0.95</v>
      </c>
      <c r="O140" s="12" t="s">
        <v>124</v>
      </c>
      <c r="P140" s="12">
        <v>1.5282033958288101E-4</v>
      </c>
      <c r="Q140" s="12">
        <v>3.4792366136314902E-4</v>
      </c>
      <c r="R140" s="12">
        <v>0.188004032258065</v>
      </c>
      <c r="S140" s="14">
        <v>30</v>
      </c>
      <c r="T140" s="12">
        <v>2.7475991569554801E-2</v>
      </c>
      <c r="U140" s="14">
        <v>1643</v>
      </c>
      <c r="V140" s="14">
        <v>1</v>
      </c>
      <c r="W140" s="12">
        <v>5.4999999999999997E-3</v>
      </c>
      <c r="X140" s="12">
        <v>3.2975991569554899E-2</v>
      </c>
      <c r="Y140" s="14">
        <v>1643</v>
      </c>
      <c r="Z140" s="14">
        <v>30</v>
      </c>
      <c r="AA140" s="12" t="s">
        <v>2367</v>
      </c>
    </row>
    <row r="141" spans="1:27" ht="14.25" x14ac:dyDescent="0.45">
      <c r="A141" s="12" t="s">
        <v>127</v>
      </c>
      <c r="B141" s="12" t="s">
        <v>1971</v>
      </c>
      <c r="C141" s="12" t="s">
        <v>1972</v>
      </c>
      <c r="D141" s="12" t="s">
        <v>1987</v>
      </c>
      <c r="E141" s="20">
        <v>34287</v>
      </c>
      <c r="F141" s="20">
        <v>43909</v>
      </c>
      <c r="G141" s="12">
        <v>421.74</v>
      </c>
      <c r="H141" s="12">
        <v>21.733333333333299</v>
      </c>
      <c r="I141" s="13">
        <v>19.405214723926399</v>
      </c>
      <c r="J141" s="12" t="s">
        <v>127</v>
      </c>
      <c r="K141" s="14">
        <v>139</v>
      </c>
      <c r="L141" s="14">
        <v>435</v>
      </c>
      <c r="M141" s="14">
        <v>177</v>
      </c>
      <c r="N141" s="12">
        <v>421.74</v>
      </c>
      <c r="O141" s="12" t="s">
        <v>127</v>
      </c>
      <c r="P141" s="12">
        <v>6.7842578963878103E-2</v>
      </c>
      <c r="Q141" s="12">
        <v>8.8362173399820498E-2</v>
      </c>
      <c r="R141" s="12">
        <v>0.328629032258065</v>
      </c>
      <c r="S141" s="14">
        <v>29</v>
      </c>
      <c r="T141" s="12">
        <v>8.0667325486342101</v>
      </c>
      <c r="U141" s="14">
        <v>151</v>
      </c>
      <c r="V141" s="14">
        <v>20</v>
      </c>
      <c r="W141" s="12">
        <v>7.1000000000000004E-3</v>
      </c>
      <c r="X141" s="12">
        <v>8.0738325486342095</v>
      </c>
      <c r="Y141" s="14">
        <v>151</v>
      </c>
      <c r="Z141" s="14">
        <v>28</v>
      </c>
      <c r="AA141" s="12" t="s">
        <v>2367</v>
      </c>
    </row>
    <row r="142" spans="1:27" ht="14.25" x14ac:dyDescent="0.45">
      <c r="A142" s="12" t="s">
        <v>138</v>
      </c>
      <c r="B142" s="12" t="s">
        <v>1971</v>
      </c>
      <c r="C142" s="12" t="s">
        <v>1972</v>
      </c>
      <c r="D142" s="12" t="s">
        <v>1997</v>
      </c>
      <c r="E142" s="20">
        <v>33928</v>
      </c>
      <c r="F142" s="20">
        <v>43608</v>
      </c>
      <c r="G142" s="12">
        <v>3089.07</v>
      </c>
      <c r="H142" s="12">
        <v>31.766666666666701</v>
      </c>
      <c r="I142" s="13">
        <v>97.242497376705202</v>
      </c>
      <c r="J142" s="12" t="s">
        <v>138</v>
      </c>
      <c r="K142" s="14">
        <v>16</v>
      </c>
      <c r="L142" s="14">
        <v>248</v>
      </c>
      <c r="M142" s="14">
        <v>7</v>
      </c>
      <c r="N142" s="12">
        <v>3089.07</v>
      </c>
      <c r="O142" s="12" t="s">
        <v>138</v>
      </c>
      <c r="P142" s="12">
        <v>0.49691865936346302</v>
      </c>
      <c r="Q142" s="12">
        <v>0.44279635846737098</v>
      </c>
      <c r="R142" s="12">
        <v>0.48034274193548399</v>
      </c>
      <c r="S142" s="14">
        <v>30</v>
      </c>
      <c r="T142" s="12">
        <v>46.309222130340601</v>
      </c>
      <c r="U142" s="14">
        <v>12</v>
      </c>
      <c r="V142" s="14">
        <v>22</v>
      </c>
      <c r="W142" s="12">
        <v>7.3000000000000001E-3</v>
      </c>
      <c r="X142" s="12">
        <v>46.316522130340601</v>
      </c>
      <c r="Y142" s="14">
        <v>12</v>
      </c>
      <c r="Z142" s="14">
        <v>29</v>
      </c>
      <c r="AA142" s="12" t="s">
        <v>2367</v>
      </c>
    </row>
    <row r="143" spans="1:27" ht="14.25" x14ac:dyDescent="0.45">
      <c r="A143" s="12" t="s">
        <v>150</v>
      </c>
      <c r="B143" s="12" t="s">
        <v>1971</v>
      </c>
      <c r="C143" s="12" t="s">
        <v>1972</v>
      </c>
      <c r="D143" s="12" t="s">
        <v>1997</v>
      </c>
      <c r="E143" s="20">
        <v>32104</v>
      </c>
      <c r="F143" s="20">
        <v>44112</v>
      </c>
      <c r="G143" s="12">
        <v>4.99</v>
      </c>
      <c r="H143" s="12">
        <v>14.966666666666701</v>
      </c>
      <c r="I143" s="13">
        <v>0.333407572383074</v>
      </c>
      <c r="J143" s="12" t="s">
        <v>150</v>
      </c>
      <c r="K143" s="14">
        <v>1201</v>
      </c>
      <c r="L143" s="14">
        <v>523</v>
      </c>
      <c r="M143" s="14">
        <v>1036</v>
      </c>
      <c r="N143" s="12">
        <v>4.99</v>
      </c>
      <c r="O143" s="12" t="s">
        <v>150</v>
      </c>
      <c r="P143" s="12">
        <v>8.0270894159850095E-4</v>
      </c>
      <c r="Q143" s="12">
        <v>1.5181804552464901E-3</v>
      </c>
      <c r="R143" s="12">
        <v>0.226310483870968</v>
      </c>
      <c r="S143" s="14">
        <v>35</v>
      </c>
      <c r="T143" s="12">
        <v>0.124987863762849</v>
      </c>
      <c r="U143" s="14">
        <v>1217</v>
      </c>
      <c r="V143" s="14">
        <v>3</v>
      </c>
      <c r="W143" s="12">
        <v>5.7000000000000002E-3</v>
      </c>
      <c r="X143" s="12">
        <v>0.13068786376284899</v>
      </c>
      <c r="Y143" s="14">
        <v>1217</v>
      </c>
      <c r="Z143" s="14">
        <v>34</v>
      </c>
      <c r="AA143" s="12" t="s">
        <v>2367</v>
      </c>
    </row>
    <row r="144" spans="1:27" ht="14.25" x14ac:dyDescent="0.45">
      <c r="A144" s="12" t="s">
        <v>157</v>
      </c>
      <c r="B144" s="12" t="s">
        <v>1971</v>
      </c>
      <c r="C144" s="12" t="s">
        <v>1972</v>
      </c>
      <c r="D144" s="12" t="s">
        <v>1975</v>
      </c>
      <c r="E144" s="20">
        <v>34486</v>
      </c>
      <c r="F144" s="20">
        <v>43746</v>
      </c>
      <c r="G144" s="12">
        <v>179.22</v>
      </c>
      <c r="H144" s="12">
        <v>27.1666666666667</v>
      </c>
      <c r="I144" s="13">
        <v>6.5970552147239303</v>
      </c>
      <c r="J144" s="12" t="s">
        <v>157</v>
      </c>
      <c r="K144" s="14">
        <v>393</v>
      </c>
      <c r="L144" s="14">
        <v>314</v>
      </c>
      <c r="M144" s="14">
        <v>304</v>
      </c>
      <c r="N144" s="12">
        <v>179.22</v>
      </c>
      <c r="O144" s="12" t="s">
        <v>157</v>
      </c>
      <c r="P144" s="12">
        <v>2.8829959221098801E-2</v>
      </c>
      <c r="Q144" s="12">
        <v>3.0039870473212601E-2</v>
      </c>
      <c r="R144" s="12">
        <v>0.41078629032258102</v>
      </c>
      <c r="S144" s="14">
        <v>28</v>
      </c>
      <c r="T144" s="12">
        <v>2.9586153753669899</v>
      </c>
      <c r="U144" s="14">
        <v>378</v>
      </c>
      <c r="V144" s="14">
        <v>12</v>
      </c>
      <c r="W144" s="12">
        <v>6.6E-3</v>
      </c>
      <c r="X144" s="12">
        <v>2.9652153753669901</v>
      </c>
      <c r="Y144" s="14">
        <v>378</v>
      </c>
      <c r="Z144" s="14">
        <v>28</v>
      </c>
      <c r="AA144" s="12" t="s">
        <v>2367</v>
      </c>
    </row>
    <row r="145" spans="1:27" ht="14.25" x14ac:dyDescent="0.45">
      <c r="A145" s="12" t="s">
        <v>159</v>
      </c>
      <c r="B145" s="12" t="s">
        <v>1971</v>
      </c>
      <c r="C145" s="12" t="s">
        <v>1972</v>
      </c>
      <c r="D145" s="12" t="s">
        <v>1978</v>
      </c>
      <c r="E145" s="20">
        <v>34984</v>
      </c>
      <c r="F145" s="20">
        <v>44173</v>
      </c>
      <c r="G145" s="12">
        <v>5.19</v>
      </c>
      <c r="H145" s="12">
        <v>12.9333333333333</v>
      </c>
      <c r="I145" s="13">
        <v>0.40128865979381401</v>
      </c>
      <c r="J145" s="12" t="s">
        <v>159</v>
      </c>
      <c r="K145" s="14">
        <v>1137</v>
      </c>
      <c r="L145" s="14">
        <v>680</v>
      </c>
      <c r="M145" s="14">
        <v>1024</v>
      </c>
      <c r="N145" s="12">
        <v>5.19</v>
      </c>
      <c r="O145" s="12" t="s">
        <v>159</v>
      </c>
      <c r="P145" s="12">
        <v>8.3488164466858099E-4</v>
      </c>
      <c r="Q145" s="12">
        <v>1.82727883430027E-3</v>
      </c>
      <c r="R145" s="12">
        <v>0.195564516129032</v>
      </c>
      <c r="S145" s="14">
        <v>27</v>
      </c>
      <c r="T145" s="12">
        <v>0.14551298881883901</v>
      </c>
      <c r="U145" s="14">
        <v>1169</v>
      </c>
      <c r="V145" s="14">
        <v>1</v>
      </c>
      <c r="W145" s="12">
        <v>5.4999999999999997E-3</v>
      </c>
      <c r="X145" s="12">
        <v>0.15101298881883901</v>
      </c>
      <c r="Y145" s="14">
        <v>1170</v>
      </c>
      <c r="Z145" s="14">
        <v>26</v>
      </c>
      <c r="AA145" s="12" t="s">
        <v>2367</v>
      </c>
    </row>
    <row r="146" spans="1:27" ht="14.25" x14ac:dyDescent="0.45">
      <c r="A146" s="12" t="s">
        <v>168</v>
      </c>
      <c r="B146" s="12" t="s">
        <v>1971</v>
      </c>
      <c r="C146" s="12" t="s">
        <v>1972</v>
      </c>
      <c r="D146" s="12" t="s">
        <v>2003</v>
      </c>
      <c r="E146" s="20">
        <v>33317</v>
      </c>
      <c r="F146" s="20">
        <v>43392</v>
      </c>
      <c r="G146" s="12">
        <v>2.5299999999999998</v>
      </c>
      <c r="H146" s="12">
        <v>38.966666666666697</v>
      </c>
      <c r="I146" s="13">
        <v>6.4927288280581696E-2</v>
      </c>
      <c r="J146" s="12" t="s">
        <v>168</v>
      </c>
      <c r="K146" s="14">
        <v>1573</v>
      </c>
      <c r="L146" s="14">
        <v>202</v>
      </c>
      <c r="M146" s="14">
        <v>1270</v>
      </c>
      <c r="N146" s="12">
        <v>2.5299999999999998</v>
      </c>
      <c r="O146" s="12" t="s">
        <v>168</v>
      </c>
      <c r="P146" s="12">
        <v>4.0698469383651401E-4</v>
      </c>
      <c r="Q146" s="12">
        <v>2.9564817432064302E-4</v>
      </c>
      <c r="R146" s="12">
        <v>0.58921370967741904</v>
      </c>
      <c r="S146" s="14">
        <v>31</v>
      </c>
      <c r="T146" s="12">
        <v>3.3739936913909502E-2</v>
      </c>
      <c r="U146" s="14">
        <v>1598</v>
      </c>
      <c r="V146" s="14">
        <v>1</v>
      </c>
      <c r="W146" s="12">
        <v>5.4999999999999997E-3</v>
      </c>
      <c r="X146" s="12">
        <v>3.92399369139095E-2</v>
      </c>
      <c r="Y146" s="14">
        <v>1598</v>
      </c>
      <c r="Z146" s="14">
        <v>31</v>
      </c>
      <c r="AA146" s="12" t="s">
        <v>2367</v>
      </c>
    </row>
    <row r="147" spans="1:27" ht="14.25" x14ac:dyDescent="0.45">
      <c r="A147" s="12" t="s">
        <v>174</v>
      </c>
      <c r="B147" s="12" t="s">
        <v>1971</v>
      </c>
      <c r="C147" s="12" t="s">
        <v>1972</v>
      </c>
      <c r="D147" s="12" t="s">
        <v>1993</v>
      </c>
      <c r="E147" s="20">
        <v>33416</v>
      </c>
      <c r="F147" s="20">
        <v>44123</v>
      </c>
      <c r="G147" s="12">
        <v>0.43</v>
      </c>
      <c r="H147" s="12">
        <v>14.6</v>
      </c>
      <c r="I147" s="13">
        <v>2.94520547945205E-2</v>
      </c>
      <c r="J147" s="12" t="s">
        <v>174</v>
      </c>
      <c r="K147" s="14">
        <v>1656</v>
      </c>
      <c r="L147" s="14">
        <v>552</v>
      </c>
      <c r="M147" s="14">
        <v>1706</v>
      </c>
      <c r="N147" s="12">
        <v>0.43</v>
      </c>
      <c r="O147" s="12" t="s">
        <v>174</v>
      </c>
      <c r="P147" s="12">
        <v>6.9171311600672394E-5</v>
      </c>
      <c r="Q147" s="12">
        <v>1.3411073310751101E-4</v>
      </c>
      <c r="R147" s="12">
        <v>0.22076612903225801</v>
      </c>
      <c r="S147" s="14">
        <v>31</v>
      </c>
      <c r="T147" s="12">
        <v>1.09758450042447E-2</v>
      </c>
      <c r="U147" s="14">
        <v>1754</v>
      </c>
      <c r="V147" s="14">
        <v>1</v>
      </c>
      <c r="W147" s="12">
        <v>5.4999999999999997E-3</v>
      </c>
      <c r="X147" s="12">
        <v>1.6475845004244701E-2</v>
      </c>
      <c r="Y147" s="14">
        <v>1754</v>
      </c>
      <c r="Z147" s="14">
        <v>31</v>
      </c>
      <c r="AA147" s="12" t="s">
        <v>2367</v>
      </c>
    </row>
    <row r="148" spans="1:27" ht="14.25" x14ac:dyDescent="0.45">
      <c r="A148" s="12" t="s">
        <v>179</v>
      </c>
      <c r="B148" s="12" t="s">
        <v>1971</v>
      </c>
      <c r="C148" s="12" t="s">
        <v>1972</v>
      </c>
      <c r="D148" s="12" t="s">
        <v>1987</v>
      </c>
      <c r="E148" s="20">
        <v>34448</v>
      </c>
      <c r="F148" s="20">
        <v>44109</v>
      </c>
      <c r="G148" s="12">
        <v>4.62</v>
      </c>
      <c r="H148" s="12">
        <v>15.0666666666667</v>
      </c>
      <c r="I148" s="13">
        <v>0.30663716814159298</v>
      </c>
      <c r="J148" s="12" t="s">
        <v>179</v>
      </c>
      <c r="K148" s="14">
        <v>1220</v>
      </c>
      <c r="L148" s="14">
        <v>501</v>
      </c>
      <c r="M148" s="14">
        <v>1058</v>
      </c>
      <c r="N148" s="12">
        <v>4.62</v>
      </c>
      <c r="O148" s="12" t="s">
        <v>179</v>
      </c>
      <c r="P148" s="12">
        <v>7.43189440918852E-4</v>
      </c>
      <c r="Q148" s="12">
        <v>1.3962806909191001E-3</v>
      </c>
      <c r="R148" s="12">
        <v>0.227822580645161</v>
      </c>
      <c r="S148" s="14">
        <v>28</v>
      </c>
      <c r="T148" s="12">
        <v>0.11513714721690101</v>
      </c>
      <c r="U148" s="14">
        <v>1243</v>
      </c>
      <c r="V148" s="14">
        <v>2</v>
      </c>
      <c r="W148" s="12">
        <v>5.5999999999999999E-3</v>
      </c>
      <c r="X148" s="12">
        <v>0.120737147216901</v>
      </c>
      <c r="Y148" s="14">
        <v>1242</v>
      </c>
      <c r="Z148" s="14">
        <v>28</v>
      </c>
      <c r="AA148" s="12" t="s">
        <v>2367</v>
      </c>
    </row>
    <row r="149" spans="1:27" ht="14.25" x14ac:dyDescent="0.45">
      <c r="A149" s="12" t="s">
        <v>181</v>
      </c>
      <c r="B149" s="12" t="s">
        <v>1971</v>
      </c>
      <c r="C149" s="12" t="s">
        <v>1972</v>
      </c>
      <c r="D149" s="12" t="s">
        <v>2026</v>
      </c>
      <c r="E149" s="20">
        <v>34486</v>
      </c>
      <c r="F149" s="20">
        <v>44186</v>
      </c>
      <c r="G149" s="12">
        <v>8.73</v>
      </c>
      <c r="H149" s="12">
        <v>12.5</v>
      </c>
      <c r="I149" s="13">
        <v>0.69840000000000002</v>
      </c>
      <c r="J149" s="12" t="s">
        <v>181</v>
      </c>
      <c r="K149" s="14">
        <v>935</v>
      </c>
      <c r="L149" s="14">
        <v>723</v>
      </c>
      <c r="M149" s="14">
        <v>869</v>
      </c>
      <c r="N149" s="12">
        <v>8.73</v>
      </c>
      <c r="O149" s="12" t="s">
        <v>181</v>
      </c>
      <c r="P149" s="12">
        <v>1.4043384890089999E-3</v>
      </c>
      <c r="Q149" s="12">
        <v>3.1801834084497099E-3</v>
      </c>
      <c r="R149" s="12">
        <v>0.18901209677419401</v>
      </c>
      <c r="S149" s="14">
        <v>28</v>
      </c>
      <c r="T149" s="12">
        <v>0.25142415636594401</v>
      </c>
      <c r="U149" s="14">
        <v>969</v>
      </c>
      <c r="V149" s="14">
        <v>1</v>
      </c>
      <c r="W149" s="12">
        <v>5.4999999999999997E-3</v>
      </c>
      <c r="X149" s="12">
        <v>0.25692415636594401</v>
      </c>
      <c r="Y149" s="14">
        <v>969</v>
      </c>
      <c r="Z149" s="14">
        <v>28</v>
      </c>
      <c r="AA149" s="12" t="s">
        <v>2367</v>
      </c>
    </row>
    <row r="150" spans="1:27" ht="14.25" x14ac:dyDescent="0.45">
      <c r="A150" s="12" t="s">
        <v>182</v>
      </c>
      <c r="B150" s="12" t="s">
        <v>1971</v>
      </c>
      <c r="C150" s="12" t="s">
        <v>1972</v>
      </c>
      <c r="D150" s="12" t="s">
        <v>2007</v>
      </c>
      <c r="E150" s="20">
        <v>33545</v>
      </c>
      <c r="F150" s="20">
        <v>43720</v>
      </c>
      <c r="G150" s="12">
        <v>28.48</v>
      </c>
      <c r="H150" s="12">
        <v>28.033333333333299</v>
      </c>
      <c r="I150" s="13">
        <v>1.01593341260404</v>
      </c>
      <c r="J150" s="12" t="s">
        <v>182</v>
      </c>
      <c r="K150" s="14">
        <v>816</v>
      </c>
      <c r="L150" s="14">
        <v>289</v>
      </c>
      <c r="M150" s="14">
        <v>585</v>
      </c>
      <c r="N150" s="12">
        <v>28.48</v>
      </c>
      <c r="O150" s="12" t="s">
        <v>182</v>
      </c>
      <c r="P150" s="12">
        <v>4.5813929171794202E-3</v>
      </c>
      <c r="Q150" s="12">
        <v>4.6260804450931701E-3</v>
      </c>
      <c r="R150" s="12">
        <v>0.42389112903225801</v>
      </c>
      <c r="S150" s="14">
        <v>31</v>
      </c>
      <c r="T150" s="12">
        <v>0.46093226221255101</v>
      </c>
      <c r="U150" s="14">
        <v>794</v>
      </c>
      <c r="V150" s="14">
        <v>10</v>
      </c>
      <c r="W150" s="12">
        <v>6.4000000000000003E-3</v>
      </c>
      <c r="X150" s="12">
        <v>0.46733226221255098</v>
      </c>
      <c r="Y150" s="14">
        <v>794</v>
      </c>
      <c r="Z150" s="14">
        <v>30</v>
      </c>
      <c r="AA150" s="12" t="s">
        <v>2367</v>
      </c>
    </row>
    <row r="151" spans="1:27" ht="14.25" x14ac:dyDescent="0.45">
      <c r="A151" s="12" t="s">
        <v>186</v>
      </c>
      <c r="B151" s="12" t="s">
        <v>1971</v>
      </c>
      <c r="C151" s="12" t="s">
        <v>1972</v>
      </c>
      <c r="D151" s="12" t="s">
        <v>2007</v>
      </c>
      <c r="E151" s="20">
        <v>33980</v>
      </c>
      <c r="F151" s="20">
        <v>43850</v>
      </c>
      <c r="G151" s="12">
        <v>80.64</v>
      </c>
      <c r="H151" s="12">
        <v>23.7</v>
      </c>
      <c r="I151" s="13">
        <v>3.4025316455696202</v>
      </c>
      <c r="J151" s="12" t="s">
        <v>186</v>
      </c>
      <c r="K151" s="14">
        <v>530</v>
      </c>
      <c r="L151" s="14">
        <v>390</v>
      </c>
      <c r="M151" s="14">
        <v>408</v>
      </c>
      <c r="N151" s="12">
        <v>80.64</v>
      </c>
      <c r="O151" s="12" t="s">
        <v>186</v>
      </c>
      <c r="P151" s="12">
        <v>1.2972033877856301E-2</v>
      </c>
      <c r="Q151" s="12">
        <v>1.54935204552772E-2</v>
      </c>
      <c r="R151" s="12">
        <v>0.358366935483871</v>
      </c>
      <c r="S151" s="14">
        <v>29</v>
      </c>
      <c r="T151" s="12">
        <v>1.4547962988744401</v>
      </c>
      <c r="U151" s="14">
        <v>498</v>
      </c>
      <c r="V151" s="14">
        <v>8</v>
      </c>
      <c r="W151" s="12">
        <v>6.1999999999999998E-3</v>
      </c>
      <c r="X151" s="12">
        <v>1.46099629887444</v>
      </c>
      <c r="Y151" s="14">
        <v>498</v>
      </c>
      <c r="Z151" s="14">
        <v>29</v>
      </c>
      <c r="AA151" s="12" t="s">
        <v>2367</v>
      </c>
    </row>
    <row r="152" spans="1:27" ht="14.25" x14ac:dyDescent="0.45">
      <c r="A152" s="12" t="s">
        <v>190</v>
      </c>
      <c r="B152" s="12" t="s">
        <v>1971</v>
      </c>
      <c r="C152" s="12" t="s">
        <v>1972</v>
      </c>
      <c r="D152" s="12" t="s">
        <v>1982</v>
      </c>
      <c r="E152" s="20">
        <v>35070</v>
      </c>
      <c r="F152" s="20">
        <v>43325</v>
      </c>
      <c r="G152" s="12">
        <v>591.35</v>
      </c>
      <c r="H152" s="12">
        <v>41.2</v>
      </c>
      <c r="I152" s="13">
        <v>14.3531553398058</v>
      </c>
      <c r="J152" s="12" t="s">
        <v>190</v>
      </c>
      <c r="K152" s="14">
        <v>200</v>
      </c>
      <c r="L152" s="14">
        <v>154</v>
      </c>
      <c r="M152" s="14">
        <v>119</v>
      </c>
      <c r="N152" s="12">
        <v>591.35</v>
      </c>
      <c r="O152" s="12" t="s">
        <v>190</v>
      </c>
      <c r="P152" s="12">
        <v>9.5126639802459598E-2</v>
      </c>
      <c r="Q152" s="12">
        <v>6.5357483491626303E-2</v>
      </c>
      <c r="R152" s="12">
        <v>0.62298387096774199</v>
      </c>
      <c r="S152" s="14">
        <v>26</v>
      </c>
      <c r="T152" s="12">
        <v>7.6520917108188797</v>
      </c>
      <c r="U152" s="14">
        <v>166</v>
      </c>
      <c r="V152" s="14">
        <v>6</v>
      </c>
      <c r="W152" s="12">
        <v>6.0000000000000001E-3</v>
      </c>
      <c r="X152" s="12">
        <v>7.65809171081888</v>
      </c>
      <c r="Y152" s="14">
        <v>166</v>
      </c>
      <c r="Z152" s="14">
        <v>26</v>
      </c>
      <c r="AA152" s="12" t="s">
        <v>2367</v>
      </c>
    </row>
    <row r="153" spans="1:27" ht="14.25" x14ac:dyDescent="0.45">
      <c r="A153" s="12" t="s">
        <v>206</v>
      </c>
      <c r="B153" s="12" t="s">
        <v>1971</v>
      </c>
      <c r="C153" s="12" t="s">
        <v>1972</v>
      </c>
      <c r="D153" s="12" t="s">
        <v>2091</v>
      </c>
      <c r="E153" s="20">
        <v>35336</v>
      </c>
      <c r="F153" s="20">
        <v>44202</v>
      </c>
      <c r="G153" s="12">
        <v>0.45</v>
      </c>
      <c r="H153" s="12">
        <v>11.966666666666701</v>
      </c>
      <c r="I153" s="13">
        <v>3.7604456824512501E-2</v>
      </c>
      <c r="J153" s="12" t="s">
        <v>206</v>
      </c>
      <c r="K153" s="14">
        <v>1635</v>
      </c>
      <c r="L153" s="14">
        <v>784</v>
      </c>
      <c r="M153" s="14">
        <v>1701</v>
      </c>
      <c r="N153" s="12">
        <v>0.45</v>
      </c>
      <c r="O153" s="12" t="s">
        <v>206</v>
      </c>
      <c r="P153" s="12">
        <v>7.2388581907680406E-5</v>
      </c>
      <c r="Q153" s="12">
        <v>1.71232917636137E-4</v>
      </c>
      <c r="R153" s="12">
        <v>0.180947580645161</v>
      </c>
      <c r="S153" s="14">
        <v>26</v>
      </c>
      <c r="T153" s="12">
        <v>1.34166291737966E-2</v>
      </c>
      <c r="U153" s="14">
        <v>1728</v>
      </c>
      <c r="V153" s="14">
        <v>2</v>
      </c>
      <c r="W153" s="12">
        <v>5.5999999999999999E-3</v>
      </c>
      <c r="X153" s="12">
        <v>1.9016629173796599E-2</v>
      </c>
      <c r="Y153" s="14">
        <v>1728</v>
      </c>
      <c r="Z153" s="14">
        <v>25</v>
      </c>
      <c r="AA153" s="12" t="s">
        <v>2367</v>
      </c>
    </row>
    <row r="154" spans="1:27" ht="14.25" x14ac:dyDescent="0.45">
      <c r="A154" s="12" t="s">
        <v>213</v>
      </c>
      <c r="B154" s="12" t="s">
        <v>1971</v>
      </c>
      <c r="C154" s="12" t="s">
        <v>1972</v>
      </c>
      <c r="D154" s="12" t="s">
        <v>1993</v>
      </c>
      <c r="E154" s="20">
        <v>35318</v>
      </c>
      <c r="F154" s="20">
        <v>44173</v>
      </c>
      <c r="G154" s="12">
        <v>4.7</v>
      </c>
      <c r="H154" s="12">
        <v>12.9333333333333</v>
      </c>
      <c r="I154" s="13">
        <v>0.36340206185566998</v>
      </c>
      <c r="J154" s="12" t="s">
        <v>213</v>
      </c>
      <c r="K154" s="14">
        <v>1172</v>
      </c>
      <c r="L154" s="14">
        <v>680</v>
      </c>
      <c r="M154" s="14">
        <v>1055</v>
      </c>
      <c r="N154" s="12">
        <v>4.7</v>
      </c>
      <c r="O154" s="12" t="s">
        <v>213</v>
      </c>
      <c r="P154" s="12">
        <v>7.5605852214688399E-4</v>
      </c>
      <c r="Q154" s="12">
        <v>1.6547611794241401E-3</v>
      </c>
      <c r="R154" s="12">
        <v>0.195564516129032</v>
      </c>
      <c r="S154" s="14">
        <v>26</v>
      </c>
      <c r="T154" s="12">
        <v>0.13177476829451701</v>
      </c>
      <c r="U154" s="14">
        <v>1201</v>
      </c>
      <c r="V154" s="14">
        <v>2</v>
      </c>
      <c r="W154" s="12">
        <v>5.5999999999999999E-3</v>
      </c>
      <c r="X154" s="12">
        <v>0.137374768294517</v>
      </c>
      <c r="Y154" s="14">
        <v>1201</v>
      </c>
      <c r="Z154" s="14">
        <v>25</v>
      </c>
      <c r="AA154" s="12" t="s">
        <v>2367</v>
      </c>
    </row>
    <row r="155" spans="1:27" ht="14.25" x14ac:dyDescent="0.45">
      <c r="A155" s="12" t="s">
        <v>216</v>
      </c>
      <c r="B155" s="12" t="s">
        <v>1971</v>
      </c>
      <c r="C155" s="12" t="s">
        <v>1972</v>
      </c>
      <c r="D155" s="12" t="s">
        <v>2007</v>
      </c>
      <c r="E155" s="20">
        <v>33300</v>
      </c>
      <c r="F155" s="20">
        <v>42943</v>
      </c>
      <c r="G155" s="12">
        <v>0.42</v>
      </c>
      <c r="H155" s="12">
        <v>53.933333333333302</v>
      </c>
      <c r="I155" s="13">
        <v>7.7873918417799802E-3</v>
      </c>
      <c r="J155" s="12" t="s">
        <v>216</v>
      </c>
      <c r="K155" s="14">
        <v>1758</v>
      </c>
      <c r="L155" s="14">
        <v>44</v>
      </c>
      <c r="M155" s="14">
        <v>1708</v>
      </c>
      <c r="N155" s="12">
        <v>0.42</v>
      </c>
      <c r="O155" s="12" t="s">
        <v>216</v>
      </c>
      <c r="P155" s="12">
        <v>6.7562676447168395E-5</v>
      </c>
      <c r="Q155" s="12">
        <v>3.5460100702069401E-5</v>
      </c>
      <c r="R155" s="12">
        <v>0.81552419354838701</v>
      </c>
      <c r="S155" s="14">
        <v>31</v>
      </c>
      <c r="T155" s="12">
        <v>4.7498566606481501E-3</v>
      </c>
      <c r="U155" s="14">
        <v>1824</v>
      </c>
      <c r="V155" s="14">
        <v>1</v>
      </c>
      <c r="W155" s="12">
        <v>5.4999999999999997E-3</v>
      </c>
      <c r="X155" s="12">
        <v>1.0249856660648199E-2</v>
      </c>
      <c r="Y155" s="14">
        <v>1824</v>
      </c>
      <c r="Z155" s="14">
        <v>31</v>
      </c>
      <c r="AA155" s="12" t="s">
        <v>2367</v>
      </c>
    </row>
    <row r="156" spans="1:27" ht="14.25" x14ac:dyDescent="0.45">
      <c r="A156" s="12" t="s">
        <v>219</v>
      </c>
      <c r="B156" s="12" t="s">
        <v>1971</v>
      </c>
      <c r="C156" s="12" t="s">
        <v>1972</v>
      </c>
      <c r="D156" s="12" t="s">
        <v>1993</v>
      </c>
      <c r="E156" s="20">
        <v>34466</v>
      </c>
      <c r="F156" s="20">
        <v>44165</v>
      </c>
      <c r="G156" s="12">
        <v>2.16</v>
      </c>
      <c r="H156" s="12">
        <v>13.2</v>
      </c>
      <c r="I156" s="13">
        <v>0.163636363636364</v>
      </c>
      <c r="J156" s="12" t="s">
        <v>219</v>
      </c>
      <c r="K156" s="14">
        <v>1395</v>
      </c>
      <c r="L156" s="14">
        <v>658</v>
      </c>
      <c r="M156" s="14">
        <v>1330</v>
      </c>
      <c r="N156" s="12">
        <v>2.16</v>
      </c>
      <c r="O156" s="12" t="s">
        <v>219</v>
      </c>
      <c r="P156" s="12">
        <v>3.4746519315686603E-4</v>
      </c>
      <c r="Q156" s="12">
        <v>7.4512263553179697E-4</v>
      </c>
      <c r="R156" s="12">
        <v>0.19959677419354799</v>
      </c>
      <c r="S156" s="14">
        <v>28</v>
      </c>
      <c r="T156" s="12">
        <v>5.9600109464119803E-2</v>
      </c>
      <c r="U156" s="14">
        <v>1483</v>
      </c>
      <c r="V156" s="14">
        <v>1</v>
      </c>
      <c r="W156" s="12">
        <v>5.4999999999999997E-3</v>
      </c>
      <c r="X156" s="12">
        <v>6.5100109464119801E-2</v>
      </c>
      <c r="Y156" s="14">
        <v>1483</v>
      </c>
      <c r="Z156" s="14">
        <v>28</v>
      </c>
      <c r="AA156" s="12" t="s">
        <v>2367</v>
      </c>
    </row>
    <row r="157" spans="1:27" ht="14.25" x14ac:dyDescent="0.45">
      <c r="A157" s="12" t="s">
        <v>220</v>
      </c>
      <c r="B157" s="12" t="s">
        <v>1971</v>
      </c>
      <c r="C157" s="12" t="s">
        <v>1972</v>
      </c>
      <c r="D157" s="12" t="s">
        <v>1973</v>
      </c>
      <c r="E157" s="20">
        <v>34099</v>
      </c>
      <c r="F157" s="20">
        <v>43871</v>
      </c>
      <c r="G157" s="12">
        <v>82.77</v>
      </c>
      <c r="H157" s="12">
        <v>23</v>
      </c>
      <c r="I157" s="13">
        <v>3.5986956521739102</v>
      </c>
      <c r="J157" s="12" t="s">
        <v>220</v>
      </c>
      <c r="K157" s="14">
        <v>513</v>
      </c>
      <c r="L157" s="14">
        <v>408</v>
      </c>
      <c r="M157" s="14">
        <v>404</v>
      </c>
      <c r="N157" s="12">
        <v>82.77</v>
      </c>
      <c r="O157" s="12" t="s">
        <v>220</v>
      </c>
      <c r="P157" s="12">
        <v>1.3314673165552701E-2</v>
      </c>
      <c r="Q157" s="12">
        <v>1.63867585983728E-2</v>
      </c>
      <c r="R157" s="12">
        <v>0.34778225806451601</v>
      </c>
      <c r="S157" s="14">
        <v>29</v>
      </c>
      <c r="T157" s="12">
        <v>1.5234726561065299</v>
      </c>
      <c r="U157" s="14">
        <v>494</v>
      </c>
      <c r="V157" s="14">
        <v>24</v>
      </c>
      <c r="W157" s="12">
        <v>7.4000000000000003E-3</v>
      </c>
      <c r="X157" s="12">
        <v>1.53087265610653</v>
      </c>
      <c r="Y157" s="14">
        <v>494</v>
      </c>
      <c r="Z157" s="14">
        <v>29</v>
      </c>
      <c r="AA157" s="12" t="s">
        <v>2367</v>
      </c>
    </row>
    <row r="158" spans="1:27" ht="14.25" x14ac:dyDescent="0.45">
      <c r="A158" s="12" t="s">
        <v>223</v>
      </c>
      <c r="B158" s="12" t="s">
        <v>1971</v>
      </c>
      <c r="C158" s="12" t="s">
        <v>1972</v>
      </c>
      <c r="D158" s="12" t="s">
        <v>1978</v>
      </c>
      <c r="E158" s="20">
        <v>32051</v>
      </c>
      <c r="F158" s="20">
        <v>43315</v>
      </c>
      <c r="G158" s="12">
        <v>503.92</v>
      </c>
      <c r="H158" s="12">
        <v>41.533333333333303</v>
      </c>
      <c r="I158" s="13">
        <v>12.1329052969502</v>
      </c>
      <c r="J158" s="12" t="s">
        <v>223</v>
      </c>
      <c r="K158" s="14">
        <v>242</v>
      </c>
      <c r="L158" s="14">
        <v>140</v>
      </c>
      <c r="M158" s="14">
        <v>145</v>
      </c>
      <c r="N158" s="12">
        <v>503.92</v>
      </c>
      <c r="O158" s="12" t="s">
        <v>223</v>
      </c>
      <c r="P158" s="12">
        <v>8.1062342655374001E-2</v>
      </c>
      <c r="Q158" s="12">
        <v>5.52475144926299E-2</v>
      </c>
      <c r="R158" s="12">
        <v>0.62802419354838701</v>
      </c>
      <c r="S158" s="14">
        <v>35</v>
      </c>
      <c r="T158" s="12">
        <v>6.4928075053659002</v>
      </c>
      <c r="U158" s="14">
        <v>204</v>
      </c>
      <c r="V158" s="14">
        <v>5</v>
      </c>
      <c r="W158" s="12">
        <v>5.8999999999999999E-3</v>
      </c>
      <c r="X158" s="12">
        <v>6.4987075053658998</v>
      </c>
      <c r="Y158" s="14">
        <v>204</v>
      </c>
      <c r="Z158" s="14">
        <v>34</v>
      </c>
      <c r="AA158" s="12" t="s">
        <v>2367</v>
      </c>
    </row>
    <row r="159" spans="1:27" ht="14.25" x14ac:dyDescent="0.45">
      <c r="A159" s="12" t="s">
        <v>240</v>
      </c>
      <c r="B159" s="12" t="s">
        <v>1971</v>
      </c>
      <c r="C159" s="12" t="s">
        <v>1972</v>
      </c>
      <c r="D159" s="12" t="s">
        <v>2020</v>
      </c>
      <c r="E159" s="20">
        <v>32015</v>
      </c>
      <c r="F159" s="20">
        <v>43762</v>
      </c>
      <c r="G159" s="12">
        <v>2448.29</v>
      </c>
      <c r="H159" s="12">
        <v>26.633333333333301</v>
      </c>
      <c r="I159" s="13">
        <v>91.925782227784794</v>
      </c>
      <c r="J159" s="12" t="s">
        <v>240</v>
      </c>
      <c r="K159" s="14">
        <v>19</v>
      </c>
      <c r="L159" s="14">
        <v>341</v>
      </c>
      <c r="M159" s="14">
        <v>14</v>
      </c>
      <c r="N159" s="12">
        <v>2448.29</v>
      </c>
      <c r="O159" s="12" t="s">
        <v>240</v>
      </c>
      <c r="P159" s="12">
        <v>0.39384053599723301</v>
      </c>
      <c r="Q159" s="12">
        <v>0.41858655133098799</v>
      </c>
      <c r="R159" s="12">
        <v>0.40272177419354799</v>
      </c>
      <c r="S159" s="14">
        <v>35</v>
      </c>
      <c r="T159" s="12">
        <v>40.930679558083</v>
      </c>
      <c r="U159" s="14">
        <v>15</v>
      </c>
      <c r="V159" s="14">
        <v>55</v>
      </c>
      <c r="W159" s="12">
        <v>8.8000000000000005E-3</v>
      </c>
      <c r="X159" s="12">
        <v>40.939479558083001</v>
      </c>
      <c r="Y159" s="14">
        <v>15</v>
      </c>
      <c r="Z159" s="14">
        <v>34</v>
      </c>
      <c r="AA159" s="12" t="s">
        <v>2367</v>
      </c>
    </row>
    <row r="160" spans="1:27" ht="14.25" x14ac:dyDescent="0.45">
      <c r="A160" s="12" t="s">
        <v>250</v>
      </c>
      <c r="B160" s="12" t="s">
        <v>1971</v>
      </c>
      <c r="C160" s="12" t="s">
        <v>1972</v>
      </c>
      <c r="D160" s="12" t="s">
        <v>1997</v>
      </c>
      <c r="E160" s="20">
        <v>34384</v>
      </c>
      <c r="F160" s="20">
        <v>44204</v>
      </c>
      <c r="G160" s="12">
        <v>145.4</v>
      </c>
      <c r="H160" s="12">
        <v>11.9</v>
      </c>
      <c r="I160" s="13">
        <v>12.218487394958</v>
      </c>
      <c r="J160" s="12" t="s">
        <v>250</v>
      </c>
      <c r="K160" s="14">
        <v>238</v>
      </c>
      <c r="L160" s="14">
        <v>793</v>
      </c>
      <c r="M160" s="14">
        <v>325</v>
      </c>
      <c r="N160" s="12">
        <v>145.4</v>
      </c>
      <c r="O160" s="12" t="s">
        <v>250</v>
      </c>
      <c r="P160" s="12">
        <v>2.3389555131948299E-2</v>
      </c>
      <c r="Q160" s="12">
        <v>5.5637214905208003E-2</v>
      </c>
      <c r="R160" s="12">
        <v>0.179939516129032</v>
      </c>
      <c r="S160" s="14">
        <v>28</v>
      </c>
      <c r="T160" s="12">
        <v>4.3544342490235604</v>
      </c>
      <c r="U160" s="14">
        <v>288</v>
      </c>
      <c r="V160" s="14">
        <v>9</v>
      </c>
      <c r="W160" s="12">
        <v>6.3E-3</v>
      </c>
      <c r="X160" s="12">
        <v>4.3607342490235599</v>
      </c>
      <c r="Y160" s="14">
        <v>288</v>
      </c>
      <c r="Z160" s="14">
        <v>28</v>
      </c>
      <c r="AA160" s="12" t="s">
        <v>2367</v>
      </c>
    </row>
    <row r="161" spans="1:27" ht="14.25" x14ac:dyDescent="0.45">
      <c r="A161" s="12" t="s">
        <v>272</v>
      </c>
      <c r="B161" s="12" t="s">
        <v>1971</v>
      </c>
      <c r="C161" s="12" t="s">
        <v>1972</v>
      </c>
      <c r="D161" s="12" t="s">
        <v>2072</v>
      </c>
      <c r="E161" s="20">
        <v>33811</v>
      </c>
      <c r="F161" s="20">
        <v>44211</v>
      </c>
      <c r="G161" s="12">
        <v>4.45</v>
      </c>
      <c r="H161" s="12">
        <v>11.6666666666667</v>
      </c>
      <c r="I161" s="13">
        <v>0.38142857142857101</v>
      </c>
      <c r="J161" s="12" t="s">
        <v>272</v>
      </c>
      <c r="K161" s="14">
        <v>1158</v>
      </c>
      <c r="L161" s="14">
        <v>823</v>
      </c>
      <c r="M161" s="14">
        <v>1075</v>
      </c>
      <c r="N161" s="12">
        <v>4.45</v>
      </c>
      <c r="O161" s="12" t="s">
        <v>272</v>
      </c>
      <c r="P161" s="12">
        <v>7.1584264330928405E-4</v>
      </c>
      <c r="Q161" s="12">
        <v>1.73684538139435E-3</v>
      </c>
      <c r="R161" s="12">
        <v>0.17641129032258099</v>
      </c>
      <c r="S161" s="14">
        <v>30</v>
      </c>
      <c r="T161" s="12">
        <v>0.13539693546124501</v>
      </c>
      <c r="U161" s="14">
        <v>1193</v>
      </c>
      <c r="V161" s="14">
        <v>1</v>
      </c>
      <c r="W161" s="12">
        <v>5.4999999999999997E-3</v>
      </c>
      <c r="X161" s="12">
        <v>0.14089693546124499</v>
      </c>
      <c r="Y161" s="14">
        <v>1193</v>
      </c>
      <c r="Z161" s="14">
        <v>29</v>
      </c>
      <c r="AA161" s="12" t="s">
        <v>2367</v>
      </c>
    </row>
    <row r="162" spans="1:27" ht="14.25" x14ac:dyDescent="0.45">
      <c r="A162" s="12" t="s">
        <v>289</v>
      </c>
      <c r="B162" s="12" t="s">
        <v>1971</v>
      </c>
      <c r="C162" s="12" t="s">
        <v>1972</v>
      </c>
      <c r="D162" s="12" t="s">
        <v>2020</v>
      </c>
      <c r="E162" s="20">
        <v>32910</v>
      </c>
      <c r="F162" s="20">
        <v>42817</v>
      </c>
      <c r="G162" s="12">
        <v>701.85</v>
      </c>
      <c r="H162" s="12">
        <v>58.133333333333297</v>
      </c>
      <c r="I162" s="13">
        <v>12.0731077981651</v>
      </c>
      <c r="J162" s="12" t="s">
        <v>289</v>
      </c>
      <c r="K162" s="14">
        <v>243</v>
      </c>
      <c r="L162" s="14">
        <v>9</v>
      </c>
      <c r="M162" s="14">
        <v>90</v>
      </c>
      <c r="N162" s="12">
        <v>701.85</v>
      </c>
      <c r="O162" s="12" t="s">
        <v>289</v>
      </c>
      <c r="P162" s="12">
        <v>0.11290205824867899</v>
      </c>
      <c r="Q162" s="12">
        <v>5.4975224954395101E-2</v>
      </c>
      <c r="R162" s="12">
        <v>0.87903225806451601</v>
      </c>
      <c r="S162" s="14">
        <v>32</v>
      </c>
      <c r="T162" s="12">
        <v>7.6697787439751597</v>
      </c>
      <c r="U162" s="14">
        <v>164</v>
      </c>
      <c r="V162" s="14">
        <v>18</v>
      </c>
      <c r="W162" s="12">
        <v>7.0000000000000001E-3</v>
      </c>
      <c r="X162" s="12">
        <v>7.6767787439751602</v>
      </c>
      <c r="Y162" s="14">
        <v>164</v>
      </c>
      <c r="Z162" s="14">
        <v>32</v>
      </c>
      <c r="AA162" s="12" t="s">
        <v>2367</v>
      </c>
    </row>
    <row r="163" spans="1:27" ht="14.25" x14ac:dyDescent="0.45">
      <c r="A163" s="12" t="s">
        <v>292</v>
      </c>
      <c r="B163" s="12" t="s">
        <v>1971</v>
      </c>
      <c r="C163" s="12" t="s">
        <v>1972</v>
      </c>
      <c r="D163" s="12" t="s">
        <v>1993</v>
      </c>
      <c r="E163" s="20">
        <v>35027</v>
      </c>
      <c r="F163" s="20">
        <v>44169</v>
      </c>
      <c r="G163" s="12">
        <v>2.35</v>
      </c>
      <c r="H163" s="12">
        <v>13.0666666666667</v>
      </c>
      <c r="I163" s="13">
        <v>0.17984693877551</v>
      </c>
      <c r="J163" s="12" t="s">
        <v>292</v>
      </c>
      <c r="K163" s="14">
        <v>1371</v>
      </c>
      <c r="L163" s="14">
        <v>668</v>
      </c>
      <c r="M163" s="14">
        <v>1299</v>
      </c>
      <c r="N163" s="12">
        <v>2.35</v>
      </c>
      <c r="O163" s="12" t="s">
        <v>292</v>
      </c>
      <c r="P163" s="12">
        <v>3.7802926107344199E-4</v>
      </c>
      <c r="Q163" s="12">
        <v>8.1893793063337402E-4</v>
      </c>
      <c r="R163" s="12">
        <v>0.19758064516129001</v>
      </c>
      <c r="S163" s="14">
        <v>27</v>
      </c>
      <c r="T163" s="12">
        <v>6.5359717954839899E-2</v>
      </c>
      <c r="U163" s="14">
        <v>1462</v>
      </c>
      <c r="V163" s="14">
        <v>1</v>
      </c>
      <c r="W163" s="12">
        <v>5.4999999999999997E-3</v>
      </c>
      <c r="X163" s="12">
        <v>7.0859717954839904E-2</v>
      </c>
      <c r="Y163" s="14">
        <v>1462</v>
      </c>
      <c r="Z163" s="14">
        <v>26</v>
      </c>
      <c r="AA163" s="12" t="s">
        <v>2367</v>
      </c>
    </row>
    <row r="164" spans="1:27" ht="14.25" x14ac:dyDescent="0.45">
      <c r="A164" s="12" t="s">
        <v>294</v>
      </c>
      <c r="B164" s="12" t="s">
        <v>1971</v>
      </c>
      <c r="C164" s="12" t="s">
        <v>1972</v>
      </c>
      <c r="D164" s="12" t="s">
        <v>1997</v>
      </c>
      <c r="E164" s="20">
        <v>32998</v>
      </c>
      <c r="F164" s="20">
        <v>44116</v>
      </c>
      <c r="G164" s="12">
        <v>69.040000000000006</v>
      </c>
      <c r="H164" s="12">
        <v>14.8333333333333</v>
      </c>
      <c r="I164" s="13">
        <v>4.6543820224719097</v>
      </c>
      <c r="J164" s="12" t="s">
        <v>294</v>
      </c>
      <c r="K164" s="14">
        <v>460</v>
      </c>
      <c r="L164" s="14">
        <v>534</v>
      </c>
      <c r="M164" s="14">
        <v>428</v>
      </c>
      <c r="N164" s="12">
        <v>69.040000000000006</v>
      </c>
      <c r="O164" s="12" t="s">
        <v>294</v>
      </c>
      <c r="P164" s="12">
        <v>1.11060170997917E-2</v>
      </c>
      <c r="Q164" s="12">
        <v>2.1193855218287198E-2</v>
      </c>
      <c r="R164" s="12">
        <v>0.22429435483870999</v>
      </c>
      <c r="S164" s="14">
        <v>32</v>
      </c>
      <c r="T164" s="12">
        <v>1.74109159238514</v>
      </c>
      <c r="U164" s="14">
        <v>463</v>
      </c>
      <c r="V164" s="14">
        <v>4</v>
      </c>
      <c r="W164" s="12">
        <v>5.7999999999999996E-3</v>
      </c>
      <c r="X164" s="12">
        <v>1.74689159238514</v>
      </c>
      <c r="Y164" s="14">
        <v>463</v>
      </c>
      <c r="Z164" s="14">
        <v>32</v>
      </c>
      <c r="AA164" s="12" t="s">
        <v>2367</v>
      </c>
    </row>
    <row r="165" spans="1:27" ht="14.25" x14ac:dyDescent="0.45">
      <c r="A165" s="12" t="s">
        <v>309</v>
      </c>
      <c r="B165" s="12" t="s">
        <v>1971</v>
      </c>
      <c r="C165" s="12" t="s">
        <v>1972</v>
      </c>
      <c r="D165" s="12" t="s">
        <v>1973</v>
      </c>
      <c r="E165" s="20">
        <v>33574</v>
      </c>
      <c r="F165" s="20">
        <v>44109</v>
      </c>
      <c r="G165" s="12">
        <v>213.62</v>
      </c>
      <c r="H165" s="12">
        <v>15.0666666666667</v>
      </c>
      <c r="I165" s="13">
        <v>14.1783185840708</v>
      </c>
      <c r="J165" s="12" t="s">
        <v>309</v>
      </c>
      <c r="K165" s="14">
        <v>204</v>
      </c>
      <c r="L165" s="14">
        <v>501</v>
      </c>
      <c r="M165" s="14">
        <v>278</v>
      </c>
      <c r="N165" s="12">
        <v>213.62</v>
      </c>
      <c r="O165" s="12" t="s">
        <v>309</v>
      </c>
      <c r="P165" s="12">
        <v>3.4363664149152602E-2</v>
      </c>
      <c r="Q165" s="12">
        <v>6.4561359565830603E-2</v>
      </c>
      <c r="R165" s="12">
        <v>0.227822580645161</v>
      </c>
      <c r="S165" s="14">
        <v>31</v>
      </c>
      <c r="T165" s="12">
        <v>5.3237223784576404</v>
      </c>
      <c r="U165" s="14">
        <v>249</v>
      </c>
      <c r="V165" s="14">
        <v>12</v>
      </c>
      <c r="W165" s="12">
        <v>6.6E-3</v>
      </c>
      <c r="X165" s="12">
        <v>5.3303223784576401</v>
      </c>
      <c r="Y165" s="14">
        <v>249</v>
      </c>
      <c r="Z165" s="14">
        <v>30</v>
      </c>
      <c r="AA165" s="12" t="s">
        <v>2367</v>
      </c>
    </row>
    <row r="166" spans="1:27" ht="14.25" x14ac:dyDescent="0.45">
      <c r="A166" s="12" t="s">
        <v>314</v>
      </c>
      <c r="B166" s="12" t="s">
        <v>1971</v>
      </c>
      <c r="C166" s="12" t="s">
        <v>1972</v>
      </c>
      <c r="D166" s="12" t="s">
        <v>1993</v>
      </c>
      <c r="E166" s="20">
        <v>32510</v>
      </c>
      <c r="F166" s="20">
        <v>43749</v>
      </c>
      <c r="G166" s="12">
        <v>5944.11</v>
      </c>
      <c r="H166" s="12">
        <v>27.066666666666698</v>
      </c>
      <c r="I166" s="13">
        <v>219.609975369458</v>
      </c>
      <c r="J166" s="12" t="s">
        <v>314</v>
      </c>
      <c r="K166" s="14">
        <v>1</v>
      </c>
      <c r="L166" s="14">
        <v>322</v>
      </c>
      <c r="M166" s="14">
        <v>2</v>
      </c>
      <c r="N166" s="12">
        <v>5944.11</v>
      </c>
      <c r="O166" s="12" t="s">
        <v>314</v>
      </c>
      <c r="P166" s="12">
        <v>0.95619043022947203</v>
      </c>
      <c r="Q166" s="12">
        <v>1</v>
      </c>
      <c r="R166" s="12">
        <v>0.40927419354838701</v>
      </c>
      <c r="S166" s="14">
        <v>33</v>
      </c>
      <c r="T166" s="12">
        <v>98.357141133605197</v>
      </c>
      <c r="U166" s="14">
        <v>2</v>
      </c>
      <c r="V166" s="14">
        <v>60</v>
      </c>
      <c r="W166" s="12">
        <v>8.9999999999999993E-3</v>
      </c>
      <c r="X166" s="12">
        <v>98.366141133605197</v>
      </c>
      <c r="Y166" s="14">
        <v>2</v>
      </c>
      <c r="Z166" s="14">
        <v>33</v>
      </c>
      <c r="AA166" s="12" t="s">
        <v>2367</v>
      </c>
    </row>
    <row r="167" spans="1:27" ht="14.25" x14ac:dyDescent="0.45">
      <c r="A167" s="12" t="s">
        <v>325</v>
      </c>
      <c r="B167" s="12" t="s">
        <v>1971</v>
      </c>
      <c r="C167" s="12" t="s">
        <v>1972</v>
      </c>
      <c r="D167" s="12" t="s">
        <v>1975</v>
      </c>
      <c r="E167" s="20">
        <v>35325</v>
      </c>
      <c r="F167" s="20">
        <v>43854</v>
      </c>
      <c r="G167" s="12">
        <v>0.03</v>
      </c>
      <c r="H167" s="12">
        <v>23.566666666666698</v>
      </c>
      <c r="I167" s="13">
        <v>1.2729844413012701E-3</v>
      </c>
      <c r="J167" s="12" t="s">
        <v>325</v>
      </c>
      <c r="K167" s="14">
        <v>1824</v>
      </c>
      <c r="L167" s="14">
        <v>396</v>
      </c>
      <c r="M167" s="14">
        <v>1895</v>
      </c>
      <c r="N167" s="12">
        <v>0.03</v>
      </c>
      <c r="O167" s="12" t="s">
        <v>325</v>
      </c>
      <c r="P167" s="12">
        <v>4.8259054605120303E-6</v>
      </c>
      <c r="Q167" s="12">
        <v>5.7965693004595202E-6</v>
      </c>
      <c r="R167" s="12">
        <v>0.35635080645161299</v>
      </c>
      <c r="S167" s="14">
        <v>26</v>
      </c>
      <c r="T167" s="12">
        <v>5.4325703604792095E-4</v>
      </c>
      <c r="U167" s="14">
        <v>1933</v>
      </c>
      <c r="V167" s="14">
        <v>1</v>
      </c>
      <c r="W167" s="12">
        <v>5.4999999999999997E-3</v>
      </c>
      <c r="X167" s="12">
        <v>6.0432570360479197E-3</v>
      </c>
      <c r="Y167" s="14">
        <v>1933</v>
      </c>
      <c r="Z167" s="14">
        <v>25</v>
      </c>
      <c r="AA167" s="12" t="s">
        <v>2367</v>
      </c>
    </row>
    <row r="168" spans="1:27" ht="14.25" x14ac:dyDescent="0.45">
      <c r="A168" s="12" t="s">
        <v>327</v>
      </c>
      <c r="B168" s="12" t="s">
        <v>1971</v>
      </c>
      <c r="C168" s="12" t="s">
        <v>1972</v>
      </c>
      <c r="D168" s="12" t="s">
        <v>2072</v>
      </c>
      <c r="E168" s="20">
        <v>34501</v>
      </c>
      <c r="F168" s="20">
        <v>44162</v>
      </c>
      <c r="G168" s="12">
        <v>6.18</v>
      </c>
      <c r="H168" s="12">
        <v>13.3</v>
      </c>
      <c r="I168" s="13">
        <v>0.464661654135338</v>
      </c>
      <c r="J168" s="12" t="s">
        <v>327</v>
      </c>
      <c r="K168" s="14">
        <v>1089</v>
      </c>
      <c r="L168" s="14">
        <v>652</v>
      </c>
      <c r="M168" s="14">
        <v>953</v>
      </c>
      <c r="N168" s="12">
        <v>6.18</v>
      </c>
      <c r="O168" s="12" t="s">
        <v>327</v>
      </c>
      <c r="P168" s="12">
        <v>9.9413652486547797E-4</v>
      </c>
      <c r="Q168" s="12">
        <v>2.1158494888659802E-3</v>
      </c>
      <c r="R168" s="12">
        <v>0.20110887096774199</v>
      </c>
      <c r="S168" s="14">
        <v>28</v>
      </c>
      <c r="T168" s="12">
        <v>0.16952071273657901</v>
      </c>
      <c r="U168" s="14">
        <v>1107</v>
      </c>
      <c r="V168" s="14">
        <v>2</v>
      </c>
      <c r="W168" s="12">
        <v>5.5999999999999999E-3</v>
      </c>
      <c r="X168" s="12">
        <v>0.175120712736579</v>
      </c>
      <c r="Y168" s="14">
        <v>1107</v>
      </c>
      <c r="Z168" s="14">
        <v>28</v>
      </c>
      <c r="AA168" s="12" t="s">
        <v>2367</v>
      </c>
    </row>
    <row r="169" spans="1:27" ht="14.25" x14ac:dyDescent="0.45">
      <c r="A169" s="12" t="s">
        <v>334</v>
      </c>
      <c r="B169" s="12" t="s">
        <v>1971</v>
      </c>
      <c r="C169" s="12" t="s">
        <v>1972</v>
      </c>
      <c r="D169" s="12" t="s">
        <v>1982</v>
      </c>
      <c r="E169" s="20">
        <v>35411</v>
      </c>
      <c r="F169" s="20">
        <v>43307</v>
      </c>
      <c r="G169" s="12">
        <v>655.1</v>
      </c>
      <c r="H169" s="12">
        <v>41.8</v>
      </c>
      <c r="I169" s="13">
        <v>15.672248803827801</v>
      </c>
      <c r="J169" s="12" t="s">
        <v>334</v>
      </c>
      <c r="K169" s="14">
        <v>180</v>
      </c>
      <c r="L169" s="14">
        <v>132</v>
      </c>
      <c r="M169" s="14">
        <v>101</v>
      </c>
      <c r="N169" s="12">
        <v>655.1</v>
      </c>
      <c r="O169" s="12" t="s">
        <v>334</v>
      </c>
      <c r="P169" s="12">
        <v>0.105381688906048</v>
      </c>
      <c r="Q169" s="12">
        <v>7.1364011482E-2</v>
      </c>
      <c r="R169" s="12">
        <v>0.63205645161290303</v>
      </c>
      <c r="S169" s="14">
        <v>26</v>
      </c>
      <c r="T169" s="12">
        <v>8.4120640516017904</v>
      </c>
      <c r="U169" s="14">
        <v>139</v>
      </c>
      <c r="V169" s="14">
        <v>10</v>
      </c>
      <c r="W169" s="12">
        <v>6.4000000000000003E-3</v>
      </c>
      <c r="X169" s="12">
        <v>8.4184640516017897</v>
      </c>
      <c r="Y169" s="14">
        <v>139</v>
      </c>
      <c r="Z169" s="14">
        <v>25</v>
      </c>
      <c r="AA169" s="12" t="s">
        <v>2367</v>
      </c>
    </row>
    <row r="170" spans="1:27" ht="14.25" x14ac:dyDescent="0.45">
      <c r="A170" s="12" t="s">
        <v>342</v>
      </c>
      <c r="B170" s="12" t="s">
        <v>1971</v>
      </c>
      <c r="C170" s="12" t="s">
        <v>1972</v>
      </c>
      <c r="D170" s="12" t="s">
        <v>1987</v>
      </c>
      <c r="E170" s="20">
        <v>32906</v>
      </c>
      <c r="F170" s="20">
        <v>44209</v>
      </c>
      <c r="G170" s="12">
        <v>0.63</v>
      </c>
      <c r="H170" s="12">
        <v>11.733333333333301</v>
      </c>
      <c r="I170" s="13">
        <v>5.36931818181818E-2</v>
      </c>
      <c r="J170" s="12" t="s">
        <v>342</v>
      </c>
      <c r="K170" s="14">
        <v>1596</v>
      </c>
      <c r="L170" s="14">
        <v>812</v>
      </c>
      <c r="M170" s="14">
        <v>1646</v>
      </c>
      <c r="N170" s="12">
        <v>0.63</v>
      </c>
      <c r="O170" s="12" t="s">
        <v>342</v>
      </c>
      <c r="P170" s="12">
        <v>1.01344014670753E-4</v>
      </c>
      <c r="Q170" s="12">
        <v>2.44493364783871E-4</v>
      </c>
      <c r="R170" s="12">
        <v>0.17741935483870999</v>
      </c>
      <c r="S170" s="14">
        <v>32</v>
      </c>
      <c r="T170" s="12">
        <v>1.90812358491451E-2</v>
      </c>
      <c r="U170" s="14">
        <v>1692</v>
      </c>
      <c r="V170" s="14">
        <v>2</v>
      </c>
      <c r="W170" s="12">
        <v>5.5999999999999999E-3</v>
      </c>
      <c r="X170" s="12">
        <v>2.4681235849145101E-2</v>
      </c>
      <c r="Y170" s="14">
        <v>1691</v>
      </c>
      <c r="Z170" s="14">
        <v>32</v>
      </c>
      <c r="AA170" s="12" t="s">
        <v>2367</v>
      </c>
    </row>
    <row r="171" spans="1:27" ht="14.25" x14ac:dyDescent="0.45">
      <c r="A171" s="12" t="s">
        <v>346</v>
      </c>
      <c r="B171" s="12" t="s">
        <v>1971</v>
      </c>
      <c r="C171" s="12" t="s">
        <v>1972</v>
      </c>
      <c r="D171" s="12" t="s">
        <v>1997</v>
      </c>
      <c r="E171" s="20">
        <v>33936</v>
      </c>
      <c r="F171" s="20">
        <v>44110</v>
      </c>
      <c r="G171" s="12">
        <v>2.2799999999999998</v>
      </c>
      <c r="H171" s="12">
        <v>15.033333333333299</v>
      </c>
      <c r="I171" s="13">
        <v>0.151662971175166</v>
      </c>
      <c r="J171" s="12" t="s">
        <v>346</v>
      </c>
      <c r="K171" s="14">
        <v>1410</v>
      </c>
      <c r="L171" s="14">
        <v>515</v>
      </c>
      <c r="M171" s="14">
        <v>1308</v>
      </c>
      <c r="N171" s="12">
        <v>2.2799999999999998</v>
      </c>
      <c r="O171" s="12" t="s">
        <v>346</v>
      </c>
      <c r="P171" s="12">
        <v>3.6676881499891401E-4</v>
      </c>
      <c r="Q171" s="12">
        <v>6.9060146707825096E-4</v>
      </c>
      <c r="R171" s="12">
        <v>0.227318548387097</v>
      </c>
      <c r="S171" s="14">
        <v>30</v>
      </c>
      <c r="T171" s="12">
        <v>5.6916422254850003E-2</v>
      </c>
      <c r="U171" s="14">
        <v>1493</v>
      </c>
      <c r="V171" s="14">
        <v>2</v>
      </c>
      <c r="W171" s="12">
        <v>5.5999999999999999E-3</v>
      </c>
      <c r="X171" s="12">
        <v>6.2516422254850004E-2</v>
      </c>
      <c r="Y171" s="14">
        <v>1493</v>
      </c>
      <c r="Z171" s="14">
        <v>29</v>
      </c>
      <c r="AA171" s="12" t="s">
        <v>2367</v>
      </c>
    </row>
    <row r="172" spans="1:27" ht="14.25" x14ac:dyDescent="0.45">
      <c r="A172" s="12" t="s">
        <v>350</v>
      </c>
      <c r="B172" s="12" t="s">
        <v>1971</v>
      </c>
      <c r="C172" s="12" t="s">
        <v>1972</v>
      </c>
      <c r="D172" s="12" t="s">
        <v>1993</v>
      </c>
      <c r="E172" s="20">
        <v>35454</v>
      </c>
      <c r="F172" s="20">
        <v>43690</v>
      </c>
      <c r="G172" s="12">
        <v>268.35000000000002</v>
      </c>
      <c r="H172" s="12">
        <v>29.033333333333299</v>
      </c>
      <c r="I172" s="13">
        <v>9.2428243398392596</v>
      </c>
      <c r="J172" s="12" t="s">
        <v>350</v>
      </c>
      <c r="K172" s="14">
        <v>314</v>
      </c>
      <c r="L172" s="14">
        <v>261</v>
      </c>
      <c r="M172" s="14">
        <v>248</v>
      </c>
      <c r="N172" s="12">
        <v>268.35000000000002</v>
      </c>
      <c r="O172" s="12" t="s">
        <v>350</v>
      </c>
      <c r="P172" s="12">
        <v>4.3167724344280102E-2</v>
      </c>
      <c r="Q172" s="12">
        <v>4.2087452194690698E-2</v>
      </c>
      <c r="R172" s="12">
        <v>0.43901209677419401</v>
      </c>
      <c r="S172" s="14">
        <v>25</v>
      </c>
      <c r="T172" s="12">
        <v>4.2492554250786698</v>
      </c>
      <c r="U172" s="14">
        <v>294</v>
      </c>
      <c r="V172" s="14">
        <v>3</v>
      </c>
      <c r="W172" s="12">
        <v>5.7000000000000002E-3</v>
      </c>
      <c r="X172" s="12">
        <v>4.2549554250786699</v>
      </c>
      <c r="Y172" s="14">
        <v>294</v>
      </c>
      <c r="Z172" s="14">
        <v>25</v>
      </c>
      <c r="AA172" s="12" t="s">
        <v>2367</v>
      </c>
    </row>
    <row r="173" spans="1:27" ht="14.25" x14ac:dyDescent="0.45">
      <c r="A173" s="12" t="s">
        <v>354</v>
      </c>
      <c r="B173" s="12" t="s">
        <v>1971</v>
      </c>
      <c r="C173" s="12" t="s">
        <v>1972</v>
      </c>
      <c r="D173" s="12" t="s">
        <v>1975</v>
      </c>
      <c r="E173" s="20">
        <v>34488</v>
      </c>
      <c r="F173" s="20">
        <v>44110</v>
      </c>
      <c r="G173" s="12">
        <v>31.81</v>
      </c>
      <c r="H173" s="12">
        <v>15.033333333333299</v>
      </c>
      <c r="I173" s="13">
        <v>2.1159645232815998</v>
      </c>
      <c r="J173" s="12" t="s">
        <v>354</v>
      </c>
      <c r="K173" s="14">
        <v>644</v>
      </c>
      <c r="L173" s="14">
        <v>515</v>
      </c>
      <c r="M173" s="14">
        <v>559</v>
      </c>
      <c r="N173" s="12">
        <v>31.81</v>
      </c>
      <c r="O173" s="12" t="s">
        <v>354</v>
      </c>
      <c r="P173" s="12">
        <v>5.1170684232962503E-3</v>
      </c>
      <c r="Q173" s="12">
        <v>9.6351020472627905E-3</v>
      </c>
      <c r="R173" s="12">
        <v>0.227318548387097</v>
      </c>
      <c r="S173" s="14">
        <v>28</v>
      </c>
      <c r="T173" s="12">
        <v>0.794083943827534</v>
      </c>
      <c r="U173" s="14">
        <v>676</v>
      </c>
      <c r="V173" s="14">
        <v>4</v>
      </c>
      <c r="W173" s="12">
        <v>5.7999999999999996E-3</v>
      </c>
      <c r="X173" s="12">
        <v>0.79988394382753403</v>
      </c>
      <c r="Y173" s="14">
        <v>676</v>
      </c>
      <c r="Z173" s="14">
        <v>28</v>
      </c>
      <c r="AA173" s="12" t="s">
        <v>2367</v>
      </c>
    </row>
    <row r="174" spans="1:27" ht="14.25" x14ac:dyDescent="0.45">
      <c r="A174" s="12" t="s">
        <v>356</v>
      </c>
      <c r="B174" s="12" t="s">
        <v>1971</v>
      </c>
      <c r="C174" s="12" t="s">
        <v>1972</v>
      </c>
      <c r="D174" s="12" t="s">
        <v>2014</v>
      </c>
      <c r="E174" s="20">
        <v>34958</v>
      </c>
      <c r="F174" s="20">
        <v>44204</v>
      </c>
      <c r="G174" s="12">
        <v>23.4</v>
      </c>
      <c r="H174" s="12">
        <v>11.9</v>
      </c>
      <c r="I174" s="13">
        <v>1.96638655462185</v>
      </c>
      <c r="J174" s="12" t="s">
        <v>356</v>
      </c>
      <c r="K174" s="14">
        <v>662</v>
      </c>
      <c r="L174" s="14">
        <v>793</v>
      </c>
      <c r="M174" s="14">
        <v>693</v>
      </c>
      <c r="N174" s="12">
        <v>23.4</v>
      </c>
      <c r="O174" s="12" t="s">
        <v>356</v>
      </c>
      <c r="P174" s="12">
        <v>3.7642062591993798E-3</v>
      </c>
      <c r="Q174" s="12">
        <v>8.9539946958862998E-3</v>
      </c>
      <c r="R174" s="12">
        <v>0.179939516129032</v>
      </c>
      <c r="S174" s="14">
        <v>27</v>
      </c>
      <c r="T174" s="12">
        <v>0.70078240321287</v>
      </c>
      <c r="U174" s="14">
        <v>711</v>
      </c>
      <c r="V174" s="14">
        <v>8</v>
      </c>
      <c r="W174" s="12">
        <v>6.1999999999999998E-3</v>
      </c>
      <c r="X174" s="12">
        <v>0.70698240321286998</v>
      </c>
      <c r="Y174" s="14">
        <v>711</v>
      </c>
      <c r="Z174" s="14">
        <v>26</v>
      </c>
      <c r="AA174" s="12" t="s">
        <v>2367</v>
      </c>
    </row>
    <row r="175" spans="1:27" ht="14.25" x14ac:dyDescent="0.45">
      <c r="A175" s="12" t="s">
        <v>375</v>
      </c>
      <c r="B175" s="12" t="s">
        <v>1971</v>
      </c>
      <c r="C175" s="12" t="s">
        <v>1972</v>
      </c>
      <c r="D175" s="12" t="s">
        <v>2020</v>
      </c>
      <c r="E175" s="20">
        <v>34061</v>
      </c>
      <c r="F175" s="20">
        <v>43740</v>
      </c>
      <c r="G175" s="12">
        <v>87.46</v>
      </c>
      <c r="H175" s="12">
        <v>27.366666666666699</v>
      </c>
      <c r="I175" s="13">
        <v>3.1958587088916</v>
      </c>
      <c r="J175" s="12" t="s">
        <v>375</v>
      </c>
      <c r="K175" s="14">
        <v>542</v>
      </c>
      <c r="L175" s="14">
        <v>302</v>
      </c>
      <c r="M175" s="14">
        <v>398</v>
      </c>
      <c r="N175" s="12">
        <v>87.46</v>
      </c>
      <c r="O175" s="12" t="s">
        <v>375</v>
      </c>
      <c r="P175" s="12">
        <v>1.4069123052546101E-2</v>
      </c>
      <c r="Q175" s="12">
        <v>1.45524296130678E-2</v>
      </c>
      <c r="R175" s="12">
        <v>0.41381048387096803</v>
      </c>
      <c r="S175" s="14">
        <v>29</v>
      </c>
      <c r="T175" s="12">
        <v>1.4371189652872201</v>
      </c>
      <c r="U175" s="14">
        <v>502</v>
      </c>
      <c r="V175" s="14">
        <v>7</v>
      </c>
      <c r="W175" s="12">
        <v>6.1000000000000004E-3</v>
      </c>
      <c r="X175" s="12">
        <v>1.44321896528722</v>
      </c>
      <c r="Y175" s="14">
        <v>502</v>
      </c>
      <c r="Z175" s="14">
        <v>29</v>
      </c>
      <c r="AA175" s="12" t="s">
        <v>2367</v>
      </c>
    </row>
    <row r="176" spans="1:27" ht="14.25" x14ac:dyDescent="0.45">
      <c r="A176" s="12" t="s">
        <v>377</v>
      </c>
      <c r="B176" s="12" t="s">
        <v>1971</v>
      </c>
      <c r="C176" s="12" t="s">
        <v>1972</v>
      </c>
      <c r="D176" s="12" t="s">
        <v>1997</v>
      </c>
      <c r="E176" s="20">
        <v>32402</v>
      </c>
      <c r="F176" s="20">
        <v>43340</v>
      </c>
      <c r="G176" s="12">
        <v>1669.16</v>
      </c>
      <c r="H176" s="12">
        <v>40.700000000000003</v>
      </c>
      <c r="I176" s="13">
        <v>41.011302211302201</v>
      </c>
      <c r="J176" s="12" t="s">
        <v>377</v>
      </c>
      <c r="K176" s="14">
        <v>59</v>
      </c>
      <c r="L176" s="14">
        <v>178</v>
      </c>
      <c r="M176" s="14">
        <v>27</v>
      </c>
      <c r="N176" s="12">
        <v>1669.16</v>
      </c>
      <c r="O176" s="12" t="s">
        <v>377</v>
      </c>
      <c r="P176" s="12">
        <v>0.26850694528227498</v>
      </c>
      <c r="Q176" s="12">
        <v>0.186746080829468</v>
      </c>
      <c r="R176" s="12">
        <v>0.61542338709677402</v>
      </c>
      <c r="S176" s="14">
        <v>34</v>
      </c>
      <c r="T176" s="12">
        <v>21.740640499927</v>
      </c>
      <c r="U176" s="14">
        <v>48</v>
      </c>
      <c r="V176" s="14">
        <v>10</v>
      </c>
      <c r="W176" s="12">
        <v>6.4000000000000003E-3</v>
      </c>
      <c r="X176" s="12">
        <v>21.747040499927</v>
      </c>
      <c r="Y176" s="14">
        <v>48</v>
      </c>
      <c r="Z176" s="14">
        <v>33</v>
      </c>
      <c r="AA176" s="12" t="s">
        <v>2367</v>
      </c>
    </row>
    <row r="177" spans="1:27" ht="14.25" x14ac:dyDescent="0.45">
      <c r="A177" s="12" t="s">
        <v>386</v>
      </c>
      <c r="B177" s="12" t="s">
        <v>1971</v>
      </c>
      <c r="C177" s="12" t="s">
        <v>1972</v>
      </c>
      <c r="D177" s="12" t="s">
        <v>2070</v>
      </c>
      <c r="E177" s="20">
        <v>34098</v>
      </c>
      <c r="F177" s="20">
        <v>43969</v>
      </c>
      <c r="G177" s="12">
        <v>58.01</v>
      </c>
      <c r="H177" s="12">
        <v>19.733333333333299</v>
      </c>
      <c r="I177" s="13">
        <v>2.93969594594595</v>
      </c>
      <c r="J177" s="12" t="s">
        <v>386</v>
      </c>
      <c r="K177" s="14">
        <v>559</v>
      </c>
      <c r="L177" s="14">
        <v>456</v>
      </c>
      <c r="M177" s="14">
        <v>461</v>
      </c>
      <c r="N177" s="12">
        <v>58.01</v>
      </c>
      <c r="O177" s="12" t="s">
        <v>386</v>
      </c>
      <c r="P177" s="12">
        <v>9.3316925254767601E-3</v>
      </c>
      <c r="Q177" s="12">
        <v>1.33859854999773E-2</v>
      </c>
      <c r="R177" s="12">
        <v>0.29838709677419401</v>
      </c>
      <c r="S177" s="14">
        <v>29</v>
      </c>
      <c r="T177" s="12">
        <v>1.1865625634539601</v>
      </c>
      <c r="U177" s="14">
        <v>537</v>
      </c>
      <c r="V177" s="14">
        <v>2</v>
      </c>
      <c r="W177" s="12">
        <v>5.5999999999999999E-3</v>
      </c>
      <c r="X177" s="12">
        <v>1.1921625634539601</v>
      </c>
      <c r="Y177" s="14">
        <v>537</v>
      </c>
      <c r="Z177" s="14">
        <v>29</v>
      </c>
      <c r="AA177" s="12" t="s">
        <v>2367</v>
      </c>
    </row>
    <row r="178" spans="1:27" ht="14.25" x14ac:dyDescent="0.45">
      <c r="A178" s="12" t="s">
        <v>388</v>
      </c>
      <c r="B178" s="12" t="s">
        <v>1971</v>
      </c>
      <c r="C178" s="12" t="s">
        <v>1972</v>
      </c>
      <c r="D178" s="12" t="s">
        <v>1975</v>
      </c>
      <c r="E178" s="20">
        <v>32975</v>
      </c>
      <c r="F178" s="20">
        <v>43178</v>
      </c>
      <c r="G178" s="12">
        <v>2183.14</v>
      </c>
      <c r="H178" s="12">
        <v>46.1</v>
      </c>
      <c r="I178" s="13">
        <v>47.356616052060701</v>
      </c>
      <c r="J178" s="12" t="s">
        <v>388</v>
      </c>
      <c r="K178" s="14">
        <v>48</v>
      </c>
      <c r="L178" s="14">
        <v>80</v>
      </c>
      <c r="M178" s="14">
        <v>18</v>
      </c>
      <c r="N178" s="12">
        <v>2183.14</v>
      </c>
      <c r="O178" s="12" t="s">
        <v>388</v>
      </c>
      <c r="P178" s="12">
        <v>0.35118757490207397</v>
      </c>
      <c r="Q178" s="12">
        <v>0.21563964010464901</v>
      </c>
      <c r="R178" s="12">
        <v>0.69707661290322598</v>
      </c>
      <c r="S178" s="14">
        <v>32</v>
      </c>
      <c r="T178" s="12">
        <v>26.647011565368299</v>
      </c>
      <c r="U178" s="14">
        <v>38</v>
      </c>
      <c r="V178" s="14">
        <v>20</v>
      </c>
      <c r="W178" s="12">
        <v>7.1000000000000004E-3</v>
      </c>
      <c r="X178" s="12">
        <v>26.6541115653683</v>
      </c>
      <c r="Y178" s="14">
        <v>38</v>
      </c>
      <c r="Z178" s="14">
        <v>32</v>
      </c>
      <c r="AA178" s="12" t="s">
        <v>2367</v>
      </c>
    </row>
    <row r="179" spans="1:27" ht="14.25" x14ac:dyDescent="0.45">
      <c r="A179" s="12" t="s">
        <v>399</v>
      </c>
      <c r="B179" s="12" t="s">
        <v>1971</v>
      </c>
      <c r="C179" s="12" t="s">
        <v>1972</v>
      </c>
      <c r="D179" s="12" t="s">
        <v>1993</v>
      </c>
      <c r="E179" s="20">
        <v>32400</v>
      </c>
      <c r="F179" s="20">
        <v>44216</v>
      </c>
      <c r="G179" s="12">
        <v>4.58</v>
      </c>
      <c r="H179" s="12">
        <v>11.5</v>
      </c>
      <c r="I179" s="13">
        <v>0.398260869565217</v>
      </c>
      <c r="J179" s="12" t="s">
        <v>399</v>
      </c>
      <c r="K179" s="14">
        <v>1140</v>
      </c>
      <c r="L179" s="14">
        <v>841</v>
      </c>
      <c r="M179" s="14">
        <v>1062</v>
      </c>
      <c r="N179" s="12">
        <v>4.58</v>
      </c>
      <c r="O179" s="12" t="s">
        <v>399</v>
      </c>
      <c r="P179" s="12">
        <v>7.3675490030483605E-4</v>
      </c>
      <c r="Q179" s="12">
        <v>1.81349170908657E-3</v>
      </c>
      <c r="R179" s="12">
        <v>0.17389112903225801</v>
      </c>
      <c r="S179" s="14">
        <v>34</v>
      </c>
      <c r="T179" s="12">
        <v>0.140971540579342</v>
      </c>
      <c r="U179" s="14">
        <v>1183</v>
      </c>
      <c r="V179" s="14">
        <v>2</v>
      </c>
      <c r="W179" s="12">
        <v>5.5999999999999999E-3</v>
      </c>
      <c r="X179" s="12">
        <v>0.14657154057934199</v>
      </c>
      <c r="Y179" s="14">
        <v>1183</v>
      </c>
      <c r="Z179" s="14">
        <v>33</v>
      </c>
      <c r="AA179" s="12" t="s">
        <v>2367</v>
      </c>
    </row>
    <row r="180" spans="1:27" ht="14.25" x14ac:dyDescent="0.45">
      <c r="A180" s="12" t="s">
        <v>411</v>
      </c>
      <c r="B180" s="12" t="s">
        <v>1971</v>
      </c>
      <c r="C180" s="12" t="s">
        <v>1972</v>
      </c>
      <c r="D180" s="12" t="s">
        <v>1990</v>
      </c>
      <c r="E180" s="20">
        <v>33933</v>
      </c>
      <c r="F180" s="20">
        <v>43297</v>
      </c>
      <c r="G180" s="12">
        <v>434.19</v>
      </c>
      <c r="H180" s="12">
        <v>42.133333333333297</v>
      </c>
      <c r="I180" s="13">
        <v>10.3051424050633</v>
      </c>
      <c r="J180" s="12" t="s">
        <v>411</v>
      </c>
      <c r="K180" s="14">
        <v>286</v>
      </c>
      <c r="L180" s="14">
        <v>122</v>
      </c>
      <c r="M180" s="14">
        <v>167</v>
      </c>
      <c r="N180" s="12">
        <v>434.19</v>
      </c>
      <c r="O180" s="12" t="s">
        <v>411</v>
      </c>
      <c r="P180" s="12">
        <v>6.9845329729990593E-2</v>
      </c>
      <c r="Q180" s="12">
        <v>4.69247464179465E-2</v>
      </c>
      <c r="R180" s="12">
        <v>0.63709677419354804</v>
      </c>
      <c r="S180" s="14">
        <v>30</v>
      </c>
      <c r="T180" s="12">
        <v>5.5519965159962998</v>
      </c>
      <c r="U180" s="14">
        <v>241</v>
      </c>
      <c r="V180" s="14">
        <v>6</v>
      </c>
      <c r="W180" s="12">
        <v>6.0000000000000001E-3</v>
      </c>
      <c r="X180" s="12">
        <v>5.5579965159963001</v>
      </c>
      <c r="Y180" s="14">
        <v>241</v>
      </c>
      <c r="Z180" s="14">
        <v>29</v>
      </c>
      <c r="AA180" s="12" t="s">
        <v>2367</v>
      </c>
    </row>
    <row r="181" spans="1:27" ht="14.25" x14ac:dyDescent="0.45">
      <c r="A181" s="12" t="s">
        <v>417</v>
      </c>
      <c r="B181" s="12" t="s">
        <v>1971</v>
      </c>
      <c r="C181" s="12" t="s">
        <v>1972</v>
      </c>
      <c r="D181" s="12" t="s">
        <v>1990</v>
      </c>
      <c r="E181" s="20">
        <v>34345</v>
      </c>
      <c r="F181" s="20">
        <v>43770</v>
      </c>
      <c r="G181" s="12">
        <v>130.44999999999999</v>
      </c>
      <c r="H181" s="12">
        <v>26.366666666666699</v>
      </c>
      <c r="I181" s="13">
        <v>4.9475347661188396</v>
      </c>
      <c r="J181" s="12" t="s">
        <v>417</v>
      </c>
      <c r="K181" s="14">
        <v>448</v>
      </c>
      <c r="L181" s="14">
        <v>355</v>
      </c>
      <c r="M181" s="14">
        <v>341</v>
      </c>
      <c r="N181" s="12">
        <v>130.44999999999999</v>
      </c>
      <c r="O181" s="12" t="s">
        <v>417</v>
      </c>
      <c r="P181" s="12">
        <v>2.0984645577459798E-2</v>
      </c>
      <c r="Q181" s="12">
        <v>2.25287342152624E-2</v>
      </c>
      <c r="R181" s="12">
        <v>0.39868951612903197</v>
      </c>
      <c r="S181" s="14">
        <v>28</v>
      </c>
      <c r="T181" s="12">
        <v>2.1949700976086399</v>
      </c>
      <c r="U181" s="14">
        <v>425</v>
      </c>
      <c r="V181" s="14">
        <v>3</v>
      </c>
      <c r="W181" s="12">
        <v>5.7000000000000002E-3</v>
      </c>
      <c r="X181" s="12">
        <v>2.20067009760864</v>
      </c>
      <c r="Y181" s="14">
        <v>425</v>
      </c>
      <c r="Z181" s="14">
        <v>28</v>
      </c>
      <c r="AA181" s="12" t="s">
        <v>2367</v>
      </c>
    </row>
    <row r="182" spans="1:27" ht="14.25" x14ac:dyDescent="0.45">
      <c r="A182" s="12" t="s">
        <v>427</v>
      </c>
      <c r="B182" s="12" t="s">
        <v>1971</v>
      </c>
      <c r="C182" s="12" t="s">
        <v>1972</v>
      </c>
      <c r="D182" s="12" t="s">
        <v>1995</v>
      </c>
      <c r="E182" s="20">
        <v>34014</v>
      </c>
      <c r="F182" s="20">
        <v>44132</v>
      </c>
      <c r="G182" s="12">
        <v>107.53</v>
      </c>
      <c r="H182" s="12">
        <v>14.3</v>
      </c>
      <c r="I182" s="13">
        <v>7.5195804195804197</v>
      </c>
      <c r="J182" s="12" t="s">
        <v>427</v>
      </c>
      <c r="K182" s="14">
        <v>363</v>
      </c>
      <c r="L182" s="14">
        <v>588</v>
      </c>
      <c r="M182" s="14">
        <v>372</v>
      </c>
      <c r="N182" s="12">
        <v>107.53</v>
      </c>
      <c r="O182" s="12" t="s">
        <v>427</v>
      </c>
      <c r="P182" s="12">
        <v>1.7297653805628602E-2</v>
      </c>
      <c r="Q182" s="12">
        <v>3.4240614102023101E-2</v>
      </c>
      <c r="R182" s="12">
        <v>0.21622983870967699</v>
      </c>
      <c r="S182" s="14">
        <v>29</v>
      </c>
      <c r="T182" s="12">
        <v>2.7887003990875199</v>
      </c>
      <c r="U182" s="14">
        <v>385</v>
      </c>
      <c r="V182" s="14">
        <v>2</v>
      </c>
      <c r="W182" s="12">
        <v>5.5999999999999999E-3</v>
      </c>
      <c r="X182" s="12">
        <v>2.7943003990875201</v>
      </c>
      <c r="Y182" s="14">
        <v>385</v>
      </c>
      <c r="Z182" s="14">
        <v>29</v>
      </c>
      <c r="AA182" s="12" t="s">
        <v>2367</v>
      </c>
    </row>
    <row r="183" spans="1:27" ht="14.25" x14ac:dyDescent="0.45">
      <c r="A183" s="12" t="s">
        <v>429</v>
      </c>
      <c r="B183" s="12" t="s">
        <v>1971</v>
      </c>
      <c r="C183" s="12" t="s">
        <v>1972</v>
      </c>
      <c r="D183" s="12" t="s">
        <v>1973</v>
      </c>
      <c r="E183" s="20">
        <v>33375</v>
      </c>
      <c r="F183" s="20">
        <v>44216</v>
      </c>
      <c r="G183" s="12">
        <v>36.4</v>
      </c>
      <c r="H183" s="12">
        <v>11.5</v>
      </c>
      <c r="I183" s="13">
        <v>3.16521739130435</v>
      </c>
      <c r="J183" s="12" t="s">
        <v>429</v>
      </c>
      <c r="K183" s="14">
        <v>546</v>
      </c>
      <c r="L183" s="14">
        <v>841</v>
      </c>
      <c r="M183" s="14">
        <v>538</v>
      </c>
      <c r="N183" s="12">
        <v>36.4</v>
      </c>
      <c r="O183" s="12" t="s">
        <v>429</v>
      </c>
      <c r="P183" s="12">
        <v>5.85543195875459E-3</v>
      </c>
      <c r="Q183" s="12">
        <v>1.44129035394653E-2</v>
      </c>
      <c r="R183" s="12">
        <v>0.17389112903225801</v>
      </c>
      <c r="S183" s="14">
        <v>31</v>
      </c>
      <c r="T183" s="12">
        <v>1.1203851696698801</v>
      </c>
      <c r="U183" s="14">
        <v>547</v>
      </c>
      <c r="V183" s="14">
        <v>3</v>
      </c>
      <c r="W183" s="12">
        <v>5.7000000000000002E-3</v>
      </c>
      <c r="X183" s="12">
        <v>1.1260851696698799</v>
      </c>
      <c r="Y183" s="14">
        <v>547</v>
      </c>
      <c r="Z183" s="14">
        <v>31</v>
      </c>
      <c r="AA183" s="12" t="s">
        <v>2367</v>
      </c>
    </row>
    <row r="184" spans="1:27" ht="14.25" x14ac:dyDescent="0.45">
      <c r="A184" s="12" t="s">
        <v>441</v>
      </c>
      <c r="B184" s="12" t="s">
        <v>1971</v>
      </c>
      <c r="C184" s="12" t="s">
        <v>1972</v>
      </c>
      <c r="D184" s="12" t="s">
        <v>1993</v>
      </c>
      <c r="E184" s="20">
        <v>32609</v>
      </c>
      <c r="F184" s="20">
        <v>43602</v>
      </c>
      <c r="G184" s="12">
        <v>3.27</v>
      </c>
      <c r="H184" s="12">
        <v>31.966666666666701</v>
      </c>
      <c r="I184" s="13">
        <v>0.102294056308655</v>
      </c>
      <c r="J184" s="12" t="s">
        <v>441</v>
      </c>
      <c r="K184" s="14">
        <v>1488</v>
      </c>
      <c r="L184" s="14">
        <v>245</v>
      </c>
      <c r="M184" s="14">
        <v>1196</v>
      </c>
      <c r="N184" s="12">
        <v>3.27</v>
      </c>
      <c r="O184" s="12" t="s">
        <v>441</v>
      </c>
      <c r="P184" s="12">
        <v>5.2602369519581099E-4</v>
      </c>
      <c r="Q184" s="12">
        <v>4.6579876955298499E-4</v>
      </c>
      <c r="R184" s="12">
        <v>0.483366935483871</v>
      </c>
      <c r="S184" s="14">
        <v>33</v>
      </c>
      <c r="T184" s="12">
        <v>4.8838311666904402E-2</v>
      </c>
      <c r="U184" s="14">
        <v>1523</v>
      </c>
      <c r="V184" s="14">
        <v>2</v>
      </c>
      <c r="W184" s="12">
        <v>5.5999999999999999E-3</v>
      </c>
      <c r="X184" s="12">
        <v>5.4438311666904403E-2</v>
      </c>
      <c r="Y184" s="14">
        <v>1523</v>
      </c>
      <c r="Z184" s="14">
        <v>33</v>
      </c>
      <c r="AA184" s="12" t="s">
        <v>2367</v>
      </c>
    </row>
    <row r="185" spans="1:27" ht="14.25" x14ac:dyDescent="0.45">
      <c r="A185" s="12" t="s">
        <v>443</v>
      </c>
      <c r="B185" s="12" t="s">
        <v>1971</v>
      </c>
      <c r="C185" s="12" t="s">
        <v>1972</v>
      </c>
      <c r="D185" s="12" t="s">
        <v>1973</v>
      </c>
      <c r="E185" s="20">
        <v>35490</v>
      </c>
      <c r="F185" s="20">
        <v>44148</v>
      </c>
      <c r="G185" s="12">
        <v>34.51</v>
      </c>
      <c r="H185" s="12">
        <v>13.766666666666699</v>
      </c>
      <c r="I185" s="13">
        <v>2.5067796610169499</v>
      </c>
      <c r="J185" s="12" t="s">
        <v>443</v>
      </c>
      <c r="K185" s="14">
        <v>591</v>
      </c>
      <c r="L185" s="14">
        <v>622</v>
      </c>
      <c r="M185" s="14">
        <v>546</v>
      </c>
      <c r="N185" s="12">
        <v>34.51</v>
      </c>
      <c r="O185" s="12" t="s">
        <v>443</v>
      </c>
      <c r="P185" s="12">
        <v>5.5513999147423403E-3</v>
      </c>
      <c r="Q185" s="12">
        <v>1.14146894138105E-2</v>
      </c>
      <c r="R185" s="12">
        <v>0.20816532258064499</v>
      </c>
      <c r="S185" s="14">
        <v>25</v>
      </c>
      <c r="T185" s="12">
        <v>0.92159558516599704</v>
      </c>
      <c r="U185" s="14">
        <v>588</v>
      </c>
      <c r="V185" s="14">
        <v>3</v>
      </c>
      <c r="W185" s="12">
        <v>5.7000000000000002E-3</v>
      </c>
      <c r="X185" s="12">
        <v>0.92729558516599697</v>
      </c>
      <c r="Y185" s="14">
        <v>588</v>
      </c>
      <c r="Z185" s="14">
        <v>25</v>
      </c>
      <c r="AA185" s="12" t="s">
        <v>2367</v>
      </c>
    </row>
    <row r="186" spans="1:27" ht="14.25" x14ac:dyDescent="0.45">
      <c r="A186" s="12" t="s">
        <v>444</v>
      </c>
      <c r="B186" s="12" t="s">
        <v>1971</v>
      </c>
      <c r="C186" s="12" t="s">
        <v>1972</v>
      </c>
      <c r="D186" s="12" t="s">
        <v>1978</v>
      </c>
      <c r="E186" s="20">
        <v>32087</v>
      </c>
      <c r="F186" s="20">
        <v>43326</v>
      </c>
      <c r="G186" s="12">
        <v>618.76</v>
      </c>
      <c r="H186" s="12">
        <v>41.1666666666667</v>
      </c>
      <c r="I186" s="13">
        <v>15.030607287449399</v>
      </c>
      <c r="J186" s="12" t="s">
        <v>444</v>
      </c>
      <c r="K186" s="14">
        <v>187</v>
      </c>
      <c r="L186" s="14">
        <v>156</v>
      </c>
      <c r="M186" s="14">
        <v>110</v>
      </c>
      <c r="N186" s="12">
        <v>618.76</v>
      </c>
      <c r="O186" s="12" t="s">
        <v>444</v>
      </c>
      <c r="P186" s="12">
        <v>9.9535908758214095E-2</v>
      </c>
      <c r="Q186" s="12">
        <v>6.8442279373524997E-2</v>
      </c>
      <c r="R186" s="12">
        <v>0.62247983870967705</v>
      </c>
      <c r="S186" s="14">
        <v>35</v>
      </c>
      <c r="T186" s="12">
        <v>8.0102390392783391</v>
      </c>
      <c r="U186" s="14">
        <v>155</v>
      </c>
      <c r="V186" s="14">
        <v>8</v>
      </c>
      <c r="W186" s="12">
        <v>6.1999999999999998E-3</v>
      </c>
      <c r="X186" s="12">
        <v>8.0164390392783407</v>
      </c>
      <c r="Y186" s="14">
        <v>155</v>
      </c>
      <c r="Z186" s="14">
        <v>34</v>
      </c>
      <c r="AA186" s="12" t="s">
        <v>2367</v>
      </c>
    </row>
    <row r="187" spans="1:27" ht="14.25" x14ac:dyDescent="0.45">
      <c r="A187" s="12" t="s">
        <v>455</v>
      </c>
      <c r="B187" s="12" t="s">
        <v>1971</v>
      </c>
      <c r="C187" s="12" t="s">
        <v>1972</v>
      </c>
      <c r="D187" s="12" t="s">
        <v>1975</v>
      </c>
      <c r="E187" s="20">
        <v>34939</v>
      </c>
      <c r="F187" s="20">
        <v>44173</v>
      </c>
      <c r="G187" s="12">
        <v>55.95</v>
      </c>
      <c r="H187" s="12">
        <v>12.9333333333333</v>
      </c>
      <c r="I187" s="13">
        <v>4.3260309278350499</v>
      </c>
      <c r="J187" s="12" t="s">
        <v>455</v>
      </c>
      <c r="K187" s="14">
        <v>478</v>
      </c>
      <c r="L187" s="14">
        <v>680</v>
      </c>
      <c r="M187" s="14">
        <v>467</v>
      </c>
      <c r="N187" s="12">
        <v>55.95</v>
      </c>
      <c r="O187" s="12" t="s">
        <v>455</v>
      </c>
      <c r="P187" s="12">
        <v>9.0003136838549304E-3</v>
      </c>
      <c r="Q187" s="12">
        <v>1.96986995720809E-2</v>
      </c>
      <c r="R187" s="12">
        <v>0.195564516129032</v>
      </c>
      <c r="S187" s="14">
        <v>27</v>
      </c>
      <c r="T187" s="12">
        <v>1.56868048639962</v>
      </c>
      <c r="U187" s="14">
        <v>487</v>
      </c>
      <c r="V187" s="14">
        <v>3</v>
      </c>
      <c r="W187" s="12">
        <v>5.7000000000000002E-3</v>
      </c>
      <c r="X187" s="12">
        <v>1.57438048639962</v>
      </c>
      <c r="Y187" s="14">
        <v>487</v>
      </c>
      <c r="Z187" s="14">
        <v>26</v>
      </c>
      <c r="AA187" s="12" t="s">
        <v>2367</v>
      </c>
    </row>
    <row r="188" spans="1:27" ht="14.25" x14ac:dyDescent="0.45">
      <c r="A188" s="12" t="s">
        <v>457</v>
      </c>
      <c r="B188" s="12" t="s">
        <v>1971</v>
      </c>
      <c r="C188" s="12" t="s">
        <v>1972</v>
      </c>
      <c r="D188" s="12" t="s">
        <v>1993</v>
      </c>
      <c r="E188" s="20">
        <v>32129</v>
      </c>
      <c r="F188" s="20">
        <v>43845</v>
      </c>
      <c r="G188" s="12">
        <v>193.42</v>
      </c>
      <c r="H188" s="12">
        <v>23.866666666666699</v>
      </c>
      <c r="I188" s="13">
        <v>8.1041899441340792</v>
      </c>
      <c r="J188" s="12" t="s">
        <v>457</v>
      </c>
      <c r="K188" s="14">
        <v>347</v>
      </c>
      <c r="L188" s="14">
        <v>388</v>
      </c>
      <c r="M188" s="14">
        <v>292</v>
      </c>
      <c r="N188" s="12">
        <v>193.42</v>
      </c>
      <c r="O188" s="12" t="s">
        <v>457</v>
      </c>
      <c r="P188" s="12">
        <v>3.1114221139074499E-2</v>
      </c>
      <c r="Q188" s="12">
        <v>3.6902649483476803E-2</v>
      </c>
      <c r="R188" s="12">
        <v>0.36088709677419401</v>
      </c>
      <c r="S188" s="14">
        <v>35</v>
      </c>
      <c r="T188" s="12">
        <v>3.4731988854325899</v>
      </c>
      <c r="U188" s="14">
        <v>344</v>
      </c>
      <c r="V188" s="14">
        <v>4</v>
      </c>
      <c r="W188" s="12">
        <v>5.7999999999999996E-3</v>
      </c>
      <c r="X188" s="12">
        <v>3.4789988854325902</v>
      </c>
      <c r="Y188" s="14">
        <v>344</v>
      </c>
      <c r="Z188" s="14">
        <v>34</v>
      </c>
      <c r="AA188" s="12" t="s">
        <v>2367</v>
      </c>
    </row>
    <row r="189" spans="1:27" ht="14.25" x14ac:dyDescent="0.45">
      <c r="A189" s="12" t="s">
        <v>466</v>
      </c>
      <c r="B189" s="12" t="s">
        <v>1971</v>
      </c>
      <c r="C189" s="12" t="s">
        <v>1972</v>
      </c>
      <c r="D189" s="12" t="s">
        <v>2368</v>
      </c>
      <c r="E189" s="20">
        <v>32197</v>
      </c>
      <c r="F189" s="20">
        <v>42943</v>
      </c>
      <c r="G189" s="12">
        <v>381.28</v>
      </c>
      <c r="H189" s="12">
        <v>53.933333333333302</v>
      </c>
      <c r="I189" s="13">
        <v>7.06946847960445</v>
      </c>
      <c r="J189" s="12" t="s">
        <v>466</v>
      </c>
      <c r="K189" s="14">
        <v>376</v>
      </c>
      <c r="L189" s="14">
        <v>44</v>
      </c>
      <c r="M189" s="14">
        <v>187</v>
      </c>
      <c r="N189" s="12">
        <v>381.28</v>
      </c>
      <c r="O189" s="12" t="s">
        <v>466</v>
      </c>
      <c r="P189" s="12">
        <v>6.1334041132800901E-2</v>
      </c>
      <c r="Q189" s="12">
        <v>3.2191017132583398E-2</v>
      </c>
      <c r="R189" s="12">
        <v>0.81552419354838701</v>
      </c>
      <c r="S189" s="14">
        <v>34</v>
      </c>
      <c r="T189" s="12">
        <v>4.3119651132665</v>
      </c>
      <c r="U189" s="14">
        <v>290</v>
      </c>
      <c r="V189" s="14">
        <v>8</v>
      </c>
      <c r="W189" s="12">
        <v>6.1999999999999998E-3</v>
      </c>
      <c r="X189" s="12">
        <v>4.3181651132664998</v>
      </c>
      <c r="Y189" s="14">
        <v>290</v>
      </c>
      <c r="Z189" s="14">
        <v>34</v>
      </c>
      <c r="AA189" s="12" t="s">
        <v>2367</v>
      </c>
    </row>
    <row r="190" spans="1:27" ht="14.25" x14ac:dyDescent="0.45">
      <c r="A190" s="12" t="s">
        <v>469</v>
      </c>
      <c r="B190" s="12" t="s">
        <v>1971</v>
      </c>
      <c r="C190" s="12" t="s">
        <v>1972</v>
      </c>
      <c r="D190" s="12" t="s">
        <v>1997</v>
      </c>
      <c r="E190" s="20">
        <v>32503</v>
      </c>
      <c r="F190" s="20">
        <v>44162</v>
      </c>
      <c r="G190" s="12">
        <v>3.14</v>
      </c>
      <c r="H190" s="12">
        <v>13.3</v>
      </c>
      <c r="I190" s="13">
        <v>0.23609022556390999</v>
      </c>
      <c r="J190" s="12" t="s">
        <v>469</v>
      </c>
      <c r="K190" s="14">
        <v>1296</v>
      </c>
      <c r="L190" s="14">
        <v>652</v>
      </c>
      <c r="M190" s="14">
        <v>1210</v>
      </c>
      <c r="N190" s="12">
        <v>3.14</v>
      </c>
      <c r="O190" s="12" t="s">
        <v>469</v>
      </c>
      <c r="P190" s="12">
        <v>5.0511143820025899E-4</v>
      </c>
      <c r="Q190" s="12">
        <v>1.0750432678056901E-3</v>
      </c>
      <c r="R190" s="12">
        <v>0.20110887096774199</v>
      </c>
      <c r="S190" s="14">
        <v>34</v>
      </c>
      <c r="T190" s="12">
        <v>8.6131883170365506E-2</v>
      </c>
      <c r="U190" s="14">
        <v>1333</v>
      </c>
      <c r="V190" s="14">
        <v>1</v>
      </c>
      <c r="W190" s="12">
        <v>5.4999999999999997E-3</v>
      </c>
      <c r="X190" s="12">
        <v>9.1631883170365497E-2</v>
      </c>
      <c r="Y190" s="14">
        <v>1334</v>
      </c>
      <c r="Z190" s="14">
        <v>33</v>
      </c>
      <c r="AA190" s="12" t="s">
        <v>2367</v>
      </c>
    </row>
    <row r="191" spans="1:27" ht="14.25" x14ac:dyDescent="0.45">
      <c r="A191" s="12" t="s">
        <v>472</v>
      </c>
      <c r="B191" s="12" t="s">
        <v>1971</v>
      </c>
      <c r="C191" s="12" t="s">
        <v>1972</v>
      </c>
      <c r="D191" s="12" t="s">
        <v>2026</v>
      </c>
      <c r="E191" s="20">
        <v>32272</v>
      </c>
      <c r="F191" s="20">
        <v>43307</v>
      </c>
      <c r="G191" s="12">
        <v>292.05</v>
      </c>
      <c r="H191" s="12">
        <v>41.8</v>
      </c>
      <c r="I191" s="13">
        <v>6.9868421052631602</v>
      </c>
      <c r="J191" s="12" t="s">
        <v>472</v>
      </c>
      <c r="K191" s="14">
        <v>379</v>
      </c>
      <c r="L191" s="14">
        <v>132</v>
      </c>
      <c r="M191" s="14">
        <v>230</v>
      </c>
      <c r="N191" s="12">
        <v>292.05</v>
      </c>
      <c r="O191" s="12" t="s">
        <v>472</v>
      </c>
      <c r="P191" s="12">
        <v>4.6980189658084599E-2</v>
      </c>
      <c r="Q191" s="12">
        <v>3.1814775688166902E-2</v>
      </c>
      <c r="R191" s="12">
        <v>0.63205645161290303</v>
      </c>
      <c r="S191" s="14">
        <v>34</v>
      </c>
      <c r="T191" s="12">
        <v>3.7501805926885998</v>
      </c>
      <c r="U191" s="14">
        <v>325</v>
      </c>
      <c r="V191" s="14">
        <v>4</v>
      </c>
      <c r="W191" s="12">
        <v>5.7999999999999996E-3</v>
      </c>
      <c r="X191" s="12">
        <v>3.7559805926886001</v>
      </c>
      <c r="Y191" s="14">
        <v>325</v>
      </c>
      <c r="Z191" s="14">
        <v>34</v>
      </c>
      <c r="AA191" s="12" t="s">
        <v>2367</v>
      </c>
    </row>
    <row r="192" spans="1:27" ht="14.25" x14ac:dyDescent="0.45">
      <c r="A192" s="12" t="s">
        <v>479</v>
      </c>
      <c r="B192" s="12" t="s">
        <v>1971</v>
      </c>
      <c r="C192" s="12" t="s">
        <v>1972</v>
      </c>
      <c r="D192" s="12" t="s">
        <v>1978</v>
      </c>
      <c r="E192" s="20">
        <v>33685</v>
      </c>
      <c r="F192" s="20">
        <v>44222</v>
      </c>
      <c r="G192" s="12">
        <v>110.82</v>
      </c>
      <c r="H192" s="12">
        <v>11.3</v>
      </c>
      <c r="I192" s="13">
        <v>9.8070796460176997</v>
      </c>
      <c r="J192" s="12" t="s">
        <v>479</v>
      </c>
      <c r="K192" s="14">
        <v>302</v>
      </c>
      <c r="L192" s="14">
        <v>879</v>
      </c>
      <c r="M192" s="14">
        <v>370</v>
      </c>
      <c r="N192" s="12">
        <v>110.82</v>
      </c>
      <c r="O192" s="12" t="s">
        <v>479</v>
      </c>
      <c r="P192" s="12">
        <v>1.7826894771131401E-2</v>
      </c>
      <c r="Q192" s="12">
        <v>4.4656804088789102E-2</v>
      </c>
      <c r="R192" s="12">
        <v>0.170866935483871</v>
      </c>
      <c r="S192" s="14">
        <v>30</v>
      </c>
      <c r="T192" s="12">
        <v>3.45955880946675</v>
      </c>
      <c r="U192" s="14">
        <v>345</v>
      </c>
      <c r="V192" s="14">
        <v>9</v>
      </c>
      <c r="W192" s="12">
        <v>6.3E-3</v>
      </c>
      <c r="X192" s="12">
        <v>3.46585880946675</v>
      </c>
      <c r="Y192" s="14">
        <v>345</v>
      </c>
      <c r="Z192" s="14">
        <v>30</v>
      </c>
      <c r="AA192" s="12" t="s">
        <v>2367</v>
      </c>
    </row>
    <row r="193" spans="1:27" ht="14.25" x14ac:dyDescent="0.45">
      <c r="A193" s="12" t="s">
        <v>483</v>
      </c>
      <c r="B193" s="12" t="s">
        <v>1971</v>
      </c>
      <c r="C193" s="12" t="s">
        <v>1972</v>
      </c>
      <c r="D193" s="12" t="s">
        <v>2026</v>
      </c>
      <c r="E193" s="20">
        <v>32761</v>
      </c>
      <c r="F193" s="20">
        <v>43335</v>
      </c>
      <c r="G193" s="12">
        <v>429.28</v>
      </c>
      <c r="H193" s="12">
        <v>40.866666666666703</v>
      </c>
      <c r="I193" s="13">
        <v>10.504404567699799</v>
      </c>
      <c r="J193" s="12" t="s">
        <v>483</v>
      </c>
      <c r="K193" s="14">
        <v>279</v>
      </c>
      <c r="L193" s="14">
        <v>171</v>
      </c>
      <c r="M193" s="14">
        <v>170</v>
      </c>
      <c r="N193" s="12">
        <v>429.28</v>
      </c>
      <c r="O193" s="12" t="s">
        <v>483</v>
      </c>
      <c r="P193" s="12">
        <v>6.9055489869620096E-2</v>
      </c>
      <c r="Q193" s="12">
        <v>4.7832092098857901E-2</v>
      </c>
      <c r="R193" s="12">
        <v>0.61794354838709697</v>
      </c>
      <c r="S193" s="14">
        <v>33</v>
      </c>
      <c r="T193" s="12">
        <v>5.5790866262893699</v>
      </c>
      <c r="U193" s="14">
        <v>239</v>
      </c>
      <c r="V193" s="14">
        <v>6</v>
      </c>
      <c r="W193" s="12">
        <v>6.0000000000000001E-3</v>
      </c>
      <c r="X193" s="12">
        <v>5.5850866262893701</v>
      </c>
      <c r="Y193" s="14">
        <v>239</v>
      </c>
      <c r="Z193" s="14">
        <v>32</v>
      </c>
      <c r="AA193" s="12" t="s">
        <v>2367</v>
      </c>
    </row>
    <row r="194" spans="1:27" ht="14.25" x14ac:dyDescent="0.45">
      <c r="A194" s="12" t="s">
        <v>495</v>
      </c>
      <c r="B194" s="12" t="s">
        <v>1971</v>
      </c>
      <c r="C194" s="12" t="s">
        <v>1972</v>
      </c>
      <c r="D194" s="12" t="s">
        <v>1990</v>
      </c>
      <c r="E194" s="20">
        <v>34906</v>
      </c>
      <c r="F194" s="20">
        <v>44151</v>
      </c>
      <c r="G194" s="12">
        <v>5.37</v>
      </c>
      <c r="H194" s="12">
        <v>13.6666666666667</v>
      </c>
      <c r="I194" s="13">
        <v>0.39292682926829298</v>
      </c>
      <c r="J194" s="12" t="s">
        <v>495</v>
      </c>
      <c r="K194" s="14">
        <v>1146</v>
      </c>
      <c r="L194" s="14">
        <v>625</v>
      </c>
      <c r="M194" s="14">
        <v>1008</v>
      </c>
      <c r="N194" s="12">
        <v>5.37</v>
      </c>
      <c r="O194" s="12" t="s">
        <v>495</v>
      </c>
      <c r="P194" s="12">
        <v>8.63837077431653E-4</v>
      </c>
      <c r="Q194" s="12">
        <v>1.7892030114171999E-3</v>
      </c>
      <c r="R194" s="12">
        <v>0.20665322580645201</v>
      </c>
      <c r="S194" s="14">
        <v>27</v>
      </c>
      <c r="T194" s="12">
        <v>0.14421907861726199</v>
      </c>
      <c r="U194" s="14">
        <v>1176</v>
      </c>
      <c r="V194" s="14">
        <v>2</v>
      </c>
      <c r="W194" s="12">
        <v>5.5999999999999999E-3</v>
      </c>
      <c r="X194" s="12">
        <v>0.14981907861726201</v>
      </c>
      <c r="Y194" s="14">
        <v>1174</v>
      </c>
      <c r="Z194" s="14">
        <v>26</v>
      </c>
      <c r="AA194" s="12" t="s">
        <v>2367</v>
      </c>
    </row>
    <row r="195" spans="1:27" ht="14.25" x14ac:dyDescent="0.45">
      <c r="A195" s="12" t="s">
        <v>497</v>
      </c>
      <c r="B195" s="12" t="s">
        <v>1971</v>
      </c>
      <c r="C195" s="12" t="s">
        <v>1972</v>
      </c>
      <c r="D195" s="12" t="s">
        <v>2012</v>
      </c>
      <c r="E195" s="20">
        <v>33308</v>
      </c>
      <c r="F195" s="20">
        <v>43297</v>
      </c>
      <c r="G195" s="12">
        <v>378.68</v>
      </c>
      <c r="H195" s="12">
        <v>42.133333333333297</v>
      </c>
      <c r="I195" s="13">
        <v>8.9876582278480992</v>
      </c>
      <c r="J195" s="12" t="s">
        <v>497</v>
      </c>
      <c r="K195" s="14">
        <v>322</v>
      </c>
      <c r="L195" s="14">
        <v>122</v>
      </c>
      <c r="M195" s="14">
        <v>190</v>
      </c>
      <c r="N195" s="12">
        <v>378.68</v>
      </c>
      <c r="O195" s="12" t="s">
        <v>497</v>
      </c>
      <c r="P195" s="12">
        <v>6.09157959928898E-2</v>
      </c>
      <c r="Q195" s="12">
        <v>4.0925546358847403E-2</v>
      </c>
      <c r="R195" s="12">
        <v>0.63709677419354804</v>
      </c>
      <c r="S195" s="14">
        <v>31</v>
      </c>
      <c r="T195" s="12">
        <v>4.8421889971613297</v>
      </c>
      <c r="U195" s="14">
        <v>270</v>
      </c>
      <c r="V195" s="14">
        <v>4</v>
      </c>
      <c r="W195" s="12">
        <v>5.7999999999999996E-3</v>
      </c>
      <c r="X195" s="12">
        <v>4.8479889971613304</v>
      </c>
      <c r="Y195" s="14">
        <v>270</v>
      </c>
      <c r="Z195" s="14">
        <v>31</v>
      </c>
      <c r="AA195" s="12" t="s">
        <v>2367</v>
      </c>
    </row>
    <row r="196" spans="1:27" ht="14.25" x14ac:dyDescent="0.45">
      <c r="A196" s="12" t="s">
        <v>510</v>
      </c>
      <c r="B196" s="12" t="s">
        <v>1971</v>
      </c>
      <c r="C196" s="12" t="s">
        <v>1972</v>
      </c>
      <c r="D196" s="12" t="s">
        <v>1993</v>
      </c>
      <c r="E196" s="20">
        <v>33650</v>
      </c>
      <c r="F196" s="20">
        <v>44088</v>
      </c>
      <c r="G196" s="12">
        <v>4.01</v>
      </c>
      <c r="H196" s="12">
        <v>15.766666666666699</v>
      </c>
      <c r="I196" s="13">
        <v>0.25433403805496801</v>
      </c>
      <c r="J196" s="12" t="s">
        <v>510</v>
      </c>
      <c r="K196" s="14">
        <v>1272</v>
      </c>
      <c r="L196" s="14">
        <v>487</v>
      </c>
      <c r="M196" s="14">
        <v>1120</v>
      </c>
      <c r="N196" s="12">
        <v>4.01</v>
      </c>
      <c r="O196" s="12" t="s">
        <v>510</v>
      </c>
      <c r="P196" s="12">
        <v>6.4506269655510804E-4</v>
      </c>
      <c r="Q196" s="12">
        <v>1.1581169645281E-3</v>
      </c>
      <c r="R196" s="12">
        <v>0.23840725806451599</v>
      </c>
      <c r="S196" s="14">
        <v>30</v>
      </c>
      <c r="T196" s="12">
        <v>9.6572161403823006E-2</v>
      </c>
      <c r="U196" s="14">
        <v>1298</v>
      </c>
      <c r="V196" s="14">
        <v>9</v>
      </c>
      <c r="W196" s="12">
        <v>6.3E-3</v>
      </c>
      <c r="X196" s="12">
        <v>0.10287216140382301</v>
      </c>
      <c r="Y196" s="14">
        <v>1297</v>
      </c>
      <c r="Z196" s="14">
        <v>30</v>
      </c>
      <c r="AA196" s="12" t="s">
        <v>2367</v>
      </c>
    </row>
    <row r="197" spans="1:27" ht="14.25" x14ac:dyDescent="0.45">
      <c r="A197" s="12" t="s">
        <v>522</v>
      </c>
      <c r="B197" s="12" t="s">
        <v>1971</v>
      </c>
      <c r="C197" s="12" t="s">
        <v>1972</v>
      </c>
      <c r="D197" s="12" t="s">
        <v>1995</v>
      </c>
      <c r="E197" s="20">
        <v>32887</v>
      </c>
      <c r="F197" s="20">
        <v>44025</v>
      </c>
      <c r="G197" s="12">
        <v>3.75</v>
      </c>
      <c r="H197" s="12">
        <v>17.866666666666699</v>
      </c>
      <c r="I197" s="13">
        <v>0.20988805970149299</v>
      </c>
      <c r="J197" s="12" t="s">
        <v>522</v>
      </c>
      <c r="K197" s="14">
        <v>1335</v>
      </c>
      <c r="L197" s="14">
        <v>457</v>
      </c>
      <c r="M197" s="14">
        <v>1140</v>
      </c>
      <c r="N197" s="12">
        <v>3.75</v>
      </c>
      <c r="O197" s="12" t="s">
        <v>522</v>
      </c>
      <c r="P197" s="12">
        <v>6.0323818256400295E-4</v>
      </c>
      <c r="Q197" s="12">
        <v>9.55730992403191E-4</v>
      </c>
      <c r="R197" s="12">
        <v>0.27016129032258102</v>
      </c>
      <c r="S197" s="14">
        <v>32</v>
      </c>
      <c r="T197" s="12">
        <v>8.2354618871349594E-2</v>
      </c>
      <c r="U197" s="14">
        <v>1347</v>
      </c>
      <c r="V197" s="14">
        <v>2</v>
      </c>
      <c r="W197" s="12">
        <v>5.5999999999999999E-3</v>
      </c>
      <c r="X197" s="12">
        <v>8.7954618871349602E-2</v>
      </c>
      <c r="Y197" s="14">
        <v>1348</v>
      </c>
      <c r="Z197" s="14">
        <v>32</v>
      </c>
      <c r="AA197" s="12" t="s">
        <v>2367</v>
      </c>
    </row>
    <row r="198" spans="1:27" ht="14.25" x14ac:dyDescent="0.45">
      <c r="A198" s="12" t="s">
        <v>523</v>
      </c>
      <c r="B198" s="12" t="s">
        <v>1971</v>
      </c>
      <c r="C198" s="12" t="s">
        <v>1972</v>
      </c>
      <c r="D198" s="12" t="s">
        <v>2070</v>
      </c>
      <c r="E198" s="20">
        <v>32347</v>
      </c>
      <c r="F198" s="20">
        <v>43346</v>
      </c>
      <c r="G198" s="12">
        <v>328.43</v>
      </c>
      <c r="H198" s="12">
        <v>40.5</v>
      </c>
      <c r="I198" s="13">
        <v>8.1093827160493799</v>
      </c>
      <c r="J198" s="12" t="s">
        <v>523</v>
      </c>
      <c r="K198" s="14">
        <v>345</v>
      </c>
      <c r="L198" s="14">
        <v>180</v>
      </c>
      <c r="M198" s="14">
        <v>206</v>
      </c>
      <c r="N198" s="12">
        <v>328.43</v>
      </c>
      <c r="O198" s="12" t="s">
        <v>523</v>
      </c>
      <c r="P198" s="12">
        <v>5.2832404346532198E-2</v>
      </c>
      <c r="Q198" s="12">
        <v>3.6926294911725499E-2</v>
      </c>
      <c r="R198" s="12">
        <v>0.61239919354838701</v>
      </c>
      <c r="S198" s="14">
        <v>34</v>
      </c>
      <c r="T198" s="12">
        <v>4.2891085949778001</v>
      </c>
      <c r="U198" s="14">
        <v>292</v>
      </c>
      <c r="V198" s="14">
        <v>4</v>
      </c>
      <c r="W198" s="12">
        <v>5.7999999999999996E-3</v>
      </c>
      <c r="X198" s="12">
        <v>4.2949085949777999</v>
      </c>
      <c r="Y198" s="14">
        <v>292</v>
      </c>
      <c r="Z198" s="14">
        <v>33</v>
      </c>
      <c r="AA198" s="12" t="s">
        <v>2367</v>
      </c>
    </row>
    <row r="199" spans="1:27" ht="14.25" x14ac:dyDescent="0.45">
      <c r="A199" s="12" t="s">
        <v>528</v>
      </c>
      <c r="B199" s="12" t="s">
        <v>1971</v>
      </c>
      <c r="C199" s="12" t="s">
        <v>1972</v>
      </c>
      <c r="D199" s="12" t="s">
        <v>2026</v>
      </c>
      <c r="E199" s="20">
        <v>33263</v>
      </c>
      <c r="F199" s="20">
        <v>44200</v>
      </c>
      <c r="G199" s="12">
        <v>45.38</v>
      </c>
      <c r="H199" s="12">
        <v>12.033333333333299</v>
      </c>
      <c r="I199" s="13">
        <v>3.7711911357340702</v>
      </c>
      <c r="J199" s="12" t="s">
        <v>528</v>
      </c>
      <c r="K199" s="14">
        <v>504</v>
      </c>
      <c r="L199" s="14">
        <v>767</v>
      </c>
      <c r="M199" s="14">
        <v>499</v>
      </c>
      <c r="N199" s="12">
        <v>45.38</v>
      </c>
      <c r="O199" s="12" t="s">
        <v>528</v>
      </c>
      <c r="P199" s="12">
        <v>7.2999863266011902E-3</v>
      </c>
      <c r="Q199" s="12">
        <v>1.7172221477597501E-2</v>
      </c>
      <c r="R199" s="12">
        <v>0.18195564516129001</v>
      </c>
      <c r="S199" s="14">
        <v>31</v>
      </c>
      <c r="T199" s="12">
        <v>1.3470133295973901</v>
      </c>
      <c r="U199" s="14">
        <v>521</v>
      </c>
      <c r="V199" s="14">
        <v>1</v>
      </c>
      <c r="W199" s="12">
        <v>5.4999999999999997E-3</v>
      </c>
      <c r="X199" s="12">
        <v>1.3525133295973899</v>
      </c>
      <c r="Y199" s="14">
        <v>522</v>
      </c>
      <c r="Z199" s="14">
        <v>31</v>
      </c>
      <c r="AA199" s="12" t="s">
        <v>2367</v>
      </c>
    </row>
    <row r="200" spans="1:27" ht="14.25" x14ac:dyDescent="0.45">
      <c r="A200" s="12" t="s">
        <v>538</v>
      </c>
      <c r="B200" s="12" t="s">
        <v>1971</v>
      </c>
      <c r="C200" s="12" t="s">
        <v>1972</v>
      </c>
      <c r="D200" s="12" t="s">
        <v>1993</v>
      </c>
      <c r="E200" s="20">
        <v>35425</v>
      </c>
      <c r="F200" s="20">
        <v>43858</v>
      </c>
      <c r="G200" s="12">
        <v>1.07</v>
      </c>
      <c r="H200" s="12">
        <v>23.433333333333302</v>
      </c>
      <c r="I200" s="13">
        <v>4.5661450924608799E-2</v>
      </c>
      <c r="J200" s="12" t="s">
        <v>538</v>
      </c>
      <c r="K200" s="14">
        <v>1618</v>
      </c>
      <c r="L200" s="14">
        <v>398</v>
      </c>
      <c r="M200" s="14">
        <v>1536</v>
      </c>
      <c r="N200" s="12">
        <v>1.07</v>
      </c>
      <c r="O200" s="12" t="s">
        <v>538</v>
      </c>
      <c r="P200" s="12">
        <v>1.72123961424929E-4</v>
      </c>
      <c r="Q200" s="12">
        <v>2.07920659559252E-4</v>
      </c>
      <c r="R200" s="12">
        <v>0.35433467741935498</v>
      </c>
      <c r="S200" s="14">
        <v>26</v>
      </c>
      <c r="T200" s="12">
        <v>1.9449689775888099E-2</v>
      </c>
      <c r="U200" s="14">
        <v>1687</v>
      </c>
      <c r="V200" s="14">
        <v>2</v>
      </c>
      <c r="W200" s="12">
        <v>5.5999999999999999E-3</v>
      </c>
      <c r="X200" s="12">
        <v>2.50496897758881E-2</v>
      </c>
      <c r="Y200" s="14">
        <v>1687</v>
      </c>
      <c r="Z200" s="14">
        <v>25</v>
      </c>
      <c r="AA200" s="12" t="s">
        <v>2367</v>
      </c>
    </row>
    <row r="201" spans="1:27" ht="14.25" x14ac:dyDescent="0.45">
      <c r="A201" s="12" t="s">
        <v>539</v>
      </c>
      <c r="B201" s="12" t="s">
        <v>1971</v>
      </c>
      <c r="C201" s="12" t="s">
        <v>1972</v>
      </c>
      <c r="D201" s="12" t="s">
        <v>1975</v>
      </c>
      <c r="E201" s="20">
        <v>35210</v>
      </c>
      <c r="F201" s="20">
        <v>44194</v>
      </c>
      <c r="G201" s="12">
        <v>12.62</v>
      </c>
      <c r="H201" s="12">
        <v>12.233333333333301</v>
      </c>
      <c r="I201" s="13">
        <v>1.0316076294277901</v>
      </c>
      <c r="J201" s="12" t="s">
        <v>539</v>
      </c>
      <c r="K201" s="14">
        <v>810</v>
      </c>
      <c r="L201" s="14">
        <v>745</v>
      </c>
      <c r="M201" s="14">
        <v>798</v>
      </c>
      <c r="N201" s="12">
        <v>12.62</v>
      </c>
      <c r="O201" s="12" t="s">
        <v>539</v>
      </c>
      <c r="P201" s="12">
        <v>2.0300975637220602E-3</v>
      </c>
      <c r="Q201" s="12">
        <v>4.6974534180074497E-3</v>
      </c>
      <c r="R201" s="12">
        <v>0.18497983870967699</v>
      </c>
      <c r="S201" s="14">
        <v>26</v>
      </c>
      <c r="T201" s="12">
        <v>0.369719497265043</v>
      </c>
      <c r="U201" s="14">
        <v>857</v>
      </c>
      <c r="V201" s="14">
        <v>2</v>
      </c>
      <c r="W201" s="12">
        <v>5.5999999999999999E-3</v>
      </c>
      <c r="X201" s="12">
        <v>0.37531949726504299</v>
      </c>
      <c r="Y201" s="14">
        <v>857</v>
      </c>
      <c r="Z201" s="14">
        <v>26</v>
      </c>
      <c r="AA201" s="12" t="s">
        <v>2367</v>
      </c>
    </row>
    <row r="202" spans="1:27" ht="14.25" x14ac:dyDescent="0.45">
      <c r="A202" s="12" t="s">
        <v>543</v>
      </c>
      <c r="B202" s="12" t="s">
        <v>1971</v>
      </c>
      <c r="C202" s="12" t="s">
        <v>1972</v>
      </c>
      <c r="D202" s="12" t="s">
        <v>1983</v>
      </c>
      <c r="E202" s="20">
        <v>32514</v>
      </c>
      <c r="F202" s="20">
        <v>44113</v>
      </c>
      <c r="G202" s="12">
        <v>1.42</v>
      </c>
      <c r="H202" s="12">
        <v>14.9333333333333</v>
      </c>
      <c r="I202" s="13">
        <v>9.5089285714285696E-2</v>
      </c>
      <c r="J202" s="12" t="s">
        <v>543</v>
      </c>
      <c r="K202" s="14">
        <v>1509</v>
      </c>
      <c r="L202" s="14">
        <v>528</v>
      </c>
      <c r="M202" s="14">
        <v>1486</v>
      </c>
      <c r="N202" s="12">
        <v>1.42</v>
      </c>
      <c r="O202" s="12" t="s">
        <v>543</v>
      </c>
      <c r="P202" s="12">
        <v>2.2842619179756901E-4</v>
      </c>
      <c r="Q202" s="12">
        <v>4.3299165055828398E-4</v>
      </c>
      <c r="R202" s="12">
        <v>0.225806451612903</v>
      </c>
      <c r="S202" s="14">
        <v>33</v>
      </c>
      <c r="T202" s="12">
        <v>3.5627960352301598E-2</v>
      </c>
      <c r="U202" s="14">
        <v>1583</v>
      </c>
      <c r="V202" s="14">
        <v>1</v>
      </c>
      <c r="W202" s="12">
        <v>5.4999999999999997E-3</v>
      </c>
      <c r="X202" s="12">
        <v>4.1127960352301603E-2</v>
      </c>
      <c r="Y202" s="14">
        <v>1583</v>
      </c>
      <c r="Z202" s="14">
        <v>33</v>
      </c>
      <c r="AA202" s="12" t="s">
        <v>2367</v>
      </c>
    </row>
    <row r="203" spans="1:27" ht="14.25" x14ac:dyDescent="0.45">
      <c r="A203" s="12" t="s">
        <v>544</v>
      </c>
      <c r="B203" s="12" t="s">
        <v>1971</v>
      </c>
      <c r="C203" s="12" t="s">
        <v>1972</v>
      </c>
      <c r="D203" s="12" t="s">
        <v>1990</v>
      </c>
      <c r="E203" s="20">
        <v>32960</v>
      </c>
      <c r="F203" s="20">
        <v>44216</v>
      </c>
      <c r="G203" s="12">
        <v>39.840000000000003</v>
      </c>
      <c r="H203" s="12">
        <v>11.5</v>
      </c>
      <c r="I203" s="13">
        <v>3.4643478260869598</v>
      </c>
      <c r="J203" s="12" t="s">
        <v>544</v>
      </c>
      <c r="K203" s="14">
        <v>526</v>
      </c>
      <c r="L203" s="14">
        <v>841</v>
      </c>
      <c r="M203" s="14">
        <v>522</v>
      </c>
      <c r="N203" s="12">
        <v>39.840000000000003</v>
      </c>
      <c r="O203" s="12" t="s">
        <v>544</v>
      </c>
      <c r="P203" s="12">
        <v>6.4088024515599699E-3</v>
      </c>
      <c r="Q203" s="12">
        <v>1.57750021157224E-2</v>
      </c>
      <c r="R203" s="12">
        <v>0.17389112903225801</v>
      </c>
      <c r="S203" s="14">
        <v>32</v>
      </c>
      <c r="T203" s="12">
        <v>1.2262677241661499</v>
      </c>
      <c r="U203" s="14">
        <v>533</v>
      </c>
      <c r="V203" s="14">
        <v>1</v>
      </c>
      <c r="W203" s="12">
        <v>5.4999999999999997E-3</v>
      </c>
      <c r="X203" s="12">
        <v>1.23176772416615</v>
      </c>
      <c r="Y203" s="14">
        <v>533</v>
      </c>
      <c r="Z203" s="14">
        <v>32</v>
      </c>
      <c r="AA203" s="12" t="s">
        <v>2367</v>
      </c>
    </row>
    <row r="204" spans="1:27" ht="14.25" x14ac:dyDescent="0.45">
      <c r="A204" s="12" t="s">
        <v>546</v>
      </c>
      <c r="B204" s="12" t="s">
        <v>1971</v>
      </c>
      <c r="C204" s="12" t="s">
        <v>1972</v>
      </c>
      <c r="D204" s="12" t="s">
        <v>1973</v>
      </c>
      <c r="E204" s="20">
        <v>33465</v>
      </c>
      <c r="F204" s="20">
        <v>43325</v>
      </c>
      <c r="G204" s="12">
        <v>510.24</v>
      </c>
      <c r="H204" s="12">
        <v>41.2</v>
      </c>
      <c r="I204" s="13">
        <v>12.3844660194175</v>
      </c>
      <c r="J204" s="12" t="s">
        <v>546</v>
      </c>
      <c r="K204" s="14">
        <v>237</v>
      </c>
      <c r="L204" s="14">
        <v>154</v>
      </c>
      <c r="M204" s="14">
        <v>143</v>
      </c>
      <c r="N204" s="12">
        <v>510.24</v>
      </c>
      <c r="O204" s="12" t="s">
        <v>546</v>
      </c>
      <c r="P204" s="12">
        <v>8.2079000072388594E-2</v>
      </c>
      <c r="Q204" s="12">
        <v>5.6393003089147603E-2</v>
      </c>
      <c r="R204" s="12">
        <v>0.62298387096774199</v>
      </c>
      <c r="S204" s="14">
        <v>31</v>
      </c>
      <c r="T204" s="12">
        <v>6.6025251957862903</v>
      </c>
      <c r="U204" s="14">
        <v>199</v>
      </c>
      <c r="V204" s="14">
        <v>9</v>
      </c>
      <c r="W204" s="12">
        <v>6.3E-3</v>
      </c>
      <c r="X204" s="12">
        <v>6.6088251957862996</v>
      </c>
      <c r="Y204" s="14">
        <v>199</v>
      </c>
      <c r="Z204" s="14">
        <v>30</v>
      </c>
      <c r="AA204" s="12" t="s">
        <v>2367</v>
      </c>
    </row>
    <row r="205" spans="1:27" ht="14.25" x14ac:dyDescent="0.45">
      <c r="A205" s="12" t="s">
        <v>551</v>
      </c>
      <c r="B205" s="12" t="s">
        <v>1971</v>
      </c>
      <c r="C205" s="12" t="s">
        <v>1972</v>
      </c>
      <c r="D205" s="12" t="s">
        <v>1990</v>
      </c>
      <c r="E205" s="20">
        <v>35020</v>
      </c>
      <c r="F205" s="20">
        <v>43837</v>
      </c>
      <c r="G205" s="12">
        <v>2.14</v>
      </c>
      <c r="H205" s="12">
        <v>24.133333333333301</v>
      </c>
      <c r="I205" s="13">
        <v>8.86740331491713E-2</v>
      </c>
      <c r="J205" s="12" t="s">
        <v>551</v>
      </c>
      <c r="K205" s="14">
        <v>1528</v>
      </c>
      <c r="L205" s="14">
        <v>383</v>
      </c>
      <c r="M205" s="14">
        <v>1331</v>
      </c>
      <c r="N205" s="12">
        <v>2.14</v>
      </c>
      <c r="O205" s="12" t="s">
        <v>551</v>
      </c>
      <c r="P205" s="12">
        <v>3.44247922849858E-4</v>
      </c>
      <c r="Q205" s="12">
        <v>4.0377962339821602E-4</v>
      </c>
      <c r="R205" s="12">
        <v>0.36491935483871002</v>
      </c>
      <c r="S205" s="14">
        <v>27</v>
      </c>
      <c r="T205" s="12">
        <v>3.8145523569258197E-2</v>
      </c>
      <c r="U205" s="14">
        <v>1566</v>
      </c>
      <c r="V205" s="14">
        <v>1</v>
      </c>
      <c r="W205" s="12">
        <v>5.4999999999999997E-3</v>
      </c>
      <c r="X205" s="12">
        <v>4.3645523569258202E-2</v>
      </c>
      <c r="Y205" s="14">
        <v>1566</v>
      </c>
      <c r="Z205" s="14">
        <v>26</v>
      </c>
      <c r="AA205" s="12" t="s">
        <v>2367</v>
      </c>
    </row>
    <row r="206" spans="1:27" ht="14.25" x14ac:dyDescent="0.45">
      <c r="A206" s="12" t="s">
        <v>552</v>
      </c>
      <c r="B206" s="12" t="s">
        <v>1971</v>
      </c>
      <c r="C206" s="12" t="s">
        <v>1972</v>
      </c>
      <c r="D206" s="12" t="s">
        <v>2007</v>
      </c>
      <c r="E206" s="20">
        <v>34714</v>
      </c>
      <c r="F206" s="20">
        <v>44165</v>
      </c>
      <c r="G206" s="12">
        <v>2.0499999999999998</v>
      </c>
      <c r="H206" s="12">
        <v>13.2</v>
      </c>
      <c r="I206" s="13">
        <v>0.15530303030303</v>
      </c>
      <c r="J206" s="12" t="s">
        <v>552</v>
      </c>
      <c r="K206" s="14">
        <v>1406</v>
      </c>
      <c r="L206" s="14">
        <v>658</v>
      </c>
      <c r="M206" s="14">
        <v>1351</v>
      </c>
      <c r="N206" s="12">
        <v>2.0499999999999998</v>
      </c>
      <c r="O206" s="12" t="s">
        <v>552</v>
      </c>
      <c r="P206" s="12">
        <v>3.2977020646832199E-4</v>
      </c>
      <c r="Q206" s="12">
        <v>7.07176575388974E-4</v>
      </c>
      <c r="R206" s="12">
        <v>0.19959677419354799</v>
      </c>
      <c r="S206" s="14">
        <v>27</v>
      </c>
      <c r="T206" s="12">
        <v>5.6564918704372899E-2</v>
      </c>
      <c r="U206" s="14">
        <v>1495</v>
      </c>
      <c r="V206" s="14">
        <v>2</v>
      </c>
      <c r="W206" s="12">
        <v>5.5999999999999999E-3</v>
      </c>
      <c r="X206" s="12">
        <v>6.21649187043729E-2</v>
      </c>
      <c r="Y206" s="14">
        <v>1495</v>
      </c>
      <c r="Z206" s="14">
        <v>27</v>
      </c>
      <c r="AA206" s="12" t="s">
        <v>2367</v>
      </c>
    </row>
    <row r="207" spans="1:27" ht="14.25" x14ac:dyDescent="0.45">
      <c r="A207" s="12" t="s">
        <v>554</v>
      </c>
      <c r="B207" s="12" t="s">
        <v>1971</v>
      </c>
      <c r="C207" s="12" t="s">
        <v>1972</v>
      </c>
      <c r="D207" s="12" t="s">
        <v>1993</v>
      </c>
      <c r="E207" s="20">
        <v>32427</v>
      </c>
      <c r="F207" s="20">
        <v>44221</v>
      </c>
      <c r="G207" s="12">
        <v>7.34</v>
      </c>
      <c r="H207" s="12">
        <v>11.3333333333333</v>
      </c>
      <c r="I207" s="13">
        <v>0.64764705882352902</v>
      </c>
      <c r="J207" s="12" t="s">
        <v>554</v>
      </c>
      <c r="K207" s="14">
        <v>969</v>
      </c>
      <c r="L207" s="14">
        <v>860</v>
      </c>
      <c r="M207" s="14">
        <v>906</v>
      </c>
      <c r="N207" s="12">
        <v>7.34</v>
      </c>
      <c r="O207" s="12" t="s">
        <v>554</v>
      </c>
      <c r="P207" s="12">
        <v>1.18073820267194E-3</v>
      </c>
      <c r="Q207" s="12">
        <v>2.9490785094528102E-3</v>
      </c>
      <c r="R207" s="12">
        <v>0.171370967741935</v>
      </c>
      <c r="S207" s="14">
        <v>34</v>
      </c>
      <c r="T207" s="12">
        <v>0.22859508944099799</v>
      </c>
      <c r="U207" s="14">
        <v>997</v>
      </c>
      <c r="V207" s="14">
        <v>1</v>
      </c>
      <c r="W207" s="12">
        <v>5.4999999999999997E-3</v>
      </c>
      <c r="X207" s="12">
        <v>0.23409508944099799</v>
      </c>
      <c r="Y207" s="14">
        <v>997</v>
      </c>
      <c r="Z207" s="14">
        <v>33</v>
      </c>
      <c r="AA207" s="12" t="s">
        <v>2367</v>
      </c>
    </row>
    <row r="208" spans="1:27" ht="14.25" x14ac:dyDescent="0.45">
      <c r="A208" s="12" t="s">
        <v>561</v>
      </c>
      <c r="B208" s="12" t="s">
        <v>1971</v>
      </c>
      <c r="C208" s="12" t="s">
        <v>1972</v>
      </c>
      <c r="D208" s="12" t="s">
        <v>1975</v>
      </c>
      <c r="E208" s="20">
        <v>33762</v>
      </c>
      <c r="F208" s="20">
        <v>44221</v>
      </c>
      <c r="G208" s="12">
        <v>51.12</v>
      </c>
      <c r="H208" s="12">
        <v>11.3333333333333</v>
      </c>
      <c r="I208" s="13">
        <v>4.5105882352941196</v>
      </c>
      <c r="J208" s="12" t="s">
        <v>561</v>
      </c>
      <c r="K208" s="14">
        <v>467</v>
      </c>
      <c r="L208" s="14">
        <v>860</v>
      </c>
      <c r="M208" s="14">
        <v>483</v>
      </c>
      <c r="N208" s="12">
        <v>51.12</v>
      </c>
      <c r="O208" s="12" t="s">
        <v>561</v>
      </c>
      <c r="P208" s="12">
        <v>8.2233429047124905E-3</v>
      </c>
      <c r="Q208" s="12">
        <v>2.0539086294717599E-2</v>
      </c>
      <c r="R208" s="12">
        <v>0.171370967741935</v>
      </c>
      <c r="S208" s="14">
        <v>30</v>
      </c>
      <c r="T208" s="12">
        <v>1.5920682523465699</v>
      </c>
      <c r="U208" s="14">
        <v>479</v>
      </c>
      <c r="V208" s="14">
        <v>3</v>
      </c>
      <c r="W208" s="12">
        <v>5.7000000000000002E-3</v>
      </c>
      <c r="X208" s="12">
        <v>1.5977682523465699</v>
      </c>
      <c r="Y208" s="14">
        <v>479</v>
      </c>
      <c r="Z208" s="14">
        <v>30</v>
      </c>
      <c r="AA208" s="12" t="s">
        <v>2367</v>
      </c>
    </row>
    <row r="209" spans="1:27" ht="14.25" x14ac:dyDescent="0.45">
      <c r="A209" s="12" t="s">
        <v>570</v>
      </c>
      <c r="B209" s="12" t="s">
        <v>1971</v>
      </c>
      <c r="C209" s="12" t="s">
        <v>1972</v>
      </c>
      <c r="D209" s="12" t="s">
        <v>2012</v>
      </c>
      <c r="E209" s="20">
        <v>35332</v>
      </c>
      <c r="F209" s="20">
        <v>44222</v>
      </c>
      <c r="G209" s="12">
        <v>98.44</v>
      </c>
      <c r="H209" s="12">
        <v>11.3</v>
      </c>
      <c r="I209" s="13">
        <v>8.7115044247787594</v>
      </c>
      <c r="J209" s="12" t="s">
        <v>570</v>
      </c>
      <c r="K209" s="14">
        <v>331</v>
      </c>
      <c r="L209" s="14">
        <v>879</v>
      </c>
      <c r="M209" s="14">
        <v>388</v>
      </c>
      <c r="N209" s="12">
        <v>98.44</v>
      </c>
      <c r="O209" s="12" t="s">
        <v>570</v>
      </c>
      <c r="P209" s="12">
        <v>1.58354044510935E-2</v>
      </c>
      <c r="Q209" s="12">
        <v>3.9668072500454801E-2</v>
      </c>
      <c r="R209" s="12">
        <v>0.170866935483871</v>
      </c>
      <c r="S209" s="14">
        <v>26</v>
      </c>
      <c r="T209" s="12">
        <v>3.0730821981944301</v>
      </c>
      <c r="U209" s="14">
        <v>371</v>
      </c>
      <c r="V209" s="14">
        <v>5</v>
      </c>
      <c r="W209" s="12">
        <v>5.8999999999999999E-3</v>
      </c>
      <c r="X209" s="12">
        <v>3.0789821981944301</v>
      </c>
      <c r="Y209" s="14">
        <v>371</v>
      </c>
      <c r="Z209" s="14">
        <v>25</v>
      </c>
      <c r="AA209" s="12" t="s">
        <v>2367</v>
      </c>
    </row>
    <row r="210" spans="1:27" ht="14.25" x14ac:dyDescent="0.45">
      <c r="A210" s="12" t="s">
        <v>573</v>
      </c>
      <c r="B210" s="12" t="s">
        <v>1971</v>
      </c>
      <c r="C210" s="12" t="s">
        <v>1972</v>
      </c>
      <c r="D210" s="12" t="s">
        <v>1993</v>
      </c>
      <c r="E210" s="20">
        <v>34691</v>
      </c>
      <c r="F210" s="20">
        <v>44106</v>
      </c>
      <c r="G210" s="12">
        <v>0.03</v>
      </c>
      <c r="H210" s="12">
        <v>15.1666666666667</v>
      </c>
      <c r="I210" s="13">
        <v>1.9780219780219802E-3</v>
      </c>
      <c r="J210" s="12" t="s">
        <v>573</v>
      </c>
      <c r="K210" s="14">
        <v>1811</v>
      </c>
      <c r="L210" s="14">
        <v>498</v>
      </c>
      <c r="M210" s="14">
        <v>1895</v>
      </c>
      <c r="N210" s="12">
        <v>0.03</v>
      </c>
      <c r="O210" s="12" t="s">
        <v>573</v>
      </c>
      <c r="P210" s="12">
        <v>4.8259054605120303E-6</v>
      </c>
      <c r="Q210" s="12">
        <v>9.0069769130217195E-6</v>
      </c>
      <c r="R210" s="12">
        <v>0.22933467741935501</v>
      </c>
      <c r="S210" s="14">
        <v>28</v>
      </c>
      <c r="T210" s="12">
        <v>7.4390751183305796E-4</v>
      </c>
      <c r="U210" s="14">
        <v>1926</v>
      </c>
      <c r="V210" s="14">
        <v>1</v>
      </c>
      <c r="W210" s="12">
        <v>5.4999999999999997E-3</v>
      </c>
      <c r="X210" s="12">
        <v>6.2439075118330602E-3</v>
      </c>
      <c r="Y210" s="14">
        <v>1926</v>
      </c>
      <c r="Z210" s="14">
        <v>27</v>
      </c>
      <c r="AA210" s="12" t="s">
        <v>2367</v>
      </c>
    </row>
    <row r="211" spans="1:27" ht="14.25" x14ac:dyDescent="0.45">
      <c r="A211" s="12" t="s">
        <v>580</v>
      </c>
      <c r="B211" s="12" t="s">
        <v>1971</v>
      </c>
      <c r="C211" s="12" t="s">
        <v>1972</v>
      </c>
      <c r="D211" s="12" t="s">
        <v>1997</v>
      </c>
      <c r="E211" s="20">
        <v>34428</v>
      </c>
      <c r="F211" s="20">
        <v>44176</v>
      </c>
      <c r="G211" s="12">
        <v>4.29</v>
      </c>
      <c r="H211" s="12">
        <v>12.8333333333333</v>
      </c>
      <c r="I211" s="13">
        <v>0.33428571428571402</v>
      </c>
      <c r="J211" s="12" t="s">
        <v>580</v>
      </c>
      <c r="K211" s="14">
        <v>1199</v>
      </c>
      <c r="L211" s="14">
        <v>696</v>
      </c>
      <c r="M211" s="14">
        <v>1088</v>
      </c>
      <c r="N211" s="12">
        <v>4.29</v>
      </c>
      <c r="O211" s="12" t="s">
        <v>580</v>
      </c>
      <c r="P211" s="12">
        <v>6.9010448085321996E-4</v>
      </c>
      <c r="Q211" s="12">
        <v>1.5221790983006699E-3</v>
      </c>
      <c r="R211" s="12">
        <v>0.194052419354839</v>
      </c>
      <c r="S211" s="14">
        <v>28</v>
      </c>
      <c r="T211" s="12">
        <v>0.121015111675788</v>
      </c>
      <c r="U211" s="14">
        <v>1228</v>
      </c>
      <c r="V211" s="14">
        <v>3</v>
      </c>
      <c r="W211" s="12">
        <v>5.7000000000000002E-3</v>
      </c>
      <c r="X211" s="12">
        <v>0.126715111675788</v>
      </c>
      <c r="Y211" s="14">
        <v>1226</v>
      </c>
      <c r="Z211" s="14">
        <v>28</v>
      </c>
      <c r="AA211" s="12" t="s">
        <v>2367</v>
      </c>
    </row>
    <row r="212" spans="1:27" ht="14.25" x14ac:dyDescent="0.45">
      <c r="A212" s="12" t="s">
        <v>581</v>
      </c>
      <c r="B212" s="12" t="s">
        <v>1971</v>
      </c>
      <c r="C212" s="12" t="s">
        <v>1972</v>
      </c>
      <c r="D212" s="12" t="s">
        <v>1975</v>
      </c>
      <c r="E212" s="20">
        <v>33204</v>
      </c>
      <c r="F212" s="20">
        <v>43774</v>
      </c>
      <c r="G212" s="12">
        <v>39.93</v>
      </c>
      <c r="H212" s="12">
        <v>26.233333333333299</v>
      </c>
      <c r="I212" s="13">
        <v>1.52210927573062</v>
      </c>
      <c r="J212" s="12" t="s">
        <v>581</v>
      </c>
      <c r="K212" s="14">
        <v>730</v>
      </c>
      <c r="L212" s="14">
        <v>360</v>
      </c>
      <c r="M212" s="14">
        <v>521</v>
      </c>
      <c r="N212" s="12">
        <v>39.93</v>
      </c>
      <c r="O212" s="12" t="s">
        <v>581</v>
      </c>
      <c r="P212" s="12">
        <v>6.4232801679415096E-3</v>
      </c>
      <c r="Q212" s="12">
        <v>6.9309660144987496E-3</v>
      </c>
      <c r="R212" s="12">
        <v>0.39667338709677402</v>
      </c>
      <c r="S212" s="14">
        <v>32</v>
      </c>
      <c r="T212" s="12">
        <v>0.67405838220397896</v>
      </c>
      <c r="U212" s="14">
        <v>731</v>
      </c>
      <c r="V212" s="14">
        <v>2</v>
      </c>
      <c r="W212" s="12">
        <v>5.5999999999999999E-3</v>
      </c>
      <c r="X212" s="12">
        <v>0.67965838220397901</v>
      </c>
      <c r="Y212" s="14">
        <v>731</v>
      </c>
      <c r="Z212" s="14">
        <v>31</v>
      </c>
      <c r="AA212" s="12" t="s">
        <v>2367</v>
      </c>
    </row>
    <row r="213" spans="1:27" ht="14.25" x14ac:dyDescent="0.45">
      <c r="A213" s="12" t="s">
        <v>583</v>
      </c>
      <c r="B213" s="12" t="s">
        <v>1971</v>
      </c>
      <c r="C213" s="12" t="s">
        <v>1972</v>
      </c>
      <c r="D213" s="12" t="s">
        <v>2026</v>
      </c>
      <c r="E213" s="20">
        <v>33195</v>
      </c>
      <c r="F213" s="20">
        <v>44216</v>
      </c>
      <c r="G213" s="12">
        <v>157.62</v>
      </c>
      <c r="H213" s="12">
        <v>11.5</v>
      </c>
      <c r="I213" s="13">
        <v>13.7060869565217</v>
      </c>
      <c r="J213" s="12" t="s">
        <v>583</v>
      </c>
      <c r="K213" s="14">
        <v>213</v>
      </c>
      <c r="L213" s="14">
        <v>841</v>
      </c>
      <c r="M213" s="14">
        <v>319</v>
      </c>
      <c r="N213" s="12">
        <v>157.62</v>
      </c>
      <c r="O213" s="12" t="s">
        <v>583</v>
      </c>
      <c r="P213" s="12">
        <v>2.5355307289530199E-2</v>
      </c>
      <c r="Q213" s="12">
        <v>6.2411039996992303E-2</v>
      </c>
      <c r="R213" s="12">
        <v>0.17389112903225801</v>
      </c>
      <c r="S213" s="14">
        <v>32</v>
      </c>
      <c r="T213" s="12">
        <v>4.8515140231693996</v>
      </c>
      <c r="U213" s="14">
        <v>268</v>
      </c>
      <c r="V213" s="14">
        <v>7</v>
      </c>
      <c r="W213" s="12">
        <v>6.1000000000000004E-3</v>
      </c>
      <c r="X213" s="12">
        <v>4.8576140231693996</v>
      </c>
      <c r="Y213" s="14">
        <v>268</v>
      </c>
      <c r="Z213" s="14">
        <v>31</v>
      </c>
      <c r="AA213" s="12" t="s">
        <v>2367</v>
      </c>
    </row>
    <row r="214" spans="1:27" ht="14.25" x14ac:dyDescent="0.45">
      <c r="A214" s="12" t="s">
        <v>584</v>
      </c>
      <c r="B214" s="12" t="s">
        <v>1971</v>
      </c>
      <c r="C214" s="12" t="s">
        <v>1972</v>
      </c>
      <c r="D214" s="12" t="s">
        <v>1975</v>
      </c>
      <c r="E214" s="20">
        <v>33035</v>
      </c>
      <c r="F214" s="20">
        <v>43719</v>
      </c>
      <c r="G214" s="12">
        <v>4.38</v>
      </c>
      <c r="H214" s="12">
        <v>28.066666666666698</v>
      </c>
      <c r="I214" s="13">
        <v>0.15605700712589099</v>
      </c>
      <c r="J214" s="12" t="s">
        <v>584</v>
      </c>
      <c r="K214" s="14">
        <v>1403</v>
      </c>
      <c r="L214" s="14">
        <v>288</v>
      </c>
      <c r="M214" s="14">
        <v>1077</v>
      </c>
      <c r="N214" s="12">
        <v>4.38</v>
      </c>
      <c r="O214" s="12" t="s">
        <v>584</v>
      </c>
      <c r="P214" s="12">
        <v>7.0458219723475602E-4</v>
      </c>
      <c r="Q214" s="12">
        <v>7.10609829372961E-4</v>
      </c>
      <c r="R214" s="12">
        <v>0.42439516129032301</v>
      </c>
      <c r="S214" s="14">
        <v>32</v>
      </c>
      <c r="T214" s="12">
        <v>7.0834946732113394E-2</v>
      </c>
      <c r="U214" s="14">
        <v>1442</v>
      </c>
      <c r="V214" s="14">
        <v>1</v>
      </c>
      <c r="W214" s="12">
        <v>5.4999999999999997E-3</v>
      </c>
      <c r="X214" s="12">
        <v>7.6334946732113398E-2</v>
      </c>
      <c r="Y214" s="14">
        <v>1442</v>
      </c>
      <c r="Z214" s="14">
        <v>32</v>
      </c>
      <c r="AA214" s="12" t="s">
        <v>2367</v>
      </c>
    </row>
    <row r="215" spans="1:27" ht="14.25" x14ac:dyDescent="0.45">
      <c r="A215" s="12" t="s">
        <v>592</v>
      </c>
      <c r="B215" s="12" t="s">
        <v>1971</v>
      </c>
      <c r="C215" s="12" t="s">
        <v>1972</v>
      </c>
      <c r="D215" s="12" t="s">
        <v>1995</v>
      </c>
      <c r="E215" s="20">
        <v>32099</v>
      </c>
      <c r="F215" s="20">
        <v>44203</v>
      </c>
      <c r="G215" s="12">
        <v>278.48</v>
      </c>
      <c r="H215" s="12">
        <v>11.9333333333333</v>
      </c>
      <c r="I215" s="13">
        <v>23.336312849161999</v>
      </c>
      <c r="J215" s="12" t="s">
        <v>592</v>
      </c>
      <c r="K215" s="14">
        <v>114</v>
      </c>
      <c r="L215" s="14">
        <v>787</v>
      </c>
      <c r="M215" s="14">
        <v>237</v>
      </c>
      <c r="N215" s="12">
        <v>278.48</v>
      </c>
      <c r="O215" s="12" t="s">
        <v>592</v>
      </c>
      <c r="P215" s="12">
        <v>4.47972717547796E-2</v>
      </c>
      <c r="Q215" s="12">
        <v>0.106262535706324</v>
      </c>
      <c r="R215" s="12">
        <v>0.180443548387097</v>
      </c>
      <c r="S215" s="14">
        <v>35</v>
      </c>
      <c r="T215" s="12">
        <v>8.3213061724494999</v>
      </c>
      <c r="U215" s="14">
        <v>141</v>
      </c>
      <c r="V215" s="14">
        <v>8</v>
      </c>
      <c r="W215" s="12">
        <v>6.1999999999999998E-3</v>
      </c>
      <c r="X215" s="12">
        <v>8.3275061724494996</v>
      </c>
      <c r="Y215" s="14">
        <v>141</v>
      </c>
      <c r="Z215" s="14">
        <v>34</v>
      </c>
      <c r="AA215" s="12" t="s">
        <v>2367</v>
      </c>
    </row>
    <row r="216" spans="1:27" ht="14.25" x14ac:dyDescent="0.45">
      <c r="A216" s="12" t="s">
        <v>595</v>
      </c>
      <c r="B216" s="12" t="s">
        <v>1971</v>
      </c>
      <c r="C216" s="12" t="s">
        <v>1972</v>
      </c>
      <c r="D216" s="12" t="s">
        <v>1975</v>
      </c>
      <c r="E216" s="20">
        <v>32129</v>
      </c>
      <c r="F216" s="20">
        <v>43704</v>
      </c>
      <c r="G216" s="12">
        <v>1209.7</v>
      </c>
      <c r="H216" s="12">
        <v>28.566666666666698</v>
      </c>
      <c r="I216" s="13">
        <v>42.346557759626599</v>
      </c>
      <c r="J216" s="12" t="s">
        <v>595</v>
      </c>
      <c r="K216" s="14">
        <v>55</v>
      </c>
      <c r="L216" s="14">
        <v>266</v>
      </c>
      <c r="M216" s="14">
        <v>39</v>
      </c>
      <c r="N216" s="12">
        <v>1209.7</v>
      </c>
      <c r="O216" s="12" t="s">
        <v>595</v>
      </c>
      <c r="P216" s="12">
        <v>0.19459659451938</v>
      </c>
      <c r="Q216" s="12">
        <v>0.19282620331059799</v>
      </c>
      <c r="R216" s="12">
        <v>0.43195564516128998</v>
      </c>
      <c r="S216" s="14">
        <v>35</v>
      </c>
      <c r="T216" s="12">
        <v>19.3490100013891</v>
      </c>
      <c r="U216" s="14">
        <v>53</v>
      </c>
      <c r="V216" s="14">
        <v>25</v>
      </c>
      <c r="W216" s="12">
        <v>7.4999999999999997E-3</v>
      </c>
      <c r="X216" s="12">
        <v>19.3565100013891</v>
      </c>
      <c r="Y216" s="14">
        <v>53</v>
      </c>
      <c r="Z216" s="14">
        <v>34</v>
      </c>
      <c r="AA216" s="12" t="s">
        <v>2367</v>
      </c>
    </row>
    <row r="217" spans="1:27" ht="14.25" x14ac:dyDescent="0.45">
      <c r="A217" s="12" t="s">
        <v>596</v>
      </c>
      <c r="B217" s="12" t="s">
        <v>1971</v>
      </c>
      <c r="C217" s="12" t="s">
        <v>1972</v>
      </c>
      <c r="D217" s="12" t="s">
        <v>2020</v>
      </c>
      <c r="E217" s="20">
        <v>32764</v>
      </c>
      <c r="F217" s="20">
        <v>44221</v>
      </c>
      <c r="G217" s="12">
        <v>59.52</v>
      </c>
      <c r="H217" s="12">
        <v>11.3333333333333</v>
      </c>
      <c r="I217" s="13">
        <v>5.2517647058823496</v>
      </c>
      <c r="J217" s="12" t="s">
        <v>596</v>
      </c>
      <c r="K217" s="14">
        <v>432</v>
      </c>
      <c r="L217" s="14">
        <v>860</v>
      </c>
      <c r="M217" s="14">
        <v>454</v>
      </c>
      <c r="N217" s="12">
        <v>59.52</v>
      </c>
      <c r="O217" s="12" t="s">
        <v>596</v>
      </c>
      <c r="P217" s="12">
        <v>9.5745964336558607E-3</v>
      </c>
      <c r="Q217" s="12">
        <v>2.3914053526244001E-2</v>
      </c>
      <c r="R217" s="12">
        <v>0.171370967741935</v>
      </c>
      <c r="S217" s="14">
        <v>33</v>
      </c>
      <c r="T217" s="12">
        <v>1.8536757116523499</v>
      </c>
      <c r="U217" s="14">
        <v>449</v>
      </c>
      <c r="V217" s="14">
        <v>4</v>
      </c>
      <c r="W217" s="12">
        <v>5.7999999999999996E-3</v>
      </c>
      <c r="X217" s="12">
        <v>1.8594757116523499</v>
      </c>
      <c r="Y217" s="14">
        <v>448</v>
      </c>
      <c r="Z217" s="14">
        <v>32</v>
      </c>
      <c r="AA217" s="12" t="s">
        <v>2367</v>
      </c>
    </row>
    <row r="218" spans="1:27" ht="14.25" x14ac:dyDescent="0.45">
      <c r="A218" s="12" t="s">
        <v>615</v>
      </c>
      <c r="B218" s="12" t="s">
        <v>1971</v>
      </c>
      <c r="C218" s="12" t="s">
        <v>1972</v>
      </c>
      <c r="D218" s="12" t="s">
        <v>1993</v>
      </c>
      <c r="E218" s="20">
        <v>32203</v>
      </c>
      <c r="F218" s="20">
        <v>43896</v>
      </c>
      <c r="G218" s="12">
        <v>8</v>
      </c>
      <c r="H218" s="12">
        <v>22.1666666666667</v>
      </c>
      <c r="I218" s="13">
        <v>0.360902255639098</v>
      </c>
      <c r="J218" s="12" t="s">
        <v>615</v>
      </c>
      <c r="K218" s="14">
        <v>1175</v>
      </c>
      <c r="L218" s="14">
        <v>423</v>
      </c>
      <c r="M218" s="14">
        <v>891</v>
      </c>
      <c r="N218" s="12">
        <v>8</v>
      </c>
      <c r="O218" s="12" t="s">
        <v>615</v>
      </c>
      <c r="P218" s="12">
        <v>1.2869081228032099E-3</v>
      </c>
      <c r="Q218" s="12">
        <v>1.6433782437793999E-3</v>
      </c>
      <c r="R218" s="12">
        <v>0.33518145161290303</v>
      </c>
      <c r="S218" s="14">
        <v>34</v>
      </c>
      <c r="T218" s="12">
        <v>0.15097019484133301</v>
      </c>
      <c r="U218" s="14">
        <v>1156</v>
      </c>
      <c r="V218" s="14">
        <v>2</v>
      </c>
      <c r="W218" s="12">
        <v>5.5999999999999999E-3</v>
      </c>
      <c r="X218" s="12">
        <v>0.156570194841333</v>
      </c>
      <c r="Y218" s="14">
        <v>1156</v>
      </c>
      <c r="Z218" s="14">
        <v>34</v>
      </c>
      <c r="AA218" s="12" t="s">
        <v>2367</v>
      </c>
    </row>
    <row r="219" spans="1:27" ht="14.25" x14ac:dyDescent="0.45">
      <c r="A219" s="12" t="s">
        <v>670</v>
      </c>
      <c r="B219" s="12" t="s">
        <v>1971</v>
      </c>
      <c r="C219" s="12" t="s">
        <v>1972</v>
      </c>
      <c r="D219" s="12" t="s">
        <v>2007</v>
      </c>
      <c r="E219" s="20">
        <v>35048</v>
      </c>
      <c r="F219" s="20">
        <v>44264</v>
      </c>
      <c r="G219" s="12">
        <v>1.5</v>
      </c>
      <c r="H219" s="12">
        <v>9.9</v>
      </c>
      <c r="I219" s="13">
        <v>0.15151515151515199</v>
      </c>
      <c r="J219" s="12" t="s">
        <v>670</v>
      </c>
      <c r="K219" s="14">
        <v>1411</v>
      </c>
      <c r="L219" s="14">
        <v>969</v>
      </c>
      <c r="M219" s="14">
        <v>1480</v>
      </c>
      <c r="N219" s="12">
        <v>1.5</v>
      </c>
      <c r="O219" s="12" t="s">
        <v>670</v>
      </c>
      <c r="P219" s="12">
        <v>2.41295273025601E-4</v>
      </c>
      <c r="Q219" s="12">
        <v>6.8992836623314496E-4</v>
      </c>
      <c r="R219" s="12">
        <v>0.149697580645161</v>
      </c>
      <c r="S219" s="14">
        <v>27</v>
      </c>
      <c r="T219" s="12">
        <v>5.2169095628031598E-2</v>
      </c>
      <c r="U219" s="14">
        <v>1510</v>
      </c>
      <c r="V219" s="14">
        <v>1</v>
      </c>
      <c r="W219" s="12">
        <v>5.4999999999999997E-3</v>
      </c>
      <c r="X219" s="12">
        <v>5.7669095628031602E-2</v>
      </c>
      <c r="Y219" s="14">
        <v>1511</v>
      </c>
      <c r="Z219" s="14">
        <v>26</v>
      </c>
      <c r="AA219" s="12" t="s">
        <v>2367</v>
      </c>
    </row>
    <row r="220" spans="1:27" ht="14.25" x14ac:dyDescent="0.45">
      <c r="A220" s="12" t="s">
        <v>719</v>
      </c>
      <c r="B220" s="12" t="s">
        <v>1971</v>
      </c>
      <c r="C220" s="12" t="s">
        <v>1972</v>
      </c>
      <c r="D220" s="12" t="s">
        <v>1990</v>
      </c>
      <c r="E220" s="20">
        <v>32457</v>
      </c>
      <c r="F220" s="20">
        <v>42790</v>
      </c>
      <c r="G220" s="12">
        <v>5.74</v>
      </c>
      <c r="H220" s="12">
        <v>59.033333333333303</v>
      </c>
      <c r="I220" s="13">
        <v>9.7233201581027703E-2</v>
      </c>
      <c r="J220" s="12" t="s">
        <v>719</v>
      </c>
      <c r="K220" s="14">
        <v>1503</v>
      </c>
      <c r="L220" s="14">
        <v>4</v>
      </c>
      <c r="M220" s="14">
        <v>984</v>
      </c>
      <c r="N220" s="12">
        <v>5.74</v>
      </c>
      <c r="O220" s="12" t="s">
        <v>719</v>
      </c>
      <c r="P220" s="12">
        <v>9.2335657811130098E-4</v>
      </c>
      <c r="Q220" s="12">
        <v>4.4275402980874901E-4</v>
      </c>
      <c r="R220" s="12">
        <v>0.89264112903225801</v>
      </c>
      <c r="S220" s="14">
        <v>34</v>
      </c>
      <c r="T220" s="12">
        <v>6.2297998542220602E-2</v>
      </c>
      <c r="U220" s="14">
        <v>1472</v>
      </c>
      <c r="V220" s="14">
        <v>2</v>
      </c>
      <c r="W220" s="12">
        <v>5.5999999999999999E-3</v>
      </c>
      <c r="X220" s="12">
        <v>6.7897998542220603E-2</v>
      </c>
      <c r="Y220" s="14">
        <v>1472</v>
      </c>
      <c r="Z220" s="14">
        <v>33</v>
      </c>
      <c r="AA220" s="12" t="s">
        <v>2367</v>
      </c>
    </row>
    <row r="221" spans="1:27" ht="14.25" x14ac:dyDescent="0.45">
      <c r="A221" s="12" t="s">
        <v>727</v>
      </c>
      <c r="B221" s="12" t="s">
        <v>1971</v>
      </c>
      <c r="C221" s="12" t="s">
        <v>1972</v>
      </c>
      <c r="D221" s="12" t="s">
        <v>2007</v>
      </c>
      <c r="E221" s="20">
        <v>32335</v>
      </c>
      <c r="F221" s="20">
        <v>43714</v>
      </c>
      <c r="G221" s="12">
        <v>82.65</v>
      </c>
      <c r="H221" s="12">
        <v>28.233333333333299</v>
      </c>
      <c r="I221" s="13">
        <v>2.9273907910271499</v>
      </c>
      <c r="J221" s="12" t="s">
        <v>727</v>
      </c>
      <c r="K221" s="14">
        <v>562</v>
      </c>
      <c r="L221" s="14">
        <v>280</v>
      </c>
      <c r="M221" s="14">
        <v>405</v>
      </c>
      <c r="N221" s="12">
        <v>82.65</v>
      </c>
      <c r="O221" s="12" t="s">
        <v>727</v>
      </c>
      <c r="P221" s="12">
        <v>1.32953695437106E-2</v>
      </c>
      <c r="Q221" s="12">
        <v>1.33299536421435E-2</v>
      </c>
      <c r="R221" s="12">
        <v>0.42691532258064502</v>
      </c>
      <c r="S221" s="14">
        <v>34</v>
      </c>
      <c r="T221" s="12">
        <v>1.3316984605231199</v>
      </c>
      <c r="U221" s="14">
        <v>525</v>
      </c>
      <c r="V221" s="14">
        <v>4</v>
      </c>
      <c r="W221" s="12">
        <v>5.7999999999999996E-3</v>
      </c>
      <c r="X221" s="12">
        <v>1.3374984605231199</v>
      </c>
      <c r="Y221" s="14">
        <v>525</v>
      </c>
      <c r="Z221" s="14">
        <v>34</v>
      </c>
      <c r="AA221" s="12" t="s">
        <v>2367</v>
      </c>
    </row>
    <row r="222" spans="1:27" ht="14.25" x14ac:dyDescent="0.45">
      <c r="A222" s="12" t="s">
        <v>732</v>
      </c>
      <c r="B222" s="12" t="s">
        <v>1971</v>
      </c>
      <c r="C222" s="12" t="s">
        <v>1972</v>
      </c>
      <c r="D222" s="12" t="s">
        <v>1993</v>
      </c>
      <c r="E222" s="20">
        <v>32135</v>
      </c>
      <c r="F222" s="20">
        <v>44194</v>
      </c>
      <c r="G222" s="12">
        <v>9.6</v>
      </c>
      <c r="H222" s="12">
        <v>12.233333333333301</v>
      </c>
      <c r="I222" s="13">
        <v>0.78474114441416898</v>
      </c>
      <c r="J222" s="12" t="s">
        <v>732</v>
      </c>
      <c r="K222" s="14">
        <v>893</v>
      </c>
      <c r="L222" s="14">
        <v>745</v>
      </c>
      <c r="M222" s="14">
        <v>852</v>
      </c>
      <c r="N222" s="12">
        <v>9.6</v>
      </c>
      <c r="O222" s="12" t="s">
        <v>732</v>
      </c>
      <c r="P222" s="12">
        <v>1.54428974736385E-3</v>
      </c>
      <c r="Q222" s="12">
        <v>3.5733401594985402E-3</v>
      </c>
      <c r="R222" s="12">
        <v>0.18497983870967699</v>
      </c>
      <c r="S222" s="14">
        <v>35</v>
      </c>
      <c r="T222" s="12">
        <v>0.281244625494803</v>
      </c>
      <c r="U222" s="14">
        <v>940</v>
      </c>
      <c r="V222" s="14">
        <v>3</v>
      </c>
      <c r="W222" s="12">
        <v>5.7000000000000002E-3</v>
      </c>
      <c r="X222" s="12">
        <v>0.28694462549480299</v>
      </c>
      <c r="Y222" s="14">
        <v>940</v>
      </c>
      <c r="Z222" s="14">
        <v>34</v>
      </c>
      <c r="AA222" s="12" t="s">
        <v>2367</v>
      </c>
    </row>
    <row r="223" spans="1:27" ht="14.25" x14ac:dyDescent="0.45">
      <c r="A223" s="12" t="s">
        <v>734</v>
      </c>
      <c r="B223" s="12" t="s">
        <v>1971</v>
      </c>
      <c r="C223" s="12" t="s">
        <v>1972</v>
      </c>
      <c r="D223" s="12" t="s">
        <v>2026</v>
      </c>
      <c r="E223" s="20">
        <v>33389</v>
      </c>
      <c r="F223" s="20">
        <v>44247</v>
      </c>
      <c r="G223" s="12">
        <v>5.93</v>
      </c>
      <c r="H223" s="12">
        <v>10.466666666666701</v>
      </c>
      <c r="I223" s="13">
        <v>0.56656050955413995</v>
      </c>
      <c r="J223" s="12" t="s">
        <v>734</v>
      </c>
      <c r="K223" s="14">
        <v>1010</v>
      </c>
      <c r="L223" s="14">
        <v>951</v>
      </c>
      <c r="M223" s="14">
        <v>968</v>
      </c>
      <c r="N223" s="12">
        <v>5.93</v>
      </c>
      <c r="O223" s="12" t="s">
        <v>734</v>
      </c>
      <c r="P223" s="12">
        <v>9.5392064602787695E-4</v>
      </c>
      <c r="Q223" s="12">
        <v>2.5798487004107802E-3</v>
      </c>
      <c r="R223" s="12">
        <v>0.15826612903225801</v>
      </c>
      <c r="S223" s="14">
        <v>31</v>
      </c>
      <c r="T223" s="12">
        <v>0.19701256800171901</v>
      </c>
      <c r="U223" s="14">
        <v>1056</v>
      </c>
      <c r="V223" s="14">
        <v>6</v>
      </c>
      <c r="W223" s="12">
        <v>6.0000000000000001E-3</v>
      </c>
      <c r="X223" s="12">
        <v>0.20301256800171899</v>
      </c>
      <c r="Y223" s="14">
        <v>1056</v>
      </c>
      <c r="Z223" s="14">
        <v>31</v>
      </c>
      <c r="AA223" s="12" t="s">
        <v>2367</v>
      </c>
    </row>
    <row r="224" spans="1:27" ht="14.25" x14ac:dyDescent="0.45">
      <c r="A224" s="12" t="s">
        <v>737</v>
      </c>
      <c r="B224" s="12" t="s">
        <v>1971</v>
      </c>
      <c r="C224" s="12" t="s">
        <v>1972</v>
      </c>
      <c r="D224" s="12" t="s">
        <v>1975</v>
      </c>
      <c r="E224" s="20">
        <v>33393</v>
      </c>
      <c r="F224" s="20">
        <v>44222</v>
      </c>
      <c r="G224" s="12">
        <v>0.38</v>
      </c>
      <c r="H224" s="12">
        <v>11.3</v>
      </c>
      <c r="I224" s="13">
        <v>3.3628318584070803E-2</v>
      </c>
      <c r="J224" s="12" t="s">
        <v>737</v>
      </c>
      <c r="K224" s="14">
        <v>1645</v>
      </c>
      <c r="L224" s="14">
        <v>879</v>
      </c>
      <c r="M224" s="14">
        <v>1716</v>
      </c>
      <c r="N224" s="12">
        <v>0.38</v>
      </c>
      <c r="O224" s="12" t="s">
        <v>737</v>
      </c>
      <c r="P224" s="12">
        <v>6.1128135833152304E-5</v>
      </c>
      <c r="Q224" s="12">
        <v>1.5312746393917901E-4</v>
      </c>
      <c r="R224" s="12">
        <v>0.170866935483871</v>
      </c>
      <c r="S224" s="14">
        <v>31</v>
      </c>
      <c r="T224" s="12">
        <v>1.18627715899419E-2</v>
      </c>
      <c r="U224" s="14">
        <v>1744</v>
      </c>
      <c r="V224" s="14">
        <v>2</v>
      </c>
      <c r="W224" s="12">
        <v>5.5999999999999999E-3</v>
      </c>
      <c r="X224" s="12">
        <v>1.7462771589941899E-2</v>
      </c>
      <c r="Y224" s="14">
        <v>1744</v>
      </c>
      <c r="Z224" s="14">
        <v>31</v>
      </c>
      <c r="AA224" s="12" t="s">
        <v>2367</v>
      </c>
    </row>
    <row r="225" spans="1:27" ht="14.25" x14ac:dyDescent="0.45">
      <c r="A225" s="12" t="s">
        <v>738</v>
      </c>
      <c r="B225" s="12" t="s">
        <v>1971</v>
      </c>
      <c r="C225" s="12" t="s">
        <v>1972</v>
      </c>
      <c r="D225" s="12" t="s">
        <v>1973</v>
      </c>
      <c r="E225" s="20">
        <v>32399</v>
      </c>
      <c r="F225" s="20">
        <v>44180</v>
      </c>
      <c r="G225" s="12">
        <v>228.43</v>
      </c>
      <c r="H225" s="12">
        <v>12.7</v>
      </c>
      <c r="I225" s="13">
        <v>17.9866141732283</v>
      </c>
      <c r="J225" s="12" t="s">
        <v>738</v>
      </c>
      <c r="K225" s="14">
        <v>152</v>
      </c>
      <c r="L225" s="14">
        <v>704</v>
      </c>
      <c r="M225" s="14">
        <v>267</v>
      </c>
      <c r="N225" s="12">
        <v>228.43</v>
      </c>
      <c r="O225" s="12" t="s">
        <v>738</v>
      </c>
      <c r="P225" s="12">
        <v>3.6746052811492097E-2</v>
      </c>
      <c r="Q225" s="12">
        <v>8.1902537181969007E-2</v>
      </c>
      <c r="R225" s="12">
        <v>0.19203629032258099</v>
      </c>
      <c r="S225" s="14">
        <v>34</v>
      </c>
      <c r="T225" s="12">
        <v>6.4968855543040203</v>
      </c>
      <c r="U225" s="14">
        <v>203</v>
      </c>
      <c r="V225" s="14">
        <v>8</v>
      </c>
      <c r="W225" s="12">
        <v>6.1999999999999998E-3</v>
      </c>
      <c r="X225" s="12">
        <v>6.50308555430402</v>
      </c>
      <c r="Y225" s="14">
        <v>203</v>
      </c>
      <c r="Z225" s="14">
        <v>33</v>
      </c>
      <c r="AA225" s="12" t="s">
        <v>2367</v>
      </c>
    </row>
    <row r="226" spans="1:27" ht="14.25" x14ac:dyDescent="0.45">
      <c r="A226" s="12" t="s">
        <v>758</v>
      </c>
      <c r="B226" s="12" t="s">
        <v>1971</v>
      </c>
      <c r="C226" s="12" t="s">
        <v>1972</v>
      </c>
      <c r="D226" s="12" t="s">
        <v>1973</v>
      </c>
      <c r="E226" s="20">
        <v>32964</v>
      </c>
      <c r="F226" s="20">
        <v>44130</v>
      </c>
      <c r="G226" s="12">
        <v>26.77</v>
      </c>
      <c r="H226" s="12">
        <v>14.366666666666699</v>
      </c>
      <c r="I226" s="13">
        <v>1.8633410672853801</v>
      </c>
      <c r="J226" s="12" t="s">
        <v>758</v>
      </c>
      <c r="K226" s="14">
        <v>680</v>
      </c>
      <c r="L226" s="14">
        <v>577</v>
      </c>
      <c r="M226" s="14">
        <v>673</v>
      </c>
      <c r="N226" s="12">
        <v>26.77</v>
      </c>
      <c r="O226" s="12" t="s">
        <v>758</v>
      </c>
      <c r="P226" s="12">
        <v>4.3063163059302301E-3</v>
      </c>
      <c r="Q226" s="12">
        <v>8.4847742646963695E-3</v>
      </c>
      <c r="R226" s="12">
        <v>0.21723790322580599</v>
      </c>
      <c r="S226" s="14">
        <v>32</v>
      </c>
      <c r="T226" s="12">
        <v>0.69178525301590699</v>
      </c>
      <c r="U226" s="14">
        <v>717</v>
      </c>
      <c r="V226" s="14">
        <v>6</v>
      </c>
      <c r="W226" s="12">
        <v>6.0000000000000001E-3</v>
      </c>
      <c r="X226" s="12">
        <v>0.69778525301590699</v>
      </c>
      <c r="Y226" s="14">
        <v>716</v>
      </c>
      <c r="Z226" s="14">
        <v>32</v>
      </c>
      <c r="AA226" s="12" t="s">
        <v>2367</v>
      </c>
    </row>
    <row r="227" spans="1:27" ht="14.25" x14ac:dyDescent="0.45">
      <c r="A227" s="12" t="s">
        <v>762</v>
      </c>
      <c r="B227" s="12" t="s">
        <v>1971</v>
      </c>
      <c r="C227" s="12" t="s">
        <v>1972</v>
      </c>
      <c r="D227" s="12" t="s">
        <v>1993</v>
      </c>
      <c r="E227" s="20">
        <v>33129</v>
      </c>
      <c r="F227" s="20">
        <v>44180</v>
      </c>
      <c r="G227" s="12">
        <v>56.74</v>
      </c>
      <c r="H227" s="12">
        <v>12.7</v>
      </c>
      <c r="I227" s="13">
        <v>4.4677165354330697</v>
      </c>
      <c r="J227" s="12" t="s">
        <v>762</v>
      </c>
      <c r="K227" s="14">
        <v>469</v>
      </c>
      <c r="L227" s="14">
        <v>704</v>
      </c>
      <c r="M227" s="14">
        <v>465</v>
      </c>
      <c r="N227" s="12">
        <v>56.74</v>
      </c>
      <c r="O227" s="12" t="s">
        <v>762</v>
      </c>
      <c r="P227" s="12">
        <v>9.1273958609817494E-3</v>
      </c>
      <c r="Q227" s="12">
        <v>2.0343868842555402E-2</v>
      </c>
      <c r="R227" s="12">
        <v>0.19203629032258099</v>
      </c>
      <c r="S227" s="14">
        <v>32</v>
      </c>
      <c r="T227" s="12">
        <v>1.6137691474465301</v>
      </c>
      <c r="U227" s="14">
        <v>473</v>
      </c>
      <c r="V227" s="14">
        <v>4</v>
      </c>
      <c r="W227" s="12">
        <v>5.7999999999999996E-3</v>
      </c>
      <c r="X227" s="12">
        <v>1.6195691474465299</v>
      </c>
      <c r="Y227" s="14">
        <v>473</v>
      </c>
      <c r="Z227" s="14">
        <v>31</v>
      </c>
      <c r="AA227" s="12" t="s">
        <v>2367</v>
      </c>
    </row>
    <row r="228" spans="1:27" ht="14.25" x14ac:dyDescent="0.45">
      <c r="A228" s="12" t="s">
        <v>769</v>
      </c>
      <c r="B228" s="12" t="s">
        <v>1971</v>
      </c>
      <c r="C228" s="12" t="s">
        <v>1972</v>
      </c>
      <c r="D228" s="12" t="s">
        <v>2007</v>
      </c>
      <c r="E228" s="20">
        <v>34929</v>
      </c>
      <c r="F228" s="20">
        <v>44118</v>
      </c>
      <c r="G228" s="12">
        <v>0.05</v>
      </c>
      <c r="H228" s="12">
        <v>14.766666666666699</v>
      </c>
      <c r="I228" s="13">
        <v>3.3860045146726901E-3</v>
      </c>
      <c r="J228" s="12" t="s">
        <v>769</v>
      </c>
      <c r="K228" s="14">
        <v>1791</v>
      </c>
      <c r="L228" s="14">
        <v>546</v>
      </c>
      <c r="M228" s="14">
        <v>1878</v>
      </c>
      <c r="N228" s="12">
        <v>0.05</v>
      </c>
      <c r="O228" s="12" t="s">
        <v>769</v>
      </c>
      <c r="P228" s="12">
        <v>8.0431757675200496E-6</v>
      </c>
      <c r="Q228" s="12">
        <v>1.54182637149168E-5</v>
      </c>
      <c r="R228" s="12">
        <v>0.22328629032258099</v>
      </c>
      <c r="S228" s="14">
        <v>27</v>
      </c>
      <c r="T228" s="12">
        <v>1.2652605734643E-3</v>
      </c>
      <c r="U228" s="14">
        <v>1898</v>
      </c>
      <c r="V228" s="14">
        <v>1</v>
      </c>
      <c r="W228" s="12">
        <v>5.4999999999999997E-3</v>
      </c>
      <c r="X228" s="12">
        <v>6.7652605734642999E-3</v>
      </c>
      <c r="Y228" s="14">
        <v>1898</v>
      </c>
      <c r="Z228" s="14">
        <v>26</v>
      </c>
      <c r="AA228" s="12" t="s">
        <v>2367</v>
      </c>
    </row>
    <row r="229" spans="1:27" ht="14.25" x14ac:dyDescent="0.45">
      <c r="A229" s="12" t="s">
        <v>789</v>
      </c>
      <c r="B229" s="12" t="s">
        <v>1971</v>
      </c>
      <c r="C229" s="12" t="s">
        <v>1972</v>
      </c>
      <c r="D229" s="12" t="s">
        <v>2072</v>
      </c>
      <c r="E229" s="20">
        <v>33943</v>
      </c>
      <c r="F229" s="20">
        <v>44144</v>
      </c>
      <c r="G229" s="12">
        <v>57.26</v>
      </c>
      <c r="H229" s="12">
        <v>13.9</v>
      </c>
      <c r="I229" s="13">
        <v>4.1194244604316497</v>
      </c>
      <c r="J229" s="12" t="s">
        <v>789</v>
      </c>
      <c r="K229" s="14">
        <v>493</v>
      </c>
      <c r="L229" s="14">
        <v>610</v>
      </c>
      <c r="M229" s="14">
        <v>463</v>
      </c>
      <c r="N229" s="12">
        <v>57.26</v>
      </c>
      <c r="O229" s="12" t="s">
        <v>789</v>
      </c>
      <c r="P229" s="12">
        <v>9.2110448889639596E-3</v>
      </c>
      <c r="Q229" s="12">
        <v>1.8757911399522698E-2</v>
      </c>
      <c r="R229" s="12">
        <v>0.210181451612903</v>
      </c>
      <c r="S229" s="14">
        <v>30</v>
      </c>
      <c r="T229" s="12">
        <v>1.5177836458063201</v>
      </c>
      <c r="U229" s="14">
        <v>495</v>
      </c>
      <c r="V229" s="14">
        <v>15</v>
      </c>
      <c r="W229" s="12">
        <v>6.7999999999999996E-3</v>
      </c>
      <c r="X229" s="12">
        <v>1.52458364580632</v>
      </c>
      <c r="Y229" s="14">
        <v>495</v>
      </c>
      <c r="Z229" s="14">
        <v>29</v>
      </c>
      <c r="AA229" s="12" t="s">
        <v>2367</v>
      </c>
    </row>
    <row r="230" spans="1:27" ht="14.25" x14ac:dyDescent="0.45">
      <c r="A230" s="12" t="s">
        <v>793</v>
      </c>
      <c r="B230" s="12" t="s">
        <v>1971</v>
      </c>
      <c r="C230" s="12" t="s">
        <v>1972</v>
      </c>
      <c r="D230" s="12" t="s">
        <v>1975</v>
      </c>
      <c r="E230" s="20">
        <v>34950</v>
      </c>
      <c r="F230" s="20">
        <v>44264</v>
      </c>
      <c r="G230" s="12">
        <v>1.45</v>
      </c>
      <c r="H230" s="12">
        <v>9.9</v>
      </c>
      <c r="I230" s="13">
        <v>0.14646464646464599</v>
      </c>
      <c r="J230" s="12" t="s">
        <v>793</v>
      </c>
      <c r="K230" s="14">
        <v>1419</v>
      </c>
      <c r="L230" s="14">
        <v>969</v>
      </c>
      <c r="M230" s="14">
        <v>1483</v>
      </c>
      <c r="N230" s="12">
        <v>1.45</v>
      </c>
      <c r="O230" s="12" t="s">
        <v>793</v>
      </c>
      <c r="P230" s="12">
        <v>2.3325209725808099E-4</v>
      </c>
      <c r="Q230" s="12">
        <v>6.6693075402537397E-4</v>
      </c>
      <c r="R230" s="12">
        <v>0.149697580645161</v>
      </c>
      <c r="S230" s="14">
        <v>27</v>
      </c>
      <c r="T230" s="12">
        <v>5.0430125773763899E-2</v>
      </c>
      <c r="U230" s="14">
        <v>1517</v>
      </c>
      <c r="V230" s="14">
        <v>1</v>
      </c>
      <c r="W230" s="12">
        <v>5.4999999999999997E-3</v>
      </c>
      <c r="X230" s="12">
        <v>5.5930125773763897E-2</v>
      </c>
      <c r="Y230" s="14">
        <v>1519</v>
      </c>
      <c r="Z230" s="14">
        <v>26</v>
      </c>
      <c r="AA230" s="12" t="s">
        <v>2367</v>
      </c>
    </row>
    <row r="231" spans="1:27" ht="14.25" x14ac:dyDescent="0.45">
      <c r="A231" s="12" t="s">
        <v>800</v>
      </c>
      <c r="B231" s="12" t="s">
        <v>1971</v>
      </c>
      <c r="C231" s="12" t="s">
        <v>1972</v>
      </c>
      <c r="D231" s="12" t="s">
        <v>1995</v>
      </c>
      <c r="E231" s="20">
        <v>33675</v>
      </c>
      <c r="F231" s="20">
        <v>44151</v>
      </c>
      <c r="G231" s="12">
        <v>0.1</v>
      </c>
      <c r="H231" s="12">
        <v>13.6666666666667</v>
      </c>
      <c r="I231" s="13">
        <v>7.3170731707317103E-3</v>
      </c>
      <c r="J231" s="12" t="s">
        <v>800</v>
      </c>
      <c r="K231" s="14">
        <v>1762</v>
      </c>
      <c r="L231" s="14">
        <v>625</v>
      </c>
      <c r="M231" s="14">
        <v>1833</v>
      </c>
      <c r="N231" s="12">
        <v>0.1</v>
      </c>
      <c r="O231" s="12" t="s">
        <v>800</v>
      </c>
      <c r="P231" s="12">
        <v>1.6086351535040099E-5</v>
      </c>
      <c r="Q231" s="12">
        <v>3.3318491832722602E-5</v>
      </c>
      <c r="R231" s="12">
        <v>0.20665322580645201</v>
      </c>
      <c r="S231" s="14">
        <v>30</v>
      </c>
      <c r="T231" s="12">
        <v>2.68564392210917E-3</v>
      </c>
      <c r="U231" s="14">
        <v>1862</v>
      </c>
      <c r="V231" s="14">
        <v>1</v>
      </c>
      <c r="W231" s="12">
        <v>5.4999999999999997E-3</v>
      </c>
      <c r="X231" s="12">
        <v>8.1856439221091697E-3</v>
      </c>
      <c r="Y231" s="14">
        <v>1862</v>
      </c>
      <c r="Z231" s="14">
        <v>30</v>
      </c>
      <c r="AA231" s="12" t="s">
        <v>2367</v>
      </c>
    </row>
    <row r="232" spans="1:27" ht="14.25" x14ac:dyDescent="0.45">
      <c r="A232" s="12" t="s">
        <v>806</v>
      </c>
      <c r="B232" s="12" t="s">
        <v>1971</v>
      </c>
      <c r="C232" s="12" t="s">
        <v>1972</v>
      </c>
      <c r="D232" s="12" t="s">
        <v>1993</v>
      </c>
      <c r="E232" s="20">
        <v>32912</v>
      </c>
      <c r="F232" s="20">
        <v>44154</v>
      </c>
      <c r="G232" s="12">
        <v>58.48</v>
      </c>
      <c r="H232" s="12">
        <v>13.5666666666667</v>
      </c>
      <c r="I232" s="13">
        <v>4.3105651105651104</v>
      </c>
      <c r="J232" s="12" t="s">
        <v>806</v>
      </c>
      <c r="K232" s="14">
        <v>479</v>
      </c>
      <c r="L232" s="14">
        <v>640</v>
      </c>
      <c r="M232" s="14">
        <v>459</v>
      </c>
      <c r="N232" s="12">
        <v>58.48</v>
      </c>
      <c r="O232" s="12" t="s">
        <v>806</v>
      </c>
      <c r="P232" s="12">
        <v>9.4072983776914507E-3</v>
      </c>
      <c r="Q232" s="12">
        <v>1.9628275552206999E-2</v>
      </c>
      <c r="R232" s="12">
        <v>0.20514112903225801</v>
      </c>
      <c r="S232" s="14">
        <v>32</v>
      </c>
      <c r="T232" s="12">
        <v>1.5795409111763601</v>
      </c>
      <c r="U232" s="14">
        <v>482</v>
      </c>
      <c r="V232" s="14">
        <v>1</v>
      </c>
      <c r="W232" s="12">
        <v>5.4999999999999997E-3</v>
      </c>
      <c r="X232" s="12">
        <v>1.5850409111763699</v>
      </c>
      <c r="Y232" s="14">
        <v>482</v>
      </c>
      <c r="Z232" s="14">
        <v>32</v>
      </c>
      <c r="AA232" s="12" t="s">
        <v>2367</v>
      </c>
    </row>
    <row r="233" spans="1:27" ht="14.25" x14ac:dyDescent="0.45">
      <c r="A233" s="12" t="s">
        <v>808</v>
      </c>
      <c r="B233" s="12" t="s">
        <v>1971</v>
      </c>
      <c r="C233" s="12" t="s">
        <v>1972</v>
      </c>
      <c r="D233" s="12" t="s">
        <v>2007</v>
      </c>
      <c r="E233" s="20">
        <v>33883</v>
      </c>
      <c r="F233" s="20">
        <v>44295</v>
      </c>
      <c r="G233" s="12">
        <v>2.4900000000000002</v>
      </c>
      <c r="H233" s="12">
        <v>8.8666666666666707</v>
      </c>
      <c r="I233" s="13">
        <v>0.28082706766917298</v>
      </c>
      <c r="J233" s="12" t="s">
        <v>808</v>
      </c>
      <c r="K233" s="14">
        <v>1240</v>
      </c>
      <c r="L233" s="14">
        <v>1156</v>
      </c>
      <c r="M233" s="14">
        <v>1274</v>
      </c>
      <c r="N233" s="12">
        <v>2.4900000000000002</v>
      </c>
      <c r="O233" s="12" t="s">
        <v>808</v>
      </c>
      <c r="P233" s="12">
        <v>4.0055015322249801E-4</v>
      </c>
      <c r="Q233" s="12">
        <v>1.27875369594085E-3</v>
      </c>
      <c r="R233" s="12">
        <v>0.134072580645161</v>
      </c>
      <c r="S233" s="14">
        <v>30</v>
      </c>
      <c r="T233" s="12">
        <v>9.4942736742146594E-2</v>
      </c>
      <c r="U233" s="14">
        <v>1303</v>
      </c>
      <c r="V233" s="14">
        <v>1</v>
      </c>
      <c r="W233" s="12">
        <v>5.4999999999999997E-3</v>
      </c>
      <c r="X233" s="12">
        <v>0.100442736742147</v>
      </c>
      <c r="Y233" s="14">
        <v>1303</v>
      </c>
      <c r="Z233" s="14">
        <v>29</v>
      </c>
      <c r="AA233" s="12" t="s">
        <v>2367</v>
      </c>
    </row>
    <row r="234" spans="1:27" ht="14.25" x14ac:dyDescent="0.45">
      <c r="A234" s="12" t="s">
        <v>813</v>
      </c>
      <c r="B234" s="12" t="s">
        <v>1971</v>
      </c>
      <c r="C234" s="12" t="s">
        <v>1972</v>
      </c>
      <c r="D234" s="12" t="s">
        <v>1993</v>
      </c>
      <c r="E234" s="20">
        <v>35620</v>
      </c>
      <c r="F234" s="20">
        <v>44274</v>
      </c>
      <c r="G234" s="12">
        <v>23.09</v>
      </c>
      <c r="H234" s="12">
        <v>9.56666666666667</v>
      </c>
      <c r="I234" s="13">
        <v>2.4135888501742202</v>
      </c>
      <c r="J234" s="12" t="s">
        <v>813</v>
      </c>
      <c r="K234" s="14">
        <v>602</v>
      </c>
      <c r="L234" s="14">
        <v>1036</v>
      </c>
      <c r="M234" s="14">
        <v>697</v>
      </c>
      <c r="N234" s="12">
        <v>23.09</v>
      </c>
      <c r="O234" s="12" t="s">
        <v>813</v>
      </c>
      <c r="P234" s="12">
        <v>3.7143385694407599E-3</v>
      </c>
      <c r="Q234" s="12">
        <v>1.09903425202509E-2</v>
      </c>
      <c r="R234" s="12">
        <v>0.14465725806451599</v>
      </c>
      <c r="S234" s="14">
        <v>25</v>
      </c>
      <c r="T234" s="12">
        <v>0.82618410386971197</v>
      </c>
      <c r="U234" s="14">
        <v>659</v>
      </c>
      <c r="V234" s="14">
        <v>7</v>
      </c>
      <c r="W234" s="12">
        <v>6.1000000000000004E-3</v>
      </c>
      <c r="X234" s="12">
        <v>0.83228410386971197</v>
      </c>
      <c r="Y234" s="14">
        <v>659</v>
      </c>
      <c r="Z234" s="14">
        <v>25</v>
      </c>
      <c r="AA234" s="12" t="s">
        <v>2367</v>
      </c>
    </row>
    <row r="235" spans="1:27" ht="14.25" x14ac:dyDescent="0.45">
      <c r="A235" s="12" t="s">
        <v>817</v>
      </c>
      <c r="B235" s="12" t="s">
        <v>1971</v>
      </c>
      <c r="C235" s="12" t="s">
        <v>1972</v>
      </c>
      <c r="D235" s="12" t="s">
        <v>1975</v>
      </c>
      <c r="E235" s="20">
        <v>35009</v>
      </c>
      <c r="F235" s="20">
        <v>44301</v>
      </c>
      <c r="G235" s="12">
        <v>2</v>
      </c>
      <c r="H235" s="12">
        <v>8.6666666666666696</v>
      </c>
      <c r="I235" s="13">
        <v>0.230769230769231</v>
      </c>
      <c r="J235" s="12" t="s">
        <v>817</v>
      </c>
      <c r="K235" s="14">
        <v>1304</v>
      </c>
      <c r="L235" s="14">
        <v>1179</v>
      </c>
      <c r="M235" s="14">
        <v>1359</v>
      </c>
      <c r="N235" s="12">
        <v>2</v>
      </c>
      <c r="O235" s="12" t="s">
        <v>817</v>
      </c>
      <c r="P235" s="12">
        <v>3.2172703070080199E-4</v>
      </c>
      <c r="Q235" s="12">
        <v>1.05081397318587E-3</v>
      </c>
      <c r="R235" s="12">
        <v>0.13104838709677399</v>
      </c>
      <c r="S235" s="14">
        <v>27</v>
      </c>
      <c r="T235" s="12">
        <v>7.7740636975396807E-2</v>
      </c>
      <c r="U235" s="14">
        <v>1377</v>
      </c>
      <c r="V235" s="14">
        <v>1</v>
      </c>
      <c r="W235" s="12">
        <v>5.4999999999999997E-3</v>
      </c>
      <c r="X235" s="12">
        <v>8.3240636975396798E-2</v>
      </c>
      <c r="Y235" s="14">
        <v>1377</v>
      </c>
      <c r="Z235" s="14">
        <v>26</v>
      </c>
      <c r="AA235" s="12" t="s">
        <v>2367</v>
      </c>
    </row>
    <row r="236" spans="1:27" ht="14.25" x14ac:dyDescent="0.45">
      <c r="A236" s="12" t="s">
        <v>820</v>
      </c>
      <c r="B236" s="12" t="s">
        <v>1971</v>
      </c>
      <c r="C236" s="12" t="s">
        <v>1972</v>
      </c>
      <c r="D236" s="12" t="s">
        <v>1993</v>
      </c>
      <c r="E236" s="20">
        <v>32827</v>
      </c>
      <c r="F236" s="20">
        <v>44271</v>
      </c>
      <c r="G236" s="12">
        <v>2</v>
      </c>
      <c r="H236" s="12">
        <v>9.6666666666666696</v>
      </c>
      <c r="I236" s="13">
        <v>0.20689655172413801</v>
      </c>
      <c r="J236" s="12" t="s">
        <v>820</v>
      </c>
      <c r="K236" s="14">
        <v>1338</v>
      </c>
      <c r="L236" s="14">
        <v>1004</v>
      </c>
      <c r="M236" s="14">
        <v>1359</v>
      </c>
      <c r="N236" s="12">
        <v>2</v>
      </c>
      <c r="O236" s="12" t="s">
        <v>820</v>
      </c>
      <c r="P236" s="12">
        <v>3.2172703070080199E-4</v>
      </c>
      <c r="Q236" s="12">
        <v>9.4210907940801901E-4</v>
      </c>
      <c r="R236" s="12">
        <v>0.14616935483870999</v>
      </c>
      <c r="S236" s="14">
        <v>33</v>
      </c>
      <c r="T236" s="12">
        <v>7.0946581114281301E-2</v>
      </c>
      <c r="U236" s="14">
        <v>1439</v>
      </c>
      <c r="V236" s="14">
        <v>1</v>
      </c>
      <c r="W236" s="12">
        <v>5.4999999999999997E-3</v>
      </c>
      <c r="X236" s="12">
        <v>7.6446581114281306E-2</v>
      </c>
      <c r="Y236" s="14">
        <v>1439</v>
      </c>
      <c r="Z236" s="14">
        <v>32</v>
      </c>
      <c r="AA236" s="12" t="s">
        <v>2367</v>
      </c>
    </row>
    <row r="237" spans="1:27" ht="14.25" x14ac:dyDescent="0.45">
      <c r="A237" s="12" t="s">
        <v>824</v>
      </c>
      <c r="B237" s="12" t="s">
        <v>1971</v>
      </c>
      <c r="C237" s="12" t="s">
        <v>1972</v>
      </c>
      <c r="D237" s="12" t="s">
        <v>1990</v>
      </c>
      <c r="E237" s="20">
        <v>35300</v>
      </c>
      <c r="F237" s="20">
        <v>44221</v>
      </c>
      <c r="G237" s="12">
        <v>0.78</v>
      </c>
      <c r="H237" s="12">
        <v>11.3333333333333</v>
      </c>
      <c r="I237" s="13">
        <v>6.88235294117647E-2</v>
      </c>
      <c r="J237" s="12" t="s">
        <v>824</v>
      </c>
      <c r="K237" s="14">
        <v>1567</v>
      </c>
      <c r="L237" s="14">
        <v>860</v>
      </c>
      <c r="M237" s="14">
        <v>1603</v>
      </c>
      <c r="N237" s="12">
        <v>0.78</v>
      </c>
      <c r="O237" s="12" t="s">
        <v>824</v>
      </c>
      <c r="P237" s="12">
        <v>1.2547354197331301E-4</v>
      </c>
      <c r="Q237" s="12">
        <v>3.1338981435601997E-4</v>
      </c>
      <c r="R237" s="12">
        <v>0.171370967741935</v>
      </c>
      <c r="S237" s="14">
        <v>26</v>
      </c>
      <c r="T237" s="12">
        <v>2.42921212212505E-2</v>
      </c>
      <c r="U237" s="14">
        <v>1654</v>
      </c>
      <c r="V237" s="14">
        <v>1</v>
      </c>
      <c r="W237" s="12">
        <v>5.4999999999999997E-3</v>
      </c>
      <c r="X237" s="12">
        <v>2.9792121221250498E-2</v>
      </c>
      <c r="Y237" s="14">
        <v>1655</v>
      </c>
      <c r="Z237" s="14">
        <v>25</v>
      </c>
      <c r="AA237" s="12" t="s">
        <v>2367</v>
      </c>
    </row>
    <row r="238" spans="1:27" ht="14.25" x14ac:dyDescent="0.45">
      <c r="A238" s="12" t="s">
        <v>836</v>
      </c>
      <c r="B238" s="12" t="s">
        <v>1971</v>
      </c>
      <c r="C238" s="12" t="s">
        <v>1972</v>
      </c>
      <c r="D238" s="12" t="s">
        <v>1987</v>
      </c>
      <c r="E238" s="20">
        <v>34574</v>
      </c>
      <c r="F238" s="20">
        <v>44281</v>
      </c>
      <c r="G238" s="12">
        <v>113.77</v>
      </c>
      <c r="H238" s="12">
        <v>9.3333333333333304</v>
      </c>
      <c r="I238" s="13">
        <v>12.1896428571429</v>
      </c>
      <c r="J238" s="12" t="s">
        <v>836</v>
      </c>
      <c r="K238" s="14">
        <v>239</v>
      </c>
      <c r="L238" s="14">
        <v>1102</v>
      </c>
      <c r="M238" s="14">
        <v>365</v>
      </c>
      <c r="N238" s="12">
        <v>113.77</v>
      </c>
      <c r="O238" s="12" t="s">
        <v>836</v>
      </c>
      <c r="P238" s="12">
        <v>1.8301442141415099E-2</v>
      </c>
      <c r="Q238" s="12">
        <v>5.55058705172011E-2</v>
      </c>
      <c r="R238" s="12">
        <v>0.141129032258065</v>
      </c>
      <c r="S238" s="14">
        <v>28</v>
      </c>
      <c r="T238" s="12">
        <v>4.1554209876281298</v>
      </c>
      <c r="U238" s="14">
        <v>301</v>
      </c>
      <c r="V238" s="14">
        <v>5</v>
      </c>
      <c r="W238" s="12">
        <v>5.8999999999999999E-3</v>
      </c>
      <c r="X238" s="12">
        <v>4.1613209876281303</v>
      </c>
      <c r="Y238" s="14">
        <v>301</v>
      </c>
      <c r="Z238" s="14">
        <v>27</v>
      </c>
      <c r="AA238" s="12" t="s">
        <v>2367</v>
      </c>
    </row>
    <row r="239" spans="1:27" ht="14.25" x14ac:dyDescent="0.45">
      <c r="A239" s="12" t="s">
        <v>843</v>
      </c>
      <c r="B239" s="12" t="s">
        <v>1971</v>
      </c>
      <c r="C239" s="12" t="s">
        <v>1972</v>
      </c>
      <c r="D239" s="12" t="s">
        <v>2020</v>
      </c>
      <c r="E239" s="20">
        <v>31981</v>
      </c>
      <c r="F239" s="20">
        <v>43964</v>
      </c>
      <c r="G239" s="12">
        <v>0.01</v>
      </c>
      <c r="H239" s="12">
        <v>19.899999999999999</v>
      </c>
      <c r="I239" s="13">
        <v>5.0251256281406997E-4</v>
      </c>
      <c r="J239" s="12" t="s">
        <v>843</v>
      </c>
      <c r="K239" s="14">
        <v>1843</v>
      </c>
      <c r="L239" s="14">
        <v>453</v>
      </c>
      <c r="M239" s="14">
        <v>1944</v>
      </c>
      <c r="N239" s="12">
        <v>0.01</v>
      </c>
      <c r="O239" s="12" t="s">
        <v>843</v>
      </c>
      <c r="P239" s="12">
        <v>1.6086351535040101E-6</v>
      </c>
      <c r="Q239" s="12">
        <v>2.2882046317280201E-6</v>
      </c>
      <c r="R239" s="12">
        <v>0.30090725806451601</v>
      </c>
      <c r="S239" s="14">
        <v>35</v>
      </c>
      <c r="T239" s="12">
        <v>2.03336607739402E-4</v>
      </c>
      <c r="U239" s="14">
        <v>1959</v>
      </c>
      <c r="V239" s="14">
        <v>1</v>
      </c>
      <c r="W239" s="12">
        <v>5.4999999999999997E-3</v>
      </c>
      <c r="X239" s="12">
        <v>5.7033366077394003E-3</v>
      </c>
      <c r="Y239" s="14">
        <v>1959</v>
      </c>
      <c r="Z239" s="14">
        <v>34</v>
      </c>
      <c r="AA239" s="12" t="s">
        <v>2367</v>
      </c>
    </row>
    <row r="240" spans="1:27" ht="14.25" x14ac:dyDescent="0.45">
      <c r="A240" s="12" t="s">
        <v>845</v>
      </c>
      <c r="B240" s="12" t="s">
        <v>1971</v>
      </c>
      <c r="C240" s="12" t="s">
        <v>1972</v>
      </c>
      <c r="D240" s="12" t="s">
        <v>2007</v>
      </c>
      <c r="E240" s="20">
        <v>35486</v>
      </c>
      <c r="F240" s="20">
        <v>44305</v>
      </c>
      <c r="G240" s="12">
        <v>2</v>
      </c>
      <c r="H240" s="12">
        <v>8.5333333333333297</v>
      </c>
      <c r="I240" s="13">
        <v>0.234375</v>
      </c>
      <c r="J240" s="12" t="s">
        <v>845</v>
      </c>
      <c r="K240" s="14">
        <v>1303</v>
      </c>
      <c r="L240" s="14">
        <v>1193</v>
      </c>
      <c r="M240" s="14">
        <v>1359</v>
      </c>
      <c r="N240" s="12">
        <v>2</v>
      </c>
      <c r="O240" s="12" t="s">
        <v>845</v>
      </c>
      <c r="P240" s="12">
        <v>3.2172703070080199E-4</v>
      </c>
      <c r="Q240" s="12">
        <v>1.0672329415169E-3</v>
      </c>
      <c r="R240" s="12">
        <v>0.12903225806451599</v>
      </c>
      <c r="S240" s="14">
        <v>25</v>
      </c>
      <c r="T240" s="12">
        <v>7.8766822496086103E-2</v>
      </c>
      <c r="U240" s="14">
        <v>1370</v>
      </c>
      <c r="V240" s="14">
        <v>1</v>
      </c>
      <c r="W240" s="12">
        <v>5.4999999999999997E-3</v>
      </c>
      <c r="X240" s="12">
        <v>8.4266822496086094E-2</v>
      </c>
      <c r="Y240" s="14">
        <v>1370</v>
      </c>
      <c r="Z240" s="14">
        <v>25</v>
      </c>
      <c r="AA240" s="12" t="s">
        <v>2367</v>
      </c>
    </row>
    <row r="241" spans="1:27" ht="14.25" x14ac:dyDescent="0.45">
      <c r="A241" s="12" t="s">
        <v>847</v>
      </c>
      <c r="B241" s="12" t="s">
        <v>1971</v>
      </c>
      <c r="C241" s="12" t="s">
        <v>1972</v>
      </c>
      <c r="D241" s="12" t="s">
        <v>1990</v>
      </c>
      <c r="E241" s="20">
        <v>34452</v>
      </c>
      <c r="F241" s="20">
        <v>44285</v>
      </c>
      <c r="G241" s="12">
        <v>2.09</v>
      </c>
      <c r="H241" s="12">
        <v>9.1999999999999993</v>
      </c>
      <c r="I241" s="13">
        <v>0.227173913043478</v>
      </c>
      <c r="J241" s="12" t="s">
        <v>847</v>
      </c>
      <c r="K241" s="14">
        <v>1308</v>
      </c>
      <c r="L241" s="14">
        <v>1105</v>
      </c>
      <c r="M241" s="14">
        <v>1342</v>
      </c>
      <c r="N241" s="12">
        <v>2.09</v>
      </c>
      <c r="O241" s="12" t="s">
        <v>847</v>
      </c>
      <c r="P241" s="12">
        <v>3.3620474708233799E-4</v>
      </c>
      <c r="Q241" s="12">
        <v>1.0344425960673901E-3</v>
      </c>
      <c r="R241" s="12">
        <v>0.13911290322580599</v>
      </c>
      <c r="S241" s="14">
        <v>28</v>
      </c>
      <c r="T241" s="12">
        <v>7.7260340269799693E-2</v>
      </c>
      <c r="U241" s="14">
        <v>1385</v>
      </c>
      <c r="V241" s="14">
        <v>2</v>
      </c>
      <c r="W241" s="12">
        <v>5.5999999999999999E-3</v>
      </c>
      <c r="X241" s="12">
        <v>8.2860340269799701E-2</v>
      </c>
      <c r="Y241" s="14">
        <v>1384</v>
      </c>
      <c r="Z241" s="14">
        <v>28</v>
      </c>
      <c r="AA241" s="12" t="s">
        <v>2367</v>
      </c>
    </row>
    <row r="242" spans="1:27" ht="14.25" x14ac:dyDescent="0.45">
      <c r="A242" s="12" t="s">
        <v>851</v>
      </c>
      <c r="B242" s="12" t="s">
        <v>1971</v>
      </c>
      <c r="C242" s="12" t="s">
        <v>1972</v>
      </c>
      <c r="D242" s="12" t="s">
        <v>1993</v>
      </c>
      <c r="E242" s="20">
        <v>34728</v>
      </c>
      <c r="F242" s="20">
        <v>44280</v>
      </c>
      <c r="G242" s="12">
        <v>40.340000000000003</v>
      </c>
      <c r="H242" s="12">
        <v>9.3666666666666707</v>
      </c>
      <c r="I242" s="13">
        <v>4.3067615658363003</v>
      </c>
      <c r="J242" s="12" t="s">
        <v>851</v>
      </c>
      <c r="K242" s="14">
        <v>480</v>
      </c>
      <c r="L242" s="14">
        <v>1063</v>
      </c>
      <c r="M242" s="14">
        <v>520</v>
      </c>
      <c r="N242" s="12">
        <v>40.340000000000003</v>
      </c>
      <c r="O242" s="12" t="s">
        <v>851</v>
      </c>
      <c r="P242" s="12">
        <v>6.48923420923517E-3</v>
      </c>
      <c r="Q242" s="12">
        <v>1.9610956007762699E-2</v>
      </c>
      <c r="R242" s="12">
        <v>0.141633064516129</v>
      </c>
      <c r="S242" s="14">
        <v>27</v>
      </c>
      <c r="T242" s="12">
        <v>1.46903103333149</v>
      </c>
      <c r="U242" s="14">
        <v>497</v>
      </c>
      <c r="V242" s="14">
        <v>3</v>
      </c>
      <c r="W242" s="12">
        <v>5.7000000000000002E-3</v>
      </c>
      <c r="X242" s="12">
        <v>1.47473103333149</v>
      </c>
      <c r="Y242" s="14">
        <v>497</v>
      </c>
      <c r="Z242" s="14">
        <v>27</v>
      </c>
      <c r="AA242" s="12" t="s">
        <v>2367</v>
      </c>
    </row>
    <row r="243" spans="1:27" ht="14.25" x14ac:dyDescent="0.45">
      <c r="A243" s="12" t="s">
        <v>861</v>
      </c>
      <c r="B243" s="12" t="s">
        <v>1971</v>
      </c>
      <c r="C243" s="12" t="s">
        <v>1972</v>
      </c>
      <c r="D243" s="12" t="s">
        <v>1995</v>
      </c>
      <c r="E243" s="20">
        <v>33525</v>
      </c>
      <c r="F243" s="20">
        <v>44272</v>
      </c>
      <c r="G243" s="12">
        <v>2.4</v>
      </c>
      <c r="H243" s="12">
        <v>9.6333333333333293</v>
      </c>
      <c r="I243" s="13">
        <v>0.24913494809688599</v>
      </c>
      <c r="J243" s="12" t="s">
        <v>861</v>
      </c>
      <c r="K243" s="14">
        <v>1280</v>
      </c>
      <c r="L243" s="14">
        <v>1025</v>
      </c>
      <c r="M243" s="14">
        <v>1293</v>
      </c>
      <c r="N243" s="12">
        <v>2.4</v>
      </c>
      <c r="O243" s="12" t="s">
        <v>861</v>
      </c>
      <c r="P243" s="12">
        <v>3.86072436840962E-4</v>
      </c>
      <c r="Q243" s="12">
        <v>1.13444276689962E-3</v>
      </c>
      <c r="R243" s="12">
        <v>0.14566532258064499</v>
      </c>
      <c r="S243" s="14">
        <v>31</v>
      </c>
      <c r="T243" s="12">
        <v>8.53803893127624E-2</v>
      </c>
      <c r="U243" s="14">
        <v>1336</v>
      </c>
      <c r="V243" s="14">
        <v>2</v>
      </c>
      <c r="W243" s="12">
        <v>5.5999999999999999E-3</v>
      </c>
      <c r="X243" s="12">
        <v>9.0980389312762394E-2</v>
      </c>
      <c r="Y243" s="14">
        <v>1336</v>
      </c>
      <c r="Z243" s="14">
        <v>30</v>
      </c>
      <c r="AA243" s="12" t="s">
        <v>2367</v>
      </c>
    </row>
    <row r="244" spans="1:27" ht="14.25" x14ac:dyDescent="0.45">
      <c r="A244" s="12" t="s">
        <v>866</v>
      </c>
      <c r="B244" s="12" t="s">
        <v>1971</v>
      </c>
      <c r="C244" s="12" t="s">
        <v>1972</v>
      </c>
      <c r="D244" s="12" t="s">
        <v>1995</v>
      </c>
      <c r="E244" s="20">
        <v>35491</v>
      </c>
      <c r="F244" s="20">
        <v>44306</v>
      </c>
      <c r="G244" s="12">
        <v>9.42</v>
      </c>
      <c r="H244" s="12">
        <v>8.5</v>
      </c>
      <c r="I244" s="13">
        <v>1.1082352941176501</v>
      </c>
      <c r="J244" s="12" t="s">
        <v>866</v>
      </c>
      <c r="K244" s="14">
        <v>791</v>
      </c>
      <c r="L244" s="14">
        <v>1204</v>
      </c>
      <c r="M244" s="14">
        <v>856</v>
      </c>
      <c r="N244" s="12">
        <v>9.42</v>
      </c>
      <c r="O244" s="12" t="s">
        <v>866</v>
      </c>
      <c r="P244" s="12">
        <v>1.51533431460078E-3</v>
      </c>
      <c r="Q244" s="12">
        <v>5.0463795747584797E-3</v>
      </c>
      <c r="R244" s="12">
        <v>0.12852822580645201</v>
      </c>
      <c r="S244" s="14">
        <v>25</v>
      </c>
      <c r="T244" s="12">
        <v>0.37222376021993397</v>
      </c>
      <c r="U244" s="14">
        <v>853</v>
      </c>
      <c r="V244" s="14">
        <v>3</v>
      </c>
      <c r="W244" s="12">
        <v>5.7000000000000002E-3</v>
      </c>
      <c r="X244" s="12">
        <v>0.37792376021993401</v>
      </c>
      <c r="Y244" s="14">
        <v>853</v>
      </c>
      <c r="Z244" s="14">
        <v>25</v>
      </c>
      <c r="AA244" s="12" t="s">
        <v>2367</v>
      </c>
    </row>
    <row r="245" spans="1:27" ht="14.25" x14ac:dyDescent="0.45">
      <c r="A245" s="12" t="s">
        <v>873</v>
      </c>
      <c r="B245" s="12" t="s">
        <v>1971</v>
      </c>
      <c r="C245" s="12" t="s">
        <v>1972</v>
      </c>
      <c r="D245" s="12" t="s">
        <v>2003</v>
      </c>
      <c r="E245" s="20">
        <v>34317</v>
      </c>
      <c r="F245" s="20">
        <v>44280</v>
      </c>
      <c r="G245" s="12">
        <v>2.69</v>
      </c>
      <c r="H245" s="12">
        <v>9.3666666666666707</v>
      </c>
      <c r="I245" s="13">
        <v>0.28718861209964403</v>
      </c>
      <c r="J245" s="12" t="s">
        <v>873</v>
      </c>
      <c r="K245" s="14">
        <v>1236</v>
      </c>
      <c r="L245" s="14">
        <v>1063</v>
      </c>
      <c r="M245" s="14">
        <v>1257</v>
      </c>
      <c r="N245" s="12">
        <v>2.69</v>
      </c>
      <c r="O245" s="12" t="s">
        <v>873</v>
      </c>
      <c r="P245" s="12">
        <v>4.3272285629257799E-4</v>
      </c>
      <c r="Q245" s="12">
        <v>1.30772116164803E-3</v>
      </c>
      <c r="R245" s="12">
        <v>0.141633064516129</v>
      </c>
      <c r="S245" s="14">
        <v>29</v>
      </c>
      <c r="T245" s="12">
        <v>9.7959679713973902E-2</v>
      </c>
      <c r="U245" s="14">
        <v>1295</v>
      </c>
      <c r="V245" s="14">
        <v>2</v>
      </c>
      <c r="W245" s="12">
        <v>5.5999999999999999E-3</v>
      </c>
      <c r="X245" s="12">
        <v>0.10355967971397401</v>
      </c>
      <c r="Y245" s="14">
        <v>1295</v>
      </c>
      <c r="Z245" s="14">
        <v>28</v>
      </c>
      <c r="AA245" s="12" t="s">
        <v>2367</v>
      </c>
    </row>
    <row r="246" spans="1:27" ht="14.25" x14ac:dyDescent="0.45">
      <c r="A246" s="12" t="s">
        <v>874</v>
      </c>
      <c r="B246" s="12" t="s">
        <v>1971</v>
      </c>
      <c r="C246" s="12" t="s">
        <v>1972</v>
      </c>
      <c r="D246" s="12" t="s">
        <v>2072</v>
      </c>
      <c r="E246" s="20">
        <v>33786</v>
      </c>
      <c r="F246" s="20">
        <v>44309</v>
      </c>
      <c r="G246" s="12">
        <v>14.42</v>
      </c>
      <c r="H246" s="12">
        <v>8.4</v>
      </c>
      <c r="I246" s="13">
        <v>1.7166666666666699</v>
      </c>
      <c r="J246" s="12" t="s">
        <v>874</v>
      </c>
      <c r="K246" s="14">
        <v>701</v>
      </c>
      <c r="L246" s="14">
        <v>1226</v>
      </c>
      <c r="M246" s="14">
        <v>775</v>
      </c>
      <c r="N246" s="12">
        <v>14.42</v>
      </c>
      <c r="O246" s="12" t="s">
        <v>874</v>
      </c>
      <c r="P246" s="12">
        <v>2.31965189135278E-3</v>
      </c>
      <c r="Q246" s="12">
        <v>7.8168883894215307E-3</v>
      </c>
      <c r="R246" s="12">
        <v>0.12701612903225801</v>
      </c>
      <c r="S246" s="14">
        <v>30</v>
      </c>
      <c r="T246" s="12">
        <v>0.57554247026457495</v>
      </c>
      <c r="U246" s="14">
        <v>756</v>
      </c>
      <c r="V246" s="14">
        <v>3</v>
      </c>
      <c r="W246" s="12">
        <v>5.7000000000000002E-3</v>
      </c>
      <c r="X246" s="12">
        <v>0.58124247026457498</v>
      </c>
      <c r="Y246" s="14">
        <v>756</v>
      </c>
      <c r="Z246" s="14">
        <v>30</v>
      </c>
      <c r="AA246" s="12" t="s">
        <v>2367</v>
      </c>
    </row>
    <row r="247" spans="1:27" ht="14.25" x14ac:dyDescent="0.45">
      <c r="A247" s="12" t="s">
        <v>877</v>
      </c>
      <c r="B247" s="12" t="s">
        <v>1971</v>
      </c>
      <c r="C247" s="12" t="s">
        <v>1972</v>
      </c>
      <c r="D247" s="12" t="s">
        <v>1990</v>
      </c>
      <c r="E247" s="20">
        <v>34044</v>
      </c>
      <c r="F247" s="20">
        <v>43329</v>
      </c>
      <c r="G247" s="12">
        <v>1.1100000000000001</v>
      </c>
      <c r="H247" s="12">
        <v>41.066666666666698</v>
      </c>
      <c r="I247" s="13">
        <v>2.7029220779220799E-2</v>
      </c>
      <c r="J247" s="12" t="s">
        <v>877</v>
      </c>
      <c r="K247" s="14">
        <v>1665</v>
      </c>
      <c r="L247" s="14">
        <v>166</v>
      </c>
      <c r="M247" s="14">
        <v>1528</v>
      </c>
      <c r="N247" s="12">
        <v>1.1100000000000001</v>
      </c>
      <c r="O247" s="12" t="s">
        <v>877</v>
      </c>
      <c r="P247" s="12">
        <v>1.78558502038945E-4</v>
      </c>
      <c r="Q247" s="12">
        <v>1.23078292476234E-4</v>
      </c>
      <c r="R247" s="12">
        <v>0.62096774193548399</v>
      </c>
      <c r="S247" s="14">
        <v>29</v>
      </c>
      <c r="T247" s="12">
        <v>1.4388337106225099E-2</v>
      </c>
      <c r="U247" s="14">
        <v>1721</v>
      </c>
      <c r="V247" s="14">
        <v>1</v>
      </c>
      <c r="W247" s="12">
        <v>5.4999999999999997E-3</v>
      </c>
      <c r="X247" s="12">
        <v>1.9888337106225101E-2</v>
      </c>
      <c r="Y247" s="14">
        <v>1722</v>
      </c>
      <c r="Z247" s="14">
        <v>29</v>
      </c>
      <c r="AA247" s="12" t="s">
        <v>2367</v>
      </c>
    </row>
    <row r="248" spans="1:27" ht="14.25" x14ac:dyDescent="0.45">
      <c r="A248" s="12" t="s">
        <v>886</v>
      </c>
      <c r="B248" s="12" t="s">
        <v>1971</v>
      </c>
      <c r="C248" s="12" t="s">
        <v>1972</v>
      </c>
      <c r="D248" s="12" t="s">
        <v>1975</v>
      </c>
      <c r="E248" s="20">
        <v>34960</v>
      </c>
      <c r="F248" s="20">
        <v>44280</v>
      </c>
      <c r="G248" s="12">
        <v>15.19</v>
      </c>
      <c r="H248" s="12">
        <v>9.3666666666666707</v>
      </c>
      <c r="I248" s="13">
        <v>1.6217081850533801</v>
      </c>
      <c r="J248" s="12" t="s">
        <v>886</v>
      </c>
      <c r="K248" s="14">
        <v>717</v>
      </c>
      <c r="L248" s="14">
        <v>1063</v>
      </c>
      <c r="M248" s="14">
        <v>764</v>
      </c>
      <c r="N248" s="12">
        <v>15.19</v>
      </c>
      <c r="O248" s="12" t="s">
        <v>886</v>
      </c>
      <c r="P248" s="12">
        <v>2.4435167981725898E-3</v>
      </c>
      <c r="Q248" s="12">
        <v>7.3844923588972699E-3</v>
      </c>
      <c r="R248" s="12">
        <v>0.141633064516129</v>
      </c>
      <c r="S248" s="14">
        <v>27</v>
      </c>
      <c r="T248" s="12">
        <v>0.55316265236255102</v>
      </c>
      <c r="U248" s="14">
        <v>770</v>
      </c>
      <c r="V248" s="14">
        <v>4</v>
      </c>
      <c r="W248" s="12">
        <v>5.7999999999999996E-3</v>
      </c>
      <c r="X248" s="12">
        <v>0.55896265236255105</v>
      </c>
      <c r="Y248" s="14">
        <v>770</v>
      </c>
      <c r="Z248" s="14">
        <v>26</v>
      </c>
      <c r="AA248" s="12" t="s">
        <v>2367</v>
      </c>
    </row>
    <row r="249" spans="1:27" ht="14.25" x14ac:dyDescent="0.45">
      <c r="A249" s="12" t="s">
        <v>887</v>
      </c>
      <c r="B249" s="12" t="s">
        <v>1971</v>
      </c>
      <c r="C249" s="12" t="s">
        <v>1972</v>
      </c>
      <c r="D249" s="12" t="s">
        <v>2026</v>
      </c>
      <c r="E249" s="20">
        <v>34955</v>
      </c>
      <c r="F249" s="20">
        <v>44295</v>
      </c>
      <c r="G249" s="12">
        <v>2</v>
      </c>
      <c r="H249" s="12">
        <v>8.8666666666666707</v>
      </c>
      <c r="I249" s="13">
        <v>0.22556390977443599</v>
      </c>
      <c r="J249" s="12" t="s">
        <v>887</v>
      </c>
      <c r="K249" s="14">
        <v>1312</v>
      </c>
      <c r="L249" s="14">
        <v>1156</v>
      </c>
      <c r="M249" s="14">
        <v>1359</v>
      </c>
      <c r="N249" s="12">
        <v>2</v>
      </c>
      <c r="O249" s="12" t="s">
        <v>887</v>
      </c>
      <c r="P249" s="12">
        <v>3.2172703070080199E-4</v>
      </c>
      <c r="Q249" s="12">
        <v>1.02711140236213E-3</v>
      </c>
      <c r="R249" s="12">
        <v>0.134072580645161</v>
      </c>
      <c r="S249" s="14">
        <v>27</v>
      </c>
      <c r="T249" s="12">
        <v>7.6259226298912894E-2</v>
      </c>
      <c r="U249" s="14">
        <v>1395</v>
      </c>
      <c r="V249" s="14">
        <v>1</v>
      </c>
      <c r="W249" s="12">
        <v>5.4999999999999997E-3</v>
      </c>
      <c r="X249" s="12">
        <v>8.1759226298912899E-2</v>
      </c>
      <c r="Y249" s="14">
        <v>1395</v>
      </c>
      <c r="Z249" s="14">
        <v>26</v>
      </c>
      <c r="AA249" s="12" t="s">
        <v>2367</v>
      </c>
    </row>
    <row r="250" spans="1:27" ht="14.25" x14ac:dyDescent="0.45">
      <c r="A250" s="12" t="s">
        <v>889</v>
      </c>
      <c r="B250" s="12" t="s">
        <v>1971</v>
      </c>
      <c r="C250" s="12" t="s">
        <v>1972</v>
      </c>
      <c r="D250" s="12" t="s">
        <v>1975</v>
      </c>
      <c r="E250" s="20">
        <v>32716</v>
      </c>
      <c r="F250" s="20">
        <v>44273</v>
      </c>
      <c r="G250" s="12">
        <v>31.89</v>
      </c>
      <c r="H250" s="12">
        <v>9.6</v>
      </c>
      <c r="I250" s="13">
        <v>3.3218749999999999</v>
      </c>
      <c r="J250" s="12" t="s">
        <v>889</v>
      </c>
      <c r="K250" s="14">
        <v>534</v>
      </c>
      <c r="L250" s="14">
        <v>1029</v>
      </c>
      <c r="M250" s="14">
        <v>557</v>
      </c>
      <c r="N250" s="12">
        <v>31.89</v>
      </c>
      <c r="O250" s="12" t="s">
        <v>889</v>
      </c>
      <c r="P250" s="12">
        <v>5.1299375045242897E-3</v>
      </c>
      <c r="Q250" s="12">
        <v>1.5126248224432801E-2</v>
      </c>
      <c r="R250" s="12">
        <v>0.14516129032258099</v>
      </c>
      <c r="S250" s="14">
        <v>33</v>
      </c>
      <c r="T250" s="12">
        <v>1.1377631704467099</v>
      </c>
      <c r="U250" s="14">
        <v>542</v>
      </c>
      <c r="V250" s="14">
        <v>2</v>
      </c>
      <c r="W250" s="12">
        <v>5.5999999999999999E-3</v>
      </c>
      <c r="X250" s="12">
        <v>1.14336317044671</v>
      </c>
      <c r="Y250" s="14">
        <v>542</v>
      </c>
      <c r="Z250" s="14">
        <v>32</v>
      </c>
      <c r="AA250" s="12" t="s">
        <v>2367</v>
      </c>
    </row>
    <row r="251" spans="1:27" ht="14.25" x14ac:dyDescent="0.45">
      <c r="A251" s="12" t="s">
        <v>892</v>
      </c>
      <c r="B251" s="12" t="s">
        <v>1971</v>
      </c>
      <c r="C251" s="12" t="s">
        <v>1972</v>
      </c>
      <c r="D251" s="12" t="s">
        <v>2072</v>
      </c>
      <c r="E251" s="20">
        <v>33910</v>
      </c>
      <c r="F251" s="20">
        <v>44264</v>
      </c>
      <c r="G251" s="12">
        <v>2</v>
      </c>
      <c r="H251" s="12">
        <v>9.9</v>
      </c>
      <c r="I251" s="13">
        <v>0.20202020202020199</v>
      </c>
      <c r="J251" s="12" t="s">
        <v>892</v>
      </c>
      <c r="K251" s="14">
        <v>1347</v>
      </c>
      <c r="L251" s="14">
        <v>969</v>
      </c>
      <c r="M251" s="14">
        <v>1359</v>
      </c>
      <c r="N251" s="12">
        <v>2</v>
      </c>
      <c r="O251" s="12" t="s">
        <v>892</v>
      </c>
      <c r="P251" s="12">
        <v>3.2172703070080199E-4</v>
      </c>
      <c r="Q251" s="12">
        <v>9.1990448831085999E-4</v>
      </c>
      <c r="R251" s="12">
        <v>0.149697580645161</v>
      </c>
      <c r="S251" s="14">
        <v>30</v>
      </c>
      <c r="T251" s="12">
        <v>6.9558794170708801E-2</v>
      </c>
      <c r="U251" s="14">
        <v>1448</v>
      </c>
      <c r="V251" s="14">
        <v>1</v>
      </c>
      <c r="W251" s="12">
        <v>5.4999999999999997E-3</v>
      </c>
      <c r="X251" s="12">
        <v>7.5058794170708806E-2</v>
      </c>
      <c r="Y251" s="14">
        <v>1448</v>
      </c>
      <c r="Z251" s="14">
        <v>29</v>
      </c>
      <c r="AA251" s="12" t="s">
        <v>2367</v>
      </c>
    </row>
    <row r="252" spans="1:27" ht="14.25" x14ac:dyDescent="0.45">
      <c r="A252" s="12" t="s">
        <v>904</v>
      </c>
      <c r="B252" s="12" t="s">
        <v>1971</v>
      </c>
      <c r="C252" s="12" t="s">
        <v>1972</v>
      </c>
      <c r="D252" s="12" t="s">
        <v>1975</v>
      </c>
      <c r="E252" s="20">
        <v>34770</v>
      </c>
      <c r="F252" s="20">
        <v>44298</v>
      </c>
      <c r="G252" s="12">
        <v>2.72</v>
      </c>
      <c r="H252" s="12">
        <v>8.7666666666666693</v>
      </c>
      <c r="I252" s="13">
        <v>0.310266159695817</v>
      </c>
      <c r="J252" s="12" t="s">
        <v>904</v>
      </c>
      <c r="K252" s="14">
        <v>1219</v>
      </c>
      <c r="L252" s="14">
        <v>1163</v>
      </c>
      <c r="M252" s="14">
        <v>1254</v>
      </c>
      <c r="N252" s="12">
        <v>2.72</v>
      </c>
      <c r="O252" s="12" t="s">
        <v>904</v>
      </c>
      <c r="P252" s="12">
        <v>4.3754876175308997E-4</v>
      </c>
      <c r="Q252" s="12">
        <v>1.4128054027320301E-3</v>
      </c>
      <c r="R252" s="12">
        <v>0.132560483870968</v>
      </c>
      <c r="S252" s="14">
        <v>27</v>
      </c>
      <c r="T252" s="12">
        <v>0.10470841623649201</v>
      </c>
      <c r="U252" s="14">
        <v>1278</v>
      </c>
      <c r="V252" s="14">
        <v>2</v>
      </c>
      <c r="W252" s="12">
        <v>5.5999999999999999E-3</v>
      </c>
      <c r="X252" s="12">
        <v>0.110308416236492</v>
      </c>
      <c r="Y252" s="14">
        <v>1278</v>
      </c>
      <c r="Z252" s="14">
        <v>27</v>
      </c>
      <c r="AA252" s="12" t="s">
        <v>2367</v>
      </c>
    </row>
    <row r="253" spans="1:27" ht="14.25" x14ac:dyDescent="0.45">
      <c r="A253" s="12" t="s">
        <v>908</v>
      </c>
      <c r="B253" s="12" t="s">
        <v>1971</v>
      </c>
      <c r="C253" s="12" t="s">
        <v>1972</v>
      </c>
      <c r="D253" s="12" t="s">
        <v>2020</v>
      </c>
      <c r="E253" s="20">
        <v>33278</v>
      </c>
      <c r="F253" s="20">
        <v>44306</v>
      </c>
      <c r="G253" s="12">
        <v>5.14</v>
      </c>
      <c r="H253" s="12">
        <v>8.5</v>
      </c>
      <c r="I253" s="13">
        <v>0.60470588235294098</v>
      </c>
      <c r="J253" s="12" t="s">
        <v>908</v>
      </c>
      <c r="K253" s="14">
        <v>993</v>
      </c>
      <c r="L253" s="14">
        <v>1204</v>
      </c>
      <c r="M253" s="14">
        <v>1026</v>
      </c>
      <c r="N253" s="12">
        <v>5.14</v>
      </c>
      <c r="O253" s="12" t="s">
        <v>908</v>
      </c>
      <c r="P253" s="12">
        <v>8.2683846890106098E-4</v>
      </c>
      <c r="Q253" s="12">
        <v>2.75354469365803E-3</v>
      </c>
      <c r="R253" s="12">
        <v>0.12852822580645201</v>
      </c>
      <c r="S253" s="14">
        <v>31</v>
      </c>
      <c r="T253" s="12">
        <v>0.20310298593741599</v>
      </c>
      <c r="U253" s="14">
        <v>1040</v>
      </c>
      <c r="V253" s="14">
        <v>4</v>
      </c>
      <c r="W253" s="12">
        <v>5.7999999999999996E-3</v>
      </c>
      <c r="X253" s="12">
        <v>0.20890298593741599</v>
      </c>
      <c r="Y253" s="14">
        <v>1040</v>
      </c>
      <c r="Z253" s="14">
        <v>31</v>
      </c>
      <c r="AA253" s="12" t="s">
        <v>2367</v>
      </c>
    </row>
    <row r="254" spans="1:27" ht="14.25" x14ac:dyDescent="0.45">
      <c r="A254" s="12" t="s">
        <v>909</v>
      </c>
      <c r="B254" s="12" t="s">
        <v>1971</v>
      </c>
      <c r="C254" s="12" t="s">
        <v>1972</v>
      </c>
      <c r="D254" s="12" t="s">
        <v>1978</v>
      </c>
      <c r="E254" s="20">
        <v>33954</v>
      </c>
      <c r="F254" s="20">
        <v>44174</v>
      </c>
      <c r="G254" s="12">
        <v>29.6</v>
      </c>
      <c r="H254" s="12">
        <v>12.9</v>
      </c>
      <c r="I254" s="13">
        <v>2.2945736434108501</v>
      </c>
      <c r="J254" s="12" t="s">
        <v>909</v>
      </c>
      <c r="K254" s="14">
        <v>620</v>
      </c>
      <c r="L254" s="14">
        <v>687</v>
      </c>
      <c r="M254" s="14">
        <v>568</v>
      </c>
      <c r="N254" s="12">
        <v>29.6</v>
      </c>
      <c r="O254" s="12" t="s">
        <v>909</v>
      </c>
      <c r="P254" s="12">
        <v>4.7615600543718696E-3</v>
      </c>
      <c r="Q254" s="12">
        <v>1.04484035370006E-2</v>
      </c>
      <c r="R254" s="12">
        <v>0.195060483870968</v>
      </c>
      <c r="S254" s="14">
        <v>30</v>
      </c>
      <c r="T254" s="12">
        <v>0.83158372310147999</v>
      </c>
      <c r="U254" s="14">
        <v>654</v>
      </c>
      <c r="V254" s="14">
        <v>2</v>
      </c>
      <c r="W254" s="12">
        <v>5.5999999999999999E-3</v>
      </c>
      <c r="X254" s="12">
        <v>0.83718372310148004</v>
      </c>
      <c r="Y254" s="14">
        <v>655</v>
      </c>
      <c r="Z254" s="14">
        <v>29</v>
      </c>
      <c r="AA254" s="12" t="s">
        <v>2367</v>
      </c>
    </row>
    <row r="255" spans="1:27" ht="14.25" x14ac:dyDescent="0.45">
      <c r="A255" s="12" t="s">
        <v>910</v>
      </c>
      <c r="B255" s="12" t="s">
        <v>1971</v>
      </c>
      <c r="C255" s="12" t="s">
        <v>1972</v>
      </c>
      <c r="D255" s="12" t="s">
        <v>1975</v>
      </c>
      <c r="E255" s="20">
        <v>34798</v>
      </c>
      <c r="F255" s="20">
        <v>44069</v>
      </c>
      <c r="G255" s="12">
        <v>1.32</v>
      </c>
      <c r="H255" s="12">
        <v>16.399999999999999</v>
      </c>
      <c r="I255" s="13">
        <v>8.0487804878048796E-2</v>
      </c>
      <c r="J255" s="12" t="s">
        <v>910</v>
      </c>
      <c r="K255" s="14">
        <v>1543</v>
      </c>
      <c r="L255" s="14">
        <v>481</v>
      </c>
      <c r="M255" s="14">
        <v>1501</v>
      </c>
      <c r="N255" s="12">
        <v>1.32</v>
      </c>
      <c r="O255" s="12" t="s">
        <v>910</v>
      </c>
      <c r="P255" s="12">
        <v>2.1233984026252899E-4</v>
      </c>
      <c r="Q255" s="12">
        <v>3.6650341015994898E-4</v>
      </c>
      <c r="R255" s="12">
        <v>0.24798387096774199</v>
      </c>
      <c r="S255" s="14">
        <v>27</v>
      </c>
      <c r="T255" s="12">
        <v>3.08692071448417E-2</v>
      </c>
      <c r="U255" s="14">
        <v>1615</v>
      </c>
      <c r="V255" s="14">
        <v>1</v>
      </c>
      <c r="W255" s="12">
        <v>5.4999999999999997E-3</v>
      </c>
      <c r="X255" s="12">
        <v>3.6369207144841702E-2</v>
      </c>
      <c r="Y255" s="14">
        <v>1615</v>
      </c>
      <c r="Z255" s="14">
        <v>27</v>
      </c>
      <c r="AA255" s="12" t="s">
        <v>2367</v>
      </c>
    </row>
    <row r="256" spans="1:27" ht="14.25" x14ac:dyDescent="0.45">
      <c r="A256" s="12" t="s">
        <v>917</v>
      </c>
      <c r="B256" s="12" t="s">
        <v>1971</v>
      </c>
      <c r="C256" s="12" t="s">
        <v>1972</v>
      </c>
      <c r="D256" s="12" t="s">
        <v>2020</v>
      </c>
      <c r="E256" s="20">
        <v>34297</v>
      </c>
      <c r="F256" s="20">
        <v>44182</v>
      </c>
      <c r="G256" s="12">
        <v>40.93</v>
      </c>
      <c r="H256" s="12">
        <v>12.633333333333301</v>
      </c>
      <c r="I256" s="13">
        <v>3.2398416886543502</v>
      </c>
      <c r="J256" s="12" t="s">
        <v>917</v>
      </c>
      <c r="K256" s="14">
        <v>538</v>
      </c>
      <c r="L256" s="14">
        <v>714</v>
      </c>
      <c r="M256" s="14">
        <v>513</v>
      </c>
      <c r="N256" s="12">
        <v>40.93</v>
      </c>
      <c r="O256" s="12" t="s">
        <v>917</v>
      </c>
      <c r="P256" s="12">
        <v>6.5841436832919098E-3</v>
      </c>
      <c r="Q256" s="12">
        <v>1.47527073085084E-2</v>
      </c>
      <c r="R256" s="12">
        <v>0.19102822580645201</v>
      </c>
      <c r="S256" s="14">
        <v>29</v>
      </c>
      <c r="T256" s="12">
        <v>1.16894959490522</v>
      </c>
      <c r="U256" s="14">
        <v>539</v>
      </c>
      <c r="V256" s="14">
        <v>2</v>
      </c>
      <c r="W256" s="12">
        <v>5.5999999999999999E-3</v>
      </c>
      <c r="X256" s="12">
        <v>1.17454959490522</v>
      </c>
      <c r="Y256" s="14">
        <v>539</v>
      </c>
      <c r="Z256" s="14">
        <v>28</v>
      </c>
      <c r="AA256" s="12" t="s">
        <v>2367</v>
      </c>
    </row>
    <row r="257" spans="1:27" ht="14.25" x14ac:dyDescent="0.45">
      <c r="A257" s="12" t="s">
        <v>923</v>
      </c>
      <c r="B257" s="12" t="s">
        <v>1971</v>
      </c>
      <c r="C257" s="12" t="s">
        <v>1972</v>
      </c>
      <c r="D257" s="12" t="s">
        <v>2072</v>
      </c>
      <c r="E257" s="20">
        <v>35458</v>
      </c>
      <c r="F257" s="20">
        <v>43297</v>
      </c>
      <c r="G257" s="12">
        <v>110.88</v>
      </c>
      <c r="H257" s="12">
        <v>42.133333333333297</v>
      </c>
      <c r="I257" s="13">
        <v>2.6316455696202499</v>
      </c>
      <c r="J257" s="12" t="s">
        <v>923</v>
      </c>
      <c r="K257" s="14">
        <v>581</v>
      </c>
      <c r="L257" s="14">
        <v>122</v>
      </c>
      <c r="M257" s="14">
        <v>369</v>
      </c>
      <c r="N257" s="12">
        <v>110.88</v>
      </c>
      <c r="O257" s="12" t="s">
        <v>923</v>
      </c>
      <c r="P257" s="12">
        <v>1.7836546582052502E-2</v>
      </c>
      <c r="Q257" s="12">
        <v>1.1983269727128499E-2</v>
      </c>
      <c r="R257" s="12">
        <v>0.63709677419354804</v>
      </c>
      <c r="S257" s="14">
        <v>25</v>
      </c>
      <c r="T257" s="12">
        <v>1.4178248547725001</v>
      </c>
      <c r="U257" s="14">
        <v>506</v>
      </c>
      <c r="V257" s="14">
        <v>4</v>
      </c>
      <c r="W257" s="12">
        <v>5.7999999999999996E-3</v>
      </c>
      <c r="X257" s="12">
        <v>1.4236248547724999</v>
      </c>
      <c r="Y257" s="14">
        <v>506</v>
      </c>
      <c r="Z257" s="14">
        <v>25</v>
      </c>
      <c r="AA257" s="12" t="s">
        <v>2367</v>
      </c>
    </row>
    <row r="258" spans="1:27" ht="14.25" x14ac:dyDescent="0.45">
      <c r="A258" s="12" t="s">
        <v>925</v>
      </c>
      <c r="B258" s="12" t="s">
        <v>1971</v>
      </c>
      <c r="C258" s="12" t="s">
        <v>1972</v>
      </c>
      <c r="D258" s="12" t="s">
        <v>2020</v>
      </c>
      <c r="E258" s="20">
        <v>32977</v>
      </c>
      <c r="F258" s="20">
        <v>43703</v>
      </c>
      <c r="G258" s="12">
        <v>8.5299999999999994</v>
      </c>
      <c r="H258" s="12">
        <v>28.6</v>
      </c>
      <c r="I258" s="13">
        <v>0.29825174825174799</v>
      </c>
      <c r="J258" s="12" t="s">
        <v>925</v>
      </c>
      <c r="K258" s="14">
        <v>1227</v>
      </c>
      <c r="L258" s="14">
        <v>264</v>
      </c>
      <c r="M258" s="14">
        <v>874</v>
      </c>
      <c r="N258" s="12">
        <v>8.5299999999999994</v>
      </c>
      <c r="O258" s="12" t="s">
        <v>925</v>
      </c>
      <c r="P258" s="12">
        <v>1.3721657859389199E-3</v>
      </c>
      <c r="Q258" s="12">
        <v>1.35809745322355E-3</v>
      </c>
      <c r="R258" s="12">
        <v>0.43245967741935498</v>
      </c>
      <c r="S258" s="14">
        <v>32</v>
      </c>
      <c r="T258" s="12">
        <v>0.13633730779918199</v>
      </c>
      <c r="U258" s="14">
        <v>1192</v>
      </c>
      <c r="V258" s="14">
        <v>2</v>
      </c>
      <c r="W258" s="12">
        <v>5.5999999999999999E-3</v>
      </c>
      <c r="X258" s="12">
        <v>0.14193730779918201</v>
      </c>
      <c r="Y258" s="14">
        <v>1192</v>
      </c>
      <c r="Z258" s="14">
        <v>32</v>
      </c>
      <c r="AA258" s="12" t="s">
        <v>2367</v>
      </c>
    </row>
    <row r="259" spans="1:27" ht="14.25" x14ac:dyDescent="0.45">
      <c r="A259" s="12" t="s">
        <v>929</v>
      </c>
      <c r="B259" s="12" t="s">
        <v>1971</v>
      </c>
      <c r="C259" s="12" t="s">
        <v>1972</v>
      </c>
      <c r="D259" s="12" t="s">
        <v>1995</v>
      </c>
      <c r="E259" s="20">
        <v>35079</v>
      </c>
      <c r="F259" s="20">
        <v>44271</v>
      </c>
      <c r="G259" s="12">
        <v>6.5</v>
      </c>
      <c r="H259" s="12">
        <v>9.6666666666666696</v>
      </c>
      <c r="I259" s="13">
        <v>0.67241379310344795</v>
      </c>
      <c r="J259" s="12" t="s">
        <v>929</v>
      </c>
      <c r="K259" s="14">
        <v>948</v>
      </c>
      <c r="L259" s="14">
        <v>1004</v>
      </c>
      <c r="M259" s="14">
        <v>938</v>
      </c>
      <c r="N259" s="12">
        <v>6.5</v>
      </c>
      <c r="O259" s="12" t="s">
        <v>929</v>
      </c>
      <c r="P259" s="12">
        <v>1.0456128497776101E-3</v>
      </c>
      <c r="Q259" s="12">
        <v>3.0618545080760601E-3</v>
      </c>
      <c r="R259" s="12">
        <v>0.14616935483870999</v>
      </c>
      <c r="S259" s="14">
        <v>26</v>
      </c>
      <c r="T259" s="12">
        <v>0.230576388621414</v>
      </c>
      <c r="U259" s="14">
        <v>996</v>
      </c>
      <c r="V259" s="14">
        <v>2</v>
      </c>
      <c r="W259" s="12">
        <v>5.5999999999999999E-3</v>
      </c>
      <c r="X259" s="12">
        <v>0.23617638862141399</v>
      </c>
      <c r="Y259" s="14">
        <v>996</v>
      </c>
      <c r="Z259" s="14">
        <v>26</v>
      </c>
      <c r="AA259" s="12" t="s">
        <v>2367</v>
      </c>
    </row>
    <row r="260" spans="1:27" ht="14.25" x14ac:dyDescent="0.45">
      <c r="A260" s="12" t="s">
        <v>932</v>
      </c>
      <c r="B260" s="12" t="s">
        <v>1971</v>
      </c>
      <c r="C260" s="12" t="s">
        <v>1972</v>
      </c>
      <c r="D260" s="12" t="s">
        <v>1975</v>
      </c>
      <c r="E260" s="20">
        <v>34183</v>
      </c>
      <c r="F260" s="20">
        <v>44287</v>
      </c>
      <c r="G260" s="12">
        <v>2</v>
      </c>
      <c r="H260" s="12">
        <v>9.1333333333333293</v>
      </c>
      <c r="I260" s="13">
        <v>0.218978102189781</v>
      </c>
      <c r="J260" s="12" t="s">
        <v>932</v>
      </c>
      <c r="K260" s="14">
        <v>1320</v>
      </c>
      <c r="L260" s="14">
        <v>1119</v>
      </c>
      <c r="M260" s="14">
        <v>1359</v>
      </c>
      <c r="N260" s="12">
        <v>2</v>
      </c>
      <c r="O260" s="12" t="s">
        <v>932</v>
      </c>
      <c r="P260" s="12">
        <v>3.2172703070080199E-4</v>
      </c>
      <c r="Q260" s="12">
        <v>9.9712274827856002E-4</v>
      </c>
      <c r="R260" s="12">
        <v>0.13810483870967699</v>
      </c>
      <c r="S260" s="14">
        <v>29</v>
      </c>
      <c r="T260" s="12">
        <v>7.4384935418690096E-2</v>
      </c>
      <c r="U260" s="14">
        <v>1410</v>
      </c>
      <c r="V260" s="14">
        <v>1</v>
      </c>
      <c r="W260" s="12">
        <v>5.4999999999999997E-3</v>
      </c>
      <c r="X260" s="12">
        <v>7.9884935418690101E-2</v>
      </c>
      <c r="Y260" s="14">
        <v>1410</v>
      </c>
      <c r="Z260" s="14">
        <v>28</v>
      </c>
      <c r="AA260" s="12" t="s">
        <v>2367</v>
      </c>
    </row>
    <row r="261" spans="1:27" ht="14.25" x14ac:dyDescent="0.45">
      <c r="A261" s="12" t="s">
        <v>934</v>
      </c>
      <c r="B261" s="12" t="s">
        <v>1971</v>
      </c>
      <c r="C261" s="12" t="s">
        <v>1972</v>
      </c>
      <c r="D261" s="12" t="s">
        <v>1993</v>
      </c>
      <c r="E261" s="20">
        <v>34216</v>
      </c>
      <c r="F261" s="20">
        <v>44299</v>
      </c>
      <c r="G261" s="12">
        <v>2.4500000000000002</v>
      </c>
      <c r="H261" s="12">
        <v>8.7333333333333307</v>
      </c>
      <c r="I261" s="13">
        <v>0.280534351145038</v>
      </c>
      <c r="J261" s="12" t="s">
        <v>934</v>
      </c>
      <c r="K261" s="14">
        <v>1241</v>
      </c>
      <c r="L261" s="14">
        <v>1164</v>
      </c>
      <c r="M261" s="14">
        <v>1286</v>
      </c>
      <c r="N261" s="12">
        <v>2.4500000000000002</v>
      </c>
      <c r="O261" s="12" t="s">
        <v>934</v>
      </c>
      <c r="P261" s="12">
        <v>3.9411561260848201E-4</v>
      </c>
      <c r="Q261" s="12">
        <v>1.27742080328129E-3</v>
      </c>
      <c r="R261" s="12">
        <v>0.132056451612903</v>
      </c>
      <c r="S261" s="14">
        <v>29</v>
      </c>
      <c r="T261" s="12">
        <v>9.4618135677898896E-2</v>
      </c>
      <c r="U261" s="14">
        <v>1304</v>
      </c>
      <c r="V261" s="14">
        <v>2</v>
      </c>
      <c r="W261" s="12">
        <v>5.5999999999999999E-3</v>
      </c>
      <c r="X261" s="12">
        <v>0.100218135677899</v>
      </c>
      <c r="Y261" s="14">
        <v>1304</v>
      </c>
      <c r="Z261" s="14">
        <v>28</v>
      </c>
      <c r="AA261" s="12" t="s">
        <v>2367</v>
      </c>
    </row>
    <row r="262" spans="1:27" ht="14.25" x14ac:dyDescent="0.45">
      <c r="A262" s="12" t="s">
        <v>938</v>
      </c>
      <c r="B262" s="12" t="s">
        <v>1971</v>
      </c>
      <c r="C262" s="12" t="s">
        <v>1972</v>
      </c>
      <c r="D262" s="12" t="s">
        <v>2007</v>
      </c>
      <c r="E262" s="20">
        <v>35025</v>
      </c>
      <c r="F262" s="20">
        <v>44271</v>
      </c>
      <c r="G262" s="12">
        <v>2</v>
      </c>
      <c r="H262" s="12">
        <v>9.6666666666666696</v>
      </c>
      <c r="I262" s="13">
        <v>0.20689655172413801</v>
      </c>
      <c r="J262" s="12" t="s">
        <v>938</v>
      </c>
      <c r="K262" s="14">
        <v>1338</v>
      </c>
      <c r="L262" s="14">
        <v>1004</v>
      </c>
      <c r="M262" s="14">
        <v>1359</v>
      </c>
      <c r="N262" s="12">
        <v>2</v>
      </c>
      <c r="O262" s="12" t="s">
        <v>938</v>
      </c>
      <c r="P262" s="12">
        <v>3.2172703070080199E-4</v>
      </c>
      <c r="Q262" s="12">
        <v>9.4210907940801901E-4</v>
      </c>
      <c r="R262" s="12">
        <v>0.14616935483870999</v>
      </c>
      <c r="S262" s="14">
        <v>27</v>
      </c>
      <c r="T262" s="12">
        <v>7.0946581114281301E-2</v>
      </c>
      <c r="U262" s="14">
        <v>1439</v>
      </c>
      <c r="V262" s="14">
        <v>1</v>
      </c>
      <c r="W262" s="12">
        <v>5.4999999999999997E-3</v>
      </c>
      <c r="X262" s="12">
        <v>7.6446581114281306E-2</v>
      </c>
      <c r="Y262" s="14">
        <v>1439</v>
      </c>
      <c r="Z262" s="14">
        <v>26</v>
      </c>
      <c r="AA262" s="12" t="s">
        <v>2367</v>
      </c>
    </row>
    <row r="263" spans="1:27" ht="14.25" x14ac:dyDescent="0.45">
      <c r="A263" s="12" t="s">
        <v>942</v>
      </c>
      <c r="B263" s="12" t="s">
        <v>1971</v>
      </c>
      <c r="C263" s="12" t="s">
        <v>1972</v>
      </c>
      <c r="D263" s="12" t="s">
        <v>1990</v>
      </c>
      <c r="E263" s="20">
        <v>34304</v>
      </c>
      <c r="F263" s="20">
        <v>44299</v>
      </c>
      <c r="G263" s="12">
        <v>2</v>
      </c>
      <c r="H263" s="12">
        <v>8.7333333333333307</v>
      </c>
      <c r="I263" s="13">
        <v>0.229007633587786</v>
      </c>
      <c r="J263" s="12" t="s">
        <v>942</v>
      </c>
      <c r="K263" s="14">
        <v>1306</v>
      </c>
      <c r="L263" s="14">
        <v>1164</v>
      </c>
      <c r="M263" s="14">
        <v>1359</v>
      </c>
      <c r="N263" s="12">
        <v>2</v>
      </c>
      <c r="O263" s="12" t="s">
        <v>942</v>
      </c>
      <c r="P263" s="12">
        <v>3.2172703070080199E-4</v>
      </c>
      <c r="Q263" s="12">
        <v>1.04279249247452E-3</v>
      </c>
      <c r="R263" s="12">
        <v>0.132056451612903</v>
      </c>
      <c r="S263" s="14">
        <v>29</v>
      </c>
      <c r="T263" s="12">
        <v>7.7239294430937896E-2</v>
      </c>
      <c r="U263" s="14">
        <v>1386</v>
      </c>
      <c r="V263" s="14">
        <v>1</v>
      </c>
      <c r="W263" s="12">
        <v>5.4999999999999997E-3</v>
      </c>
      <c r="X263" s="12">
        <v>8.2739294430937901E-2</v>
      </c>
      <c r="Y263" s="14">
        <v>1386</v>
      </c>
      <c r="Z263" s="14">
        <v>28</v>
      </c>
      <c r="AA263" s="12" t="s">
        <v>2367</v>
      </c>
    </row>
    <row r="264" spans="1:27" ht="14.25" x14ac:dyDescent="0.45">
      <c r="A264" s="12" t="s">
        <v>943</v>
      </c>
      <c r="B264" s="12" t="s">
        <v>1971</v>
      </c>
      <c r="C264" s="12" t="s">
        <v>1972</v>
      </c>
      <c r="D264" s="12" t="s">
        <v>2238</v>
      </c>
      <c r="E264" s="20">
        <v>35185</v>
      </c>
      <c r="F264" s="20">
        <v>44285</v>
      </c>
      <c r="G264" s="12">
        <v>2.27</v>
      </c>
      <c r="H264" s="12">
        <v>9.1999999999999993</v>
      </c>
      <c r="I264" s="13">
        <v>0.24673913043478299</v>
      </c>
      <c r="J264" s="12" t="s">
        <v>943</v>
      </c>
      <c r="K264" s="14">
        <v>1282</v>
      </c>
      <c r="L264" s="14">
        <v>1105</v>
      </c>
      <c r="M264" s="14">
        <v>1310</v>
      </c>
      <c r="N264" s="12">
        <v>2.27</v>
      </c>
      <c r="O264" s="12" t="s">
        <v>943</v>
      </c>
      <c r="P264" s="12">
        <v>3.6516017984541E-4</v>
      </c>
      <c r="Q264" s="12">
        <v>1.12353334596793E-3</v>
      </c>
      <c r="R264" s="12">
        <v>0.13911290322580599</v>
      </c>
      <c r="S264" s="14">
        <v>26</v>
      </c>
      <c r="T264" s="12">
        <v>8.3914340867198706E-2</v>
      </c>
      <c r="U264" s="14">
        <v>1341</v>
      </c>
      <c r="V264" s="14">
        <v>1</v>
      </c>
      <c r="W264" s="12">
        <v>5.4999999999999997E-3</v>
      </c>
      <c r="X264" s="12">
        <v>8.9414340867198697E-2</v>
      </c>
      <c r="Y264" s="14">
        <v>1342</v>
      </c>
      <c r="Z264" s="14">
        <v>26</v>
      </c>
      <c r="AA264" s="12" t="s">
        <v>2367</v>
      </c>
    </row>
    <row r="265" spans="1:27" ht="14.25" x14ac:dyDescent="0.45">
      <c r="A265" s="12" t="s">
        <v>946</v>
      </c>
      <c r="B265" s="12" t="s">
        <v>1971</v>
      </c>
      <c r="C265" s="12" t="s">
        <v>1972</v>
      </c>
      <c r="D265" s="12" t="s">
        <v>1973</v>
      </c>
      <c r="E265" s="20">
        <v>34430</v>
      </c>
      <c r="F265" s="20">
        <v>43628</v>
      </c>
      <c r="G265" s="12">
        <v>6.32</v>
      </c>
      <c r="H265" s="12">
        <v>31.1</v>
      </c>
      <c r="I265" s="13">
        <v>0.20321543408360099</v>
      </c>
      <c r="J265" s="12" t="s">
        <v>946</v>
      </c>
      <c r="K265" s="14">
        <v>1344</v>
      </c>
      <c r="L265" s="14">
        <v>253</v>
      </c>
      <c r="M265" s="14">
        <v>948</v>
      </c>
      <c r="N265" s="12">
        <v>6.32</v>
      </c>
      <c r="O265" s="12" t="s">
        <v>946</v>
      </c>
      <c r="P265" s="12">
        <v>1.0166574170145299E-3</v>
      </c>
      <c r="Q265" s="12">
        <v>9.2534701004234605E-4</v>
      </c>
      <c r="R265" s="12">
        <v>0.47026209677419401</v>
      </c>
      <c r="S265" s="14">
        <v>28</v>
      </c>
      <c r="T265" s="12">
        <v>9.5958841265691597E-2</v>
      </c>
      <c r="U265" s="14">
        <v>1301</v>
      </c>
      <c r="V265" s="14">
        <v>2</v>
      </c>
      <c r="W265" s="12">
        <v>5.5999999999999999E-3</v>
      </c>
      <c r="X265" s="12">
        <v>0.10155884126569199</v>
      </c>
      <c r="Y265" s="14">
        <v>1301</v>
      </c>
      <c r="Z265" s="14">
        <v>28</v>
      </c>
      <c r="AA265" s="12" t="s">
        <v>2367</v>
      </c>
    </row>
    <row r="266" spans="1:27" ht="14.25" x14ac:dyDescent="0.45">
      <c r="A266" s="12" t="s">
        <v>952</v>
      </c>
      <c r="B266" s="12" t="s">
        <v>1971</v>
      </c>
      <c r="C266" s="12" t="s">
        <v>1972</v>
      </c>
      <c r="D266" s="12" t="s">
        <v>1975</v>
      </c>
      <c r="E266" s="20">
        <v>32120</v>
      </c>
      <c r="F266" s="20">
        <v>44285</v>
      </c>
      <c r="G266" s="12">
        <v>2</v>
      </c>
      <c r="H266" s="12">
        <v>9.1999999999999993</v>
      </c>
      <c r="I266" s="13">
        <v>0.217391304347826</v>
      </c>
      <c r="J266" s="12" t="s">
        <v>952</v>
      </c>
      <c r="K266" s="14">
        <v>1324</v>
      </c>
      <c r="L266" s="14">
        <v>1105</v>
      </c>
      <c r="M266" s="14">
        <v>1359</v>
      </c>
      <c r="N266" s="12">
        <v>2</v>
      </c>
      <c r="O266" s="12" t="s">
        <v>952</v>
      </c>
      <c r="P266" s="12">
        <v>3.2172703070080199E-4</v>
      </c>
      <c r="Q266" s="12">
        <v>9.8989722111712201E-4</v>
      </c>
      <c r="R266" s="12">
        <v>0.13911290322580599</v>
      </c>
      <c r="S266" s="14">
        <v>35</v>
      </c>
      <c r="T266" s="12">
        <v>7.3933339971100201E-2</v>
      </c>
      <c r="U266" s="14">
        <v>1415</v>
      </c>
      <c r="V266" s="14">
        <v>1</v>
      </c>
      <c r="W266" s="12">
        <v>5.4999999999999997E-3</v>
      </c>
      <c r="X266" s="12">
        <v>7.9433339971100206E-2</v>
      </c>
      <c r="Y266" s="14">
        <v>1415</v>
      </c>
      <c r="Z266" s="14">
        <v>34</v>
      </c>
      <c r="AA266" s="12" t="s">
        <v>2367</v>
      </c>
    </row>
    <row r="267" spans="1:27" ht="14.25" x14ac:dyDescent="0.45">
      <c r="A267" s="12" t="s">
        <v>957</v>
      </c>
      <c r="B267" s="12" t="s">
        <v>1971</v>
      </c>
      <c r="C267" s="12" t="s">
        <v>1972</v>
      </c>
      <c r="D267" s="12" t="s">
        <v>1973</v>
      </c>
      <c r="E267" s="20">
        <v>34701</v>
      </c>
      <c r="F267" s="20">
        <v>44291</v>
      </c>
      <c r="G267" s="12">
        <v>2</v>
      </c>
      <c r="H267" s="12">
        <v>9</v>
      </c>
      <c r="I267" s="13">
        <v>0.22222222222222199</v>
      </c>
      <c r="J267" s="12" t="s">
        <v>957</v>
      </c>
      <c r="K267" s="14">
        <v>1317</v>
      </c>
      <c r="L267" s="14">
        <v>1137</v>
      </c>
      <c r="M267" s="14">
        <v>1359</v>
      </c>
      <c r="N267" s="12">
        <v>2</v>
      </c>
      <c r="O267" s="12" t="s">
        <v>957</v>
      </c>
      <c r="P267" s="12">
        <v>3.2172703070080199E-4</v>
      </c>
      <c r="Q267" s="12">
        <v>1.0118949371419499E-3</v>
      </c>
      <c r="R267" s="12">
        <v>0.13608870967741901</v>
      </c>
      <c r="S267" s="14">
        <v>27</v>
      </c>
      <c r="T267" s="12">
        <v>7.5308197222651696E-2</v>
      </c>
      <c r="U267" s="14">
        <v>1399</v>
      </c>
      <c r="V267" s="14">
        <v>1</v>
      </c>
      <c r="W267" s="12">
        <v>5.4999999999999997E-3</v>
      </c>
      <c r="X267" s="12">
        <v>8.0808197222651701E-2</v>
      </c>
      <c r="Y267" s="14">
        <v>1399</v>
      </c>
      <c r="Z267" s="14">
        <v>27</v>
      </c>
      <c r="AA267" s="12" t="s">
        <v>2367</v>
      </c>
    </row>
    <row r="268" spans="1:27" ht="14.25" x14ac:dyDescent="0.45">
      <c r="A268" s="12" t="s">
        <v>980</v>
      </c>
      <c r="B268" s="12" t="s">
        <v>1971</v>
      </c>
      <c r="C268" s="12" t="s">
        <v>1972</v>
      </c>
      <c r="D268" s="12" t="s">
        <v>1987</v>
      </c>
      <c r="E268" s="20">
        <v>35558</v>
      </c>
      <c r="F268" s="20">
        <v>44306</v>
      </c>
      <c r="G268" s="12">
        <v>2</v>
      </c>
      <c r="H268" s="12">
        <v>8.5</v>
      </c>
      <c r="I268" s="13">
        <v>0.23529411764705899</v>
      </c>
      <c r="J268" s="12" t="s">
        <v>980</v>
      </c>
      <c r="K268" s="14">
        <v>1301</v>
      </c>
      <c r="L268" s="14">
        <v>1204</v>
      </c>
      <c r="M268" s="14">
        <v>1359</v>
      </c>
      <c r="N268" s="12">
        <v>2</v>
      </c>
      <c r="O268" s="12" t="s">
        <v>980</v>
      </c>
      <c r="P268" s="12">
        <v>3.2172703070080199E-4</v>
      </c>
      <c r="Q268" s="12">
        <v>1.0714181687385301E-3</v>
      </c>
      <c r="R268" s="12">
        <v>0.12852822580645201</v>
      </c>
      <c r="S268" s="14">
        <v>25</v>
      </c>
      <c r="T268" s="12">
        <v>7.9028399197438301E-2</v>
      </c>
      <c r="U268" s="14">
        <v>1365</v>
      </c>
      <c r="V268" s="14">
        <v>1</v>
      </c>
      <c r="W268" s="12">
        <v>5.4999999999999997E-3</v>
      </c>
      <c r="X268" s="12">
        <v>8.4528399197438306E-2</v>
      </c>
      <c r="Y268" s="14">
        <v>1365</v>
      </c>
      <c r="Z268" s="14">
        <v>25</v>
      </c>
      <c r="AA268" s="12" t="s">
        <v>2367</v>
      </c>
    </row>
    <row r="269" spans="1:27" ht="14.25" x14ac:dyDescent="0.45">
      <c r="A269" s="12" t="s">
        <v>991</v>
      </c>
      <c r="B269" s="12" t="s">
        <v>1971</v>
      </c>
      <c r="C269" s="12" t="s">
        <v>1972</v>
      </c>
      <c r="D269" s="12" t="s">
        <v>1978</v>
      </c>
      <c r="E269" s="20">
        <v>33502</v>
      </c>
      <c r="F269" s="20">
        <v>44291</v>
      </c>
      <c r="G269" s="12">
        <v>2</v>
      </c>
      <c r="H269" s="12">
        <v>9</v>
      </c>
      <c r="I269" s="13">
        <v>0.22222222222222199</v>
      </c>
      <c r="J269" s="12" t="s">
        <v>991</v>
      </c>
      <c r="K269" s="14">
        <v>1317</v>
      </c>
      <c r="L269" s="14">
        <v>1137</v>
      </c>
      <c r="M269" s="14">
        <v>1359</v>
      </c>
      <c r="N269" s="12">
        <v>2</v>
      </c>
      <c r="O269" s="12" t="s">
        <v>991</v>
      </c>
      <c r="P269" s="12">
        <v>3.2172703070080199E-4</v>
      </c>
      <c r="Q269" s="12">
        <v>1.0118949371419499E-3</v>
      </c>
      <c r="R269" s="12">
        <v>0.13608870967741901</v>
      </c>
      <c r="S269" s="14">
        <v>31</v>
      </c>
      <c r="T269" s="12">
        <v>7.5308197222651696E-2</v>
      </c>
      <c r="U269" s="14">
        <v>1399</v>
      </c>
      <c r="V269" s="14">
        <v>1</v>
      </c>
      <c r="W269" s="12">
        <v>5.4999999999999997E-3</v>
      </c>
      <c r="X269" s="12">
        <v>8.0808197222651701E-2</v>
      </c>
      <c r="Y269" s="14">
        <v>1399</v>
      </c>
      <c r="Z269" s="14">
        <v>30</v>
      </c>
      <c r="AA269" s="12" t="s">
        <v>2367</v>
      </c>
    </row>
    <row r="270" spans="1:27" ht="14.25" x14ac:dyDescent="0.45">
      <c r="A270" s="12" t="s">
        <v>995</v>
      </c>
      <c r="B270" s="12" t="s">
        <v>1971</v>
      </c>
      <c r="C270" s="12" t="s">
        <v>1972</v>
      </c>
      <c r="D270" s="12" t="s">
        <v>1993</v>
      </c>
      <c r="E270" s="20">
        <v>35504</v>
      </c>
      <c r="F270" s="20">
        <v>44124</v>
      </c>
      <c r="G270" s="12">
        <v>187.77</v>
      </c>
      <c r="H270" s="12">
        <v>14.5666666666667</v>
      </c>
      <c r="I270" s="13">
        <v>12.8903890160183</v>
      </c>
      <c r="J270" s="12" t="s">
        <v>995</v>
      </c>
      <c r="K270" s="14">
        <v>229</v>
      </c>
      <c r="L270" s="14">
        <v>557</v>
      </c>
      <c r="M270" s="14">
        <v>294</v>
      </c>
      <c r="N270" s="12">
        <v>187.77</v>
      </c>
      <c r="O270" s="12" t="s">
        <v>995</v>
      </c>
      <c r="P270" s="12">
        <v>3.02053422773448E-2</v>
      </c>
      <c r="Q270" s="12">
        <v>5.8696737223945798E-2</v>
      </c>
      <c r="R270" s="12">
        <v>0.22026209677419401</v>
      </c>
      <c r="S270" s="14">
        <v>25</v>
      </c>
      <c r="T270" s="12">
        <v>4.8012464118970497</v>
      </c>
      <c r="U270" s="14">
        <v>272</v>
      </c>
      <c r="V270" s="14">
        <v>10</v>
      </c>
      <c r="W270" s="12">
        <v>6.4000000000000003E-3</v>
      </c>
      <c r="X270" s="12">
        <v>4.8076464118970499</v>
      </c>
      <c r="Y270" s="14">
        <v>272</v>
      </c>
      <c r="Z270" s="14">
        <v>25</v>
      </c>
      <c r="AA270" s="12" t="s">
        <v>2367</v>
      </c>
    </row>
    <row r="271" spans="1:27" ht="14.25" x14ac:dyDescent="0.45">
      <c r="A271" s="12" t="s">
        <v>997</v>
      </c>
      <c r="B271" s="12" t="s">
        <v>1971</v>
      </c>
      <c r="C271" s="12" t="s">
        <v>1972</v>
      </c>
      <c r="D271" s="12" t="s">
        <v>1982</v>
      </c>
      <c r="E271" s="20">
        <v>35412</v>
      </c>
      <c r="F271" s="20">
        <v>44280</v>
      </c>
      <c r="G271" s="12">
        <v>43.23</v>
      </c>
      <c r="H271" s="12">
        <v>9.3666666666666707</v>
      </c>
      <c r="I271" s="13">
        <v>4.6153024911031997</v>
      </c>
      <c r="J271" s="12" t="s">
        <v>997</v>
      </c>
      <c r="K271" s="14">
        <v>462</v>
      </c>
      <c r="L271" s="14">
        <v>1063</v>
      </c>
      <c r="M271" s="14">
        <v>503</v>
      </c>
      <c r="N271" s="12">
        <v>43.23</v>
      </c>
      <c r="O271" s="12" t="s">
        <v>997</v>
      </c>
      <c r="P271" s="12">
        <v>6.9541297685978302E-3</v>
      </c>
      <c r="Q271" s="12">
        <v>2.1015905508566701E-2</v>
      </c>
      <c r="R271" s="12">
        <v>0.141633064516129</v>
      </c>
      <c r="S271" s="14">
        <v>26</v>
      </c>
      <c r="T271" s="12">
        <v>1.57427396060784</v>
      </c>
      <c r="U271" s="14">
        <v>485</v>
      </c>
      <c r="V271" s="14">
        <v>6</v>
      </c>
      <c r="W271" s="12">
        <v>6.0000000000000001E-3</v>
      </c>
      <c r="X271" s="12">
        <v>1.58027396060784</v>
      </c>
      <c r="Y271" s="14">
        <v>485</v>
      </c>
      <c r="Z271" s="14">
        <v>25</v>
      </c>
      <c r="AA271" s="12" t="s">
        <v>2367</v>
      </c>
    </row>
    <row r="272" spans="1:27" ht="14.25" x14ac:dyDescent="0.45">
      <c r="A272" s="12" t="s">
        <v>1001</v>
      </c>
      <c r="B272" s="12" t="s">
        <v>1971</v>
      </c>
      <c r="C272" s="12" t="s">
        <v>1972</v>
      </c>
      <c r="D272" s="12" t="s">
        <v>1975</v>
      </c>
      <c r="E272" s="20">
        <v>34916</v>
      </c>
      <c r="F272" s="20">
        <v>44334</v>
      </c>
      <c r="G272" s="12">
        <v>5.04</v>
      </c>
      <c r="H272" s="12">
        <v>7.56666666666667</v>
      </c>
      <c r="I272" s="13">
        <v>0.66607929515418496</v>
      </c>
      <c r="J272" s="12" t="s">
        <v>1001</v>
      </c>
      <c r="K272" s="14">
        <v>951</v>
      </c>
      <c r="L272" s="14">
        <v>1269</v>
      </c>
      <c r="M272" s="14">
        <v>1033</v>
      </c>
      <c r="N272" s="12">
        <v>5.04</v>
      </c>
      <c r="O272" s="12" t="s">
        <v>1001</v>
      </c>
      <c r="P272" s="12">
        <v>8.1075211736602096E-4</v>
      </c>
      <c r="Q272" s="12">
        <v>3.0330101992571798E-3</v>
      </c>
      <c r="R272" s="12">
        <v>0.114415322580645</v>
      </c>
      <c r="S272" s="14">
        <v>27</v>
      </c>
      <c r="T272" s="12">
        <v>0.21996634185479999</v>
      </c>
      <c r="U272" s="14">
        <v>1010</v>
      </c>
      <c r="V272" s="14">
        <v>2</v>
      </c>
      <c r="W272" s="12">
        <v>5.5999999999999999E-3</v>
      </c>
      <c r="X272" s="12">
        <v>0.22556634185480001</v>
      </c>
      <c r="Y272" s="14">
        <v>1010</v>
      </c>
      <c r="Z272" s="14">
        <v>26</v>
      </c>
      <c r="AA272" s="12" t="s">
        <v>2367</v>
      </c>
    </row>
    <row r="273" spans="1:27" ht="14.25" x14ac:dyDescent="0.45">
      <c r="A273" s="12" t="s">
        <v>1003</v>
      </c>
      <c r="B273" s="12" t="s">
        <v>1971</v>
      </c>
      <c r="C273" s="12" t="s">
        <v>1972</v>
      </c>
      <c r="D273" s="12" t="s">
        <v>2014</v>
      </c>
      <c r="E273" s="20">
        <v>34876</v>
      </c>
      <c r="F273" s="20">
        <v>43913</v>
      </c>
      <c r="G273" s="12">
        <v>7.57</v>
      </c>
      <c r="H273" s="12">
        <v>21.6</v>
      </c>
      <c r="I273" s="13">
        <v>0.35046296296296298</v>
      </c>
      <c r="J273" s="12" t="s">
        <v>1003</v>
      </c>
      <c r="K273" s="14">
        <v>1188</v>
      </c>
      <c r="L273" s="14">
        <v>441</v>
      </c>
      <c r="M273" s="14">
        <v>901</v>
      </c>
      <c r="N273" s="12">
        <v>7.57</v>
      </c>
      <c r="O273" s="12" t="s">
        <v>1003</v>
      </c>
      <c r="P273" s="12">
        <v>1.2177368112025299E-3</v>
      </c>
      <c r="Q273" s="12">
        <v>1.59584264045094E-3</v>
      </c>
      <c r="R273" s="12">
        <v>0.32661290322580599</v>
      </c>
      <c r="S273" s="14">
        <v>27</v>
      </c>
      <c r="T273" s="12">
        <v>0.14540529544827899</v>
      </c>
      <c r="U273" s="14">
        <v>1171</v>
      </c>
      <c r="V273" s="14">
        <v>4</v>
      </c>
      <c r="W273" s="12">
        <v>5.7999999999999996E-3</v>
      </c>
      <c r="X273" s="12">
        <v>0.15120529544827899</v>
      </c>
      <c r="Y273" s="14">
        <v>1169</v>
      </c>
      <c r="Z273" s="14">
        <v>27</v>
      </c>
      <c r="AA273" s="12" t="s">
        <v>2367</v>
      </c>
    </row>
    <row r="274" spans="1:27" ht="14.25" x14ac:dyDescent="0.45">
      <c r="A274" s="12" t="s">
        <v>1007</v>
      </c>
      <c r="B274" s="12" t="s">
        <v>1971</v>
      </c>
      <c r="C274" s="12" t="s">
        <v>1972</v>
      </c>
      <c r="D274" s="12" t="s">
        <v>2026</v>
      </c>
      <c r="E274" s="20">
        <v>32574</v>
      </c>
      <c r="F274" s="20">
        <v>44334</v>
      </c>
      <c r="G274" s="12">
        <v>0.16</v>
      </c>
      <c r="H274" s="12">
        <v>7.56666666666667</v>
      </c>
      <c r="I274" s="13">
        <v>2.1145374449339199E-2</v>
      </c>
      <c r="J274" s="12" t="s">
        <v>1007</v>
      </c>
      <c r="K274" s="14">
        <v>1682</v>
      </c>
      <c r="L274" s="14">
        <v>1269</v>
      </c>
      <c r="M274" s="14">
        <v>1801</v>
      </c>
      <c r="N274" s="12">
        <v>0.16</v>
      </c>
      <c r="O274" s="12" t="s">
        <v>1007</v>
      </c>
      <c r="P274" s="12">
        <v>2.5738162456064101E-5</v>
      </c>
      <c r="Q274" s="12">
        <v>9.6286038071656605E-5</v>
      </c>
      <c r="R274" s="12">
        <v>0.114415322580645</v>
      </c>
      <c r="S274" s="14">
        <v>33</v>
      </c>
      <c r="T274" s="12">
        <v>6.9830584715809404E-3</v>
      </c>
      <c r="U274" s="14">
        <v>1792</v>
      </c>
      <c r="V274" s="14">
        <v>2</v>
      </c>
      <c r="W274" s="12">
        <v>5.5999999999999999E-3</v>
      </c>
      <c r="X274" s="12">
        <v>1.25830584715809E-2</v>
      </c>
      <c r="Y274" s="14">
        <v>1789</v>
      </c>
      <c r="Z274" s="14">
        <v>33</v>
      </c>
      <c r="AA274" s="12" t="s">
        <v>2367</v>
      </c>
    </row>
    <row r="275" spans="1:27" ht="14.25" x14ac:dyDescent="0.45">
      <c r="A275" s="12" t="s">
        <v>1009</v>
      </c>
      <c r="B275" s="12" t="s">
        <v>1971</v>
      </c>
      <c r="C275" s="12" t="s">
        <v>1972</v>
      </c>
      <c r="D275" s="12" t="s">
        <v>1978</v>
      </c>
      <c r="E275" s="20">
        <v>34793</v>
      </c>
      <c r="F275" s="20">
        <v>44279</v>
      </c>
      <c r="G275" s="12">
        <v>0.01</v>
      </c>
      <c r="H275" s="12">
        <v>9.4</v>
      </c>
      <c r="I275" s="13">
        <v>1.06382978723404E-3</v>
      </c>
      <c r="J275" s="12" t="s">
        <v>1009</v>
      </c>
      <c r="K275" s="14">
        <v>1828</v>
      </c>
      <c r="L275" s="14">
        <v>1056</v>
      </c>
      <c r="M275" s="14">
        <v>1944</v>
      </c>
      <c r="N275" s="12">
        <v>0.01</v>
      </c>
      <c r="O275" s="12" t="s">
        <v>1009</v>
      </c>
      <c r="P275" s="12">
        <v>1.6086351535040101E-6</v>
      </c>
      <c r="Q275" s="12">
        <v>4.8441778905731501E-6</v>
      </c>
      <c r="R275" s="12">
        <v>0.14213709677419401</v>
      </c>
      <c r="S275" s="14">
        <v>27</v>
      </c>
      <c r="T275" s="12">
        <v>3.6308493641722198E-4</v>
      </c>
      <c r="U275" s="14">
        <v>1946</v>
      </c>
      <c r="V275" s="14">
        <v>1</v>
      </c>
      <c r="W275" s="12">
        <v>5.4999999999999997E-3</v>
      </c>
      <c r="X275" s="12">
        <v>5.86308493641722E-3</v>
      </c>
      <c r="Y275" s="14">
        <v>1948</v>
      </c>
      <c r="Z275" s="14">
        <v>27</v>
      </c>
      <c r="AA275" s="12" t="s">
        <v>2367</v>
      </c>
    </row>
    <row r="276" spans="1:27" ht="14.25" x14ac:dyDescent="0.45">
      <c r="A276" s="12" t="s">
        <v>1010</v>
      </c>
      <c r="B276" s="12" t="s">
        <v>1971</v>
      </c>
      <c r="C276" s="12" t="s">
        <v>1972</v>
      </c>
      <c r="D276" s="12" t="s">
        <v>2020</v>
      </c>
      <c r="E276" s="20">
        <v>32098</v>
      </c>
      <c r="F276" s="20">
        <v>44326</v>
      </c>
      <c r="G276" s="12">
        <v>29.58</v>
      </c>
      <c r="H276" s="12">
        <v>7.8333333333333304</v>
      </c>
      <c r="I276" s="13">
        <v>3.77617021276596</v>
      </c>
      <c r="J276" s="12" t="s">
        <v>1010</v>
      </c>
      <c r="K276" s="14">
        <v>503</v>
      </c>
      <c r="L276" s="14">
        <v>1244</v>
      </c>
      <c r="M276" s="14">
        <v>570</v>
      </c>
      <c r="N276" s="12">
        <v>29.58</v>
      </c>
      <c r="O276" s="12" t="s">
        <v>1010</v>
      </c>
      <c r="P276" s="12">
        <v>4.7583427840648604E-3</v>
      </c>
      <c r="Q276" s="12">
        <v>1.7194893840378402E-2</v>
      </c>
      <c r="R276" s="12">
        <v>0.118447580645161</v>
      </c>
      <c r="S276" s="14">
        <v>35</v>
      </c>
      <c r="T276" s="12">
        <v>1.25311871942608</v>
      </c>
      <c r="U276" s="14">
        <v>530</v>
      </c>
      <c r="V276" s="14">
        <v>2</v>
      </c>
      <c r="W276" s="12">
        <v>5.5999999999999999E-3</v>
      </c>
      <c r="X276" s="12">
        <v>1.25871871942608</v>
      </c>
      <c r="Y276" s="14">
        <v>530</v>
      </c>
      <c r="Z276" s="14">
        <v>34</v>
      </c>
      <c r="AA276" s="12" t="s">
        <v>2367</v>
      </c>
    </row>
    <row r="277" spans="1:27" ht="14.25" x14ac:dyDescent="0.45">
      <c r="A277" s="12" t="s">
        <v>1013</v>
      </c>
      <c r="B277" s="12" t="s">
        <v>1971</v>
      </c>
      <c r="C277" s="12" t="s">
        <v>1972</v>
      </c>
      <c r="D277" s="12" t="s">
        <v>2007</v>
      </c>
      <c r="E277" s="20">
        <v>34246</v>
      </c>
      <c r="F277" s="20">
        <v>44335</v>
      </c>
      <c r="G277" s="12">
        <v>0.02</v>
      </c>
      <c r="H277" s="12">
        <v>7.5333333333333297</v>
      </c>
      <c r="I277" s="13">
        <v>2.6548672566371698E-3</v>
      </c>
      <c r="J277" s="12" t="s">
        <v>1013</v>
      </c>
      <c r="K277" s="14">
        <v>1802</v>
      </c>
      <c r="L277" s="14">
        <v>1332</v>
      </c>
      <c r="M277" s="14">
        <v>1922</v>
      </c>
      <c r="N277" s="12">
        <v>0.02</v>
      </c>
      <c r="O277" s="12" t="s">
        <v>1013</v>
      </c>
      <c r="P277" s="12">
        <v>3.2172703070080202E-6</v>
      </c>
      <c r="Q277" s="12">
        <v>1.2089010310987901E-5</v>
      </c>
      <c r="R277" s="12">
        <v>0.113911290322581</v>
      </c>
      <c r="S277" s="14">
        <v>29</v>
      </c>
      <c r="T277" s="12">
        <v>8.7621078094954103E-4</v>
      </c>
      <c r="U277" s="14">
        <v>1917</v>
      </c>
      <c r="V277" s="14">
        <v>1</v>
      </c>
      <c r="W277" s="12">
        <v>5.4999999999999997E-3</v>
      </c>
      <c r="X277" s="12">
        <v>6.3762107809495396E-3</v>
      </c>
      <c r="Y277" s="14">
        <v>1918</v>
      </c>
      <c r="Z277" s="14">
        <v>28</v>
      </c>
      <c r="AA277" s="12" t="s">
        <v>2367</v>
      </c>
    </row>
    <row r="278" spans="1:27" ht="14.25" x14ac:dyDescent="0.45">
      <c r="A278" s="12" t="s">
        <v>1014</v>
      </c>
      <c r="B278" s="12" t="s">
        <v>1971</v>
      </c>
      <c r="C278" s="12" t="s">
        <v>1972</v>
      </c>
      <c r="D278" s="12" t="s">
        <v>2007</v>
      </c>
      <c r="E278" s="20">
        <v>33204</v>
      </c>
      <c r="F278" s="20">
        <v>43836</v>
      </c>
      <c r="G278" s="12">
        <v>15.14</v>
      </c>
      <c r="H278" s="12">
        <v>24.1666666666667</v>
      </c>
      <c r="I278" s="13">
        <v>0.62648275862069003</v>
      </c>
      <c r="J278" s="12" t="s">
        <v>1014</v>
      </c>
      <c r="K278" s="14">
        <v>980</v>
      </c>
      <c r="L278" s="14">
        <v>382</v>
      </c>
      <c r="M278" s="14">
        <v>765</v>
      </c>
      <c r="N278" s="12">
        <v>15.14</v>
      </c>
      <c r="O278" s="12" t="s">
        <v>1014</v>
      </c>
      <c r="P278" s="12">
        <v>2.4354736224050698E-3</v>
      </c>
      <c r="Q278" s="12">
        <v>2.8527062924474799E-3</v>
      </c>
      <c r="R278" s="12">
        <v>0.36542338709677402</v>
      </c>
      <c r="S278" s="14">
        <v>32</v>
      </c>
      <c r="T278" s="12">
        <v>0.26962440411815802</v>
      </c>
      <c r="U278" s="14">
        <v>949</v>
      </c>
      <c r="V278" s="14">
        <v>1</v>
      </c>
      <c r="W278" s="12">
        <v>5.4999999999999997E-3</v>
      </c>
      <c r="X278" s="12">
        <v>0.27512440411815797</v>
      </c>
      <c r="Y278" s="14">
        <v>949</v>
      </c>
      <c r="Z278" s="14">
        <v>31</v>
      </c>
      <c r="AA278" s="12" t="s">
        <v>2367</v>
      </c>
    </row>
    <row r="279" spans="1:27" ht="14.25" x14ac:dyDescent="0.45">
      <c r="A279" s="12" t="s">
        <v>1018</v>
      </c>
      <c r="B279" s="12" t="s">
        <v>1971</v>
      </c>
      <c r="C279" s="12" t="s">
        <v>1972</v>
      </c>
      <c r="D279" s="12" t="s">
        <v>1993</v>
      </c>
      <c r="E279" s="20">
        <v>34300</v>
      </c>
      <c r="F279" s="20">
        <v>44337</v>
      </c>
      <c r="G279" s="12">
        <v>0.03</v>
      </c>
      <c r="H279" s="12">
        <v>7.4666666666666703</v>
      </c>
      <c r="I279" s="13">
        <v>4.0178571428571399E-3</v>
      </c>
      <c r="J279" s="12" t="s">
        <v>1018</v>
      </c>
      <c r="K279" s="14">
        <v>1784</v>
      </c>
      <c r="L279" s="14">
        <v>1428</v>
      </c>
      <c r="M279" s="14">
        <v>1895</v>
      </c>
      <c r="N279" s="12">
        <v>0.03</v>
      </c>
      <c r="O279" s="12" t="s">
        <v>1018</v>
      </c>
      <c r="P279" s="12">
        <v>4.8259054605120303E-6</v>
      </c>
      <c r="Q279" s="12">
        <v>1.8295421854575401E-5</v>
      </c>
      <c r="R279" s="12">
        <v>0.112903225806452</v>
      </c>
      <c r="S279" s="14">
        <v>29</v>
      </c>
      <c r="T279" s="12">
        <v>1.3244353206801601E-3</v>
      </c>
      <c r="U279" s="14">
        <v>1890</v>
      </c>
      <c r="V279" s="14">
        <v>2</v>
      </c>
      <c r="W279" s="12">
        <v>5.5999999999999999E-3</v>
      </c>
      <c r="X279" s="12">
        <v>6.92443532068016E-3</v>
      </c>
      <c r="Y279" s="14">
        <v>1889</v>
      </c>
      <c r="Z279" s="14">
        <v>28</v>
      </c>
      <c r="AA279" s="12" t="s">
        <v>2367</v>
      </c>
    </row>
    <row r="280" spans="1:27" ht="14.25" x14ac:dyDescent="0.45">
      <c r="A280" s="12" t="s">
        <v>1020</v>
      </c>
      <c r="B280" s="12" t="s">
        <v>1971</v>
      </c>
      <c r="C280" s="12" t="s">
        <v>1972</v>
      </c>
      <c r="D280" s="12" t="s">
        <v>1982</v>
      </c>
      <c r="E280" s="20">
        <v>35097</v>
      </c>
      <c r="F280" s="20">
        <v>44291</v>
      </c>
      <c r="G280" s="12">
        <v>5.31</v>
      </c>
      <c r="H280" s="12">
        <v>9</v>
      </c>
      <c r="I280" s="13">
        <v>0.59</v>
      </c>
      <c r="J280" s="12" t="s">
        <v>1020</v>
      </c>
      <c r="K280" s="14">
        <v>1001</v>
      </c>
      <c r="L280" s="14">
        <v>1137</v>
      </c>
      <c r="M280" s="14">
        <v>1015</v>
      </c>
      <c r="N280" s="12">
        <v>5.31</v>
      </c>
      <c r="O280" s="12" t="s">
        <v>1020</v>
      </c>
      <c r="P280" s="12">
        <v>8.5418526651062903E-4</v>
      </c>
      <c r="Q280" s="12">
        <v>2.6865810581118699E-3</v>
      </c>
      <c r="R280" s="12">
        <v>0.13608870967741901</v>
      </c>
      <c r="S280" s="14">
        <v>26</v>
      </c>
      <c r="T280" s="12">
        <v>0.19994326362614001</v>
      </c>
      <c r="U280" s="14">
        <v>1044</v>
      </c>
      <c r="V280" s="14">
        <v>1</v>
      </c>
      <c r="W280" s="12">
        <v>5.4999999999999997E-3</v>
      </c>
      <c r="X280" s="12">
        <v>0.20544326362613999</v>
      </c>
      <c r="Y280" s="14">
        <v>1044</v>
      </c>
      <c r="Z280" s="14">
        <v>26</v>
      </c>
      <c r="AA280" s="12" t="s">
        <v>2367</v>
      </c>
    </row>
    <row r="281" spans="1:27" ht="14.25" x14ac:dyDescent="0.45">
      <c r="A281" s="12" t="s">
        <v>1040</v>
      </c>
      <c r="B281" s="12" t="s">
        <v>1971</v>
      </c>
      <c r="C281" s="12" t="s">
        <v>1972</v>
      </c>
      <c r="D281" s="12" t="s">
        <v>1993</v>
      </c>
      <c r="E281" s="20">
        <v>34133</v>
      </c>
      <c r="F281" s="20">
        <v>44290</v>
      </c>
      <c r="G281" s="12">
        <v>2</v>
      </c>
      <c r="H281" s="12">
        <v>9.0333333333333297</v>
      </c>
      <c r="I281" s="13">
        <v>0.22140221402214</v>
      </c>
      <c r="J281" s="12" t="s">
        <v>1040</v>
      </c>
      <c r="K281" s="14">
        <v>1319</v>
      </c>
      <c r="L281" s="14">
        <v>1133</v>
      </c>
      <c r="M281" s="14">
        <v>1359</v>
      </c>
      <c r="N281" s="12">
        <v>2</v>
      </c>
      <c r="O281" s="12" t="s">
        <v>1040</v>
      </c>
      <c r="P281" s="12">
        <v>3.2172703070080199E-4</v>
      </c>
      <c r="Q281" s="12">
        <v>1.0081610074846E-3</v>
      </c>
      <c r="R281" s="12">
        <v>0.13659274193548401</v>
      </c>
      <c r="S281" s="14">
        <v>29</v>
      </c>
      <c r="T281" s="12">
        <v>7.5074826619067295E-2</v>
      </c>
      <c r="U281" s="14">
        <v>1405</v>
      </c>
      <c r="V281" s="14">
        <v>1</v>
      </c>
      <c r="W281" s="12">
        <v>5.4999999999999997E-3</v>
      </c>
      <c r="X281" s="12">
        <v>8.05748266190673E-2</v>
      </c>
      <c r="Y281" s="14">
        <v>1406</v>
      </c>
      <c r="Z281" s="14">
        <v>29</v>
      </c>
      <c r="AA281" s="12" t="s">
        <v>2367</v>
      </c>
    </row>
    <row r="282" spans="1:27" ht="14.25" x14ac:dyDescent="0.45">
      <c r="A282" s="12" t="s">
        <v>1060</v>
      </c>
      <c r="B282" s="12" t="s">
        <v>1971</v>
      </c>
      <c r="C282" s="12" t="s">
        <v>1972</v>
      </c>
      <c r="D282" s="12" t="s">
        <v>1995</v>
      </c>
      <c r="E282" s="20">
        <v>34818</v>
      </c>
      <c r="F282" s="20">
        <v>44287</v>
      </c>
      <c r="G282" s="12">
        <v>2</v>
      </c>
      <c r="H282" s="12">
        <v>9.1333333333333293</v>
      </c>
      <c r="I282" s="13">
        <v>0.218978102189781</v>
      </c>
      <c r="J282" s="12" t="s">
        <v>1060</v>
      </c>
      <c r="K282" s="14">
        <v>1320</v>
      </c>
      <c r="L282" s="14">
        <v>1119</v>
      </c>
      <c r="M282" s="14">
        <v>1359</v>
      </c>
      <c r="N282" s="12">
        <v>2</v>
      </c>
      <c r="O282" s="12" t="s">
        <v>1060</v>
      </c>
      <c r="P282" s="12">
        <v>3.2172703070080199E-4</v>
      </c>
      <c r="Q282" s="12">
        <v>9.9712274827856002E-4</v>
      </c>
      <c r="R282" s="12">
        <v>0.13810483870967699</v>
      </c>
      <c r="S282" s="14">
        <v>27</v>
      </c>
      <c r="T282" s="12">
        <v>7.4384935418690096E-2</v>
      </c>
      <c r="U282" s="14">
        <v>1410</v>
      </c>
      <c r="V282" s="14">
        <v>1</v>
      </c>
      <c r="W282" s="12">
        <v>5.4999999999999997E-3</v>
      </c>
      <c r="X282" s="12">
        <v>7.9884935418690101E-2</v>
      </c>
      <c r="Y282" s="14">
        <v>1410</v>
      </c>
      <c r="Z282" s="14">
        <v>27</v>
      </c>
      <c r="AA282" s="12" t="s">
        <v>2367</v>
      </c>
    </row>
    <row r="283" spans="1:27" ht="14.25" x14ac:dyDescent="0.45">
      <c r="A283" s="12" t="s">
        <v>1063</v>
      </c>
      <c r="B283" s="12" t="s">
        <v>1971</v>
      </c>
      <c r="C283" s="12" t="s">
        <v>1972</v>
      </c>
      <c r="D283" s="12" t="s">
        <v>1978</v>
      </c>
      <c r="E283" s="20">
        <v>32528</v>
      </c>
      <c r="F283" s="20">
        <v>44326</v>
      </c>
      <c r="G283" s="12">
        <v>13.4</v>
      </c>
      <c r="H283" s="12">
        <v>7.8333333333333304</v>
      </c>
      <c r="I283" s="13">
        <v>1.71063829787234</v>
      </c>
      <c r="J283" s="12" t="s">
        <v>1063</v>
      </c>
      <c r="K283" s="14">
        <v>703</v>
      </c>
      <c r="L283" s="14">
        <v>1244</v>
      </c>
      <c r="M283" s="14">
        <v>784</v>
      </c>
      <c r="N283" s="12">
        <v>13.4</v>
      </c>
      <c r="O283" s="12" t="s">
        <v>1063</v>
      </c>
      <c r="P283" s="12">
        <v>2.1555711056953702E-3</v>
      </c>
      <c r="Q283" s="12">
        <v>7.7894380480416203E-3</v>
      </c>
      <c r="R283" s="12">
        <v>0.118447580645161</v>
      </c>
      <c r="S283" s="14">
        <v>33</v>
      </c>
      <c r="T283" s="12">
        <v>0.56767379446617805</v>
      </c>
      <c r="U283" s="14">
        <v>759</v>
      </c>
      <c r="V283" s="14">
        <v>2</v>
      </c>
      <c r="W283" s="12">
        <v>5.5999999999999999E-3</v>
      </c>
      <c r="X283" s="12">
        <v>0.57327379446617799</v>
      </c>
      <c r="Y283" s="14">
        <v>759</v>
      </c>
      <c r="Z283" s="14">
        <v>33</v>
      </c>
      <c r="AA283" s="12" t="s">
        <v>2367</v>
      </c>
    </row>
    <row r="284" spans="1:27" ht="14.25" x14ac:dyDescent="0.45">
      <c r="A284" s="12" t="s">
        <v>1065</v>
      </c>
      <c r="B284" s="12" t="s">
        <v>1971</v>
      </c>
      <c r="C284" s="12" t="s">
        <v>1972</v>
      </c>
      <c r="D284" s="12" t="s">
        <v>1993</v>
      </c>
      <c r="E284" s="20">
        <v>33064</v>
      </c>
      <c r="F284" s="20">
        <v>44306</v>
      </c>
      <c r="G284" s="12">
        <v>2</v>
      </c>
      <c r="H284" s="12">
        <v>8.5</v>
      </c>
      <c r="I284" s="13">
        <v>0.23529411764705899</v>
      </c>
      <c r="J284" s="12" t="s">
        <v>1065</v>
      </c>
      <c r="K284" s="14">
        <v>1301</v>
      </c>
      <c r="L284" s="14">
        <v>1204</v>
      </c>
      <c r="M284" s="14">
        <v>1359</v>
      </c>
      <c r="N284" s="12">
        <v>2</v>
      </c>
      <c r="O284" s="12" t="s">
        <v>1065</v>
      </c>
      <c r="P284" s="12">
        <v>3.2172703070080199E-4</v>
      </c>
      <c r="Q284" s="12">
        <v>1.0714181687385301E-3</v>
      </c>
      <c r="R284" s="12">
        <v>0.12852822580645201</v>
      </c>
      <c r="S284" s="14">
        <v>32</v>
      </c>
      <c r="T284" s="12">
        <v>7.9028399197438301E-2</v>
      </c>
      <c r="U284" s="14">
        <v>1365</v>
      </c>
      <c r="V284" s="14">
        <v>1</v>
      </c>
      <c r="W284" s="12">
        <v>5.4999999999999997E-3</v>
      </c>
      <c r="X284" s="12">
        <v>8.4528399197438306E-2</v>
      </c>
      <c r="Y284" s="14">
        <v>1365</v>
      </c>
      <c r="Z284" s="14">
        <v>32</v>
      </c>
      <c r="AA284" s="12" t="s">
        <v>2367</v>
      </c>
    </row>
    <row r="285" spans="1:27" ht="14.25" x14ac:dyDescent="0.45">
      <c r="A285" s="12" t="s">
        <v>1066</v>
      </c>
      <c r="B285" s="12" t="s">
        <v>1971</v>
      </c>
      <c r="C285" s="12" t="s">
        <v>1972</v>
      </c>
      <c r="D285" s="12" t="s">
        <v>1975</v>
      </c>
      <c r="E285" s="20">
        <v>34635</v>
      </c>
      <c r="F285" s="20">
        <v>44335</v>
      </c>
      <c r="G285" s="12">
        <v>7.68</v>
      </c>
      <c r="H285" s="12">
        <v>7.5333333333333297</v>
      </c>
      <c r="I285" s="13">
        <v>1.0194690265486701</v>
      </c>
      <c r="J285" s="12" t="s">
        <v>1066</v>
      </c>
      <c r="K285" s="14">
        <v>814</v>
      </c>
      <c r="L285" s="14">
        <v>1332</v>
      </c>
      <c r="M285" s="14">
        <v>898</v>
      </c>
      <c r="N285" s="12">
        <v>7.68</v>
      </c>
      <c r="O285" s="12" t="s">
        <v>1066</v>
      </c>
      <c r="P285" s="12">
        <v>1.23543179789108E-3</v>
      </c>
      <c r="Q285" s="12">
        <v>4.6421799594193397E-3</v>
      </c>
      <c r="R285" s="12">
        <v>0.113911290322581</v>
      </c>
      <c r="S285" s="14">
        <v>28</v>
      </c>
      <c r="T285" s="12">
        <v>0.336464939884624</v>
      </c>
      <c r="U285" s="14">
        <v>887</v>
      </c>
      <c r="V285" s="14">
        <v>1</v>
      </c>
      <c r="W285" s="12">
        <v>5.4999999999999997E-3</v>
      </c>
      <c r="X285" s="12">
        <v>0.34196493988462401</v>
      </c>
      <c r="Y285" s="14">
        <v>887</v>
      </c>
      <c r="Z285" s="14">
        <v>27</v>
      </c>
      <c r="AA285" s="12" t="s">
        <v>2367</v>
      </c>
    </row>
    <row r="286" spans="1:27" ht="14.25" x14ac:dyDescent="0.45">
      <c r="A286" s="12" t="s">
        <v>1067</v>
      </c>
      <c r="B286" s="12" t="s">
        <v>1971</v>
      </c>
      <c r="C286" s="12" t="s">
        <v>1972</v>
      </c>
      <c r="D286" s="12" t="s">
        <v>2026</v>
      </c>
      <c r="E286" s="20">
        <v>34902</v>
      </c>
      <c r="F286" s="20">
        <v>44334</v>
      </c>
      <c r="G286" s="12">
        <v>2.87</v>
      </c>
      <c r="H286" s="12">
        <v>7.56666666666667</v>
      </c>
      <c r="I286" s="13">
        <v>0.37929515418502202</v>
      </c>
      <c r="J286" s="12" t="s">
        <v>1067</v>
      </c>
      <c r="K286" s="14">
        <v>1160</v>
      </c>
      <c r="L286" s="14">
        <v>1269</v>
      </c>
      <c r="M286" s="14">
        <v>1242</v>
      </c>
      <c r="N286" s="12">
        <v>2.87</v>
      </c>
      <c r="O286" s="12" t="s">
        <v>1067</v>
      </c>
      <c r="P286" s="12">
        <v>4.6167828905565098E-4</v>
      </c>
      <c r="Q286" s="12">
        <v>1.7271308079103401E-3</v>
      </c>
      <c r="R286" s="12">
        <v>0.114415322580645</v>
      </c>
      <c r="S286" s="14">
        <v>27</v>
      </c>
      <c r="T286" s="12">
        <v>0.125258611333983</v>
      </c>
      <c r="U286" s="14">
        <v>1216</v>
      </c>
      <c r="V286" s="14">
        <v>2</v>
      </c>
      <c r="W286" s="12">
        <v>5.5999999999999999E-3</v>
      </c>
      <c r="X286" s="12">
        <v>0.13085861133398299</v>
      </c>
      <c r="Y286" s="14">
        <v>1216</v>
      </c>
      <c r="Z286" s="14">
        <v>26</v>
      </c>
      <c r="AA286" s="12" t="s">
        <v>2367</v>
      </c>
    </row>
    <row r="287" spans="1:27" ht="14.25" x14ac:dyDescent="0.45">
      <c r="A287" s="12" t="s">
        <v>1076</v>
      </c>
      <c r="B287" s="12" t="s">
        <v>1971</v>
      </c>
      <c r="C287" s="12" t="s">
        <v>1972</v>
      </c>
      <c r="D287" s="12" t="s">
        <v>2026</v>
      </c>
      <c r="E287" s="20">
        <v>34149</v>
      </c>
      <c r="F287" s="20">
        <v>44334</v>
      </c>
      <c r="G287" s="12">
        <v>53.05</v>
      </c>
      <c r="H287" s="12">
        <v>7.56666666666667</v>
      </c>
      <c r="I287" s="13">
        <v>7.0110132158590304</v>
      </c>
      <c r="J287" s="12" t="s">
        <v>1076</v>
      </c>
      <c r="K287" s="14">
        <v>378</v>
      </c>
      <c r="L287" s="14">
        <v>1269</v>
      </c>
      <c r="M287" s="14">
        <v>474</v>
      </c>
      <c r="N287" s="12">
        <v>53.05</v>
      </c>
      <c r="O287" s="12" t="s">
        <v>1076</v>
      </c>
      <c r="P287" s="12">
        <v>8.5338094893387707E-3</v>
      </c>
      <c r="Q287" s="12">
        <v>3.19248394981336E-2</v>
      </c>
      <c r="R287" s="12">
        <v>0.114415322580645</v>
      </c>
      <c r="S287" s="14">
        <v>29</v>
      </c>
      <c r="T287" s="12">
        <v>2.3153203244835598</v>
      </c>
      <c r="U287" s="14">
        <v>412</v>
      </c>
      <c r="V287" s="14">
        <v>2</v>
      </c>
      <c r="W287" s="12">
        <v>5.5999999999999999E-3</v>
      </c>
      <c r="X287" s="12">
        <v>2.3209203244835601</v>
      </c>
      <c r="Y287" s="14">
        <v>412</v>
      </c>
      <c r="Z287" s="14">
        <v>29</v>
      </c>
      <c r="AA287" s="12" t="s">
        <v>2367</v>
      </c>
    </row>
    <row r="288" spans="1:27" ht="14.25" x14ac:dyDescent="0.45">
      <c r="A288" s="12" t="s">
        <v>1083</v>
      </c>
      <c r="B288" s="12" t="s">
        <v>1971</v>
      </c>
      <c r="C288" s="12" t="s">
        <v>1972</v>
      </c>
      <c r="D288" s="12" t="s">
        <v>1990</v>
      </c>
      <c r="E288" s="20">
        <v>35265</v>
      </c>
      <c r="F288" s="20">
        <v>44305</v>
      </c>
      <c r="G288" s="12">
        <v>5.68</v>
      </c>
      <c r="H288" s="12">
        <v>8.5333333333333297</v>
      </c>
      <c r="I288" s="13">
        <v>0.66562500000000002</v>
      </c>
      <c r="J288" s="12" t="s">
        <v>1083</v>
      </c>
      <c r="K288" s="14">
        <v>952</v>
      </c>
      <c r="L288" s="14">
        <v>1193</v>
      </c>
      <c r="M288" s="14">
        <v>989</v>
      </c>
      <c r="N288" s="12">
        <v>5.68</v>
      </c>
      <c r="O288" s="12" t="s">
        <v>1083</v>
      </c>
      <c r="P288" s="12">
        <v>9.1370476719027701E-4</v>
      </c>
      <c r="Q288" s="12">
        <v>3.0309415539079899E-3</v>
      </c>
      <c r="R288" s="12">
        <v>0.12903225806451599</v>
      </c>
      <c r="S288" s="14">
        <v>26</v>
      </c>
      <c r="T288" s="12">
        <v>0.22369777588888501</v>
      </c>
      <c r="U288" s="14">
        <v>1003</v>
      </c>
      <c r="V288" s="14">
        <v>2</v>
      </c>
      <c r="W288" s="12">
        <v>5.5999999999999999E-3</v>
      </c>
      <c r="X288" s="12">
        <v>0.229297775888885</v>
      </c>
      <c r="Y288" s="14">
        <v>1003</v>
      </c>
      <c r="Z288" s="14">
        <v>25</v>
      </c>
      <c r="AA288" s="12" t="s">
        <v>2367</v>
      </c>
    </row>
    <row r="289" spans="1:27" ht="14.25" x14ac:dyDescent="0.45">
      <c r="A289" s="12" t="s">
        <v>1084</v>
      </c>
      <c r="B289" s="12" t="s">
        <v>1971</v>
      </c>
      <c r="C289" s="12" t="s">
        <v>1972</v>
      </c>
      <c r="D289" s="12" t="s">
        <v>2026</v>
      </c>
      <c r="E289" s="20">
        <v>34686</v>
      </c>
      <c r="F289" s="20">
        <v>44328</v>
      </c>
      <c r="G289" s="12">
        <v>0.49</v>
      </c>
      <c r="H289" s="12">
        <v>7.7666666666666702</v>
      </c>
      <c r="I289" s="13">
        <v>6.3090128755364794E-2</v>
      </c>
      <c r="J289" s="12" t="s">
        <v>1084</v>
      </c>
      <c r="K289" s="14">
        <v>1577</v>
      </c>
      <c r="L289" s="14">
        <v>1260</v>
      </c>
      <c r="M289" s="14">
        <v>1692</v>
      </c>
      <c r="N289" s="12">
        <v>0.49</v>
      </c>
      <c r="O289" s="12" t="s">
        <v>1084</v>
      </c>
      <c r="P289" s="12">
        <v>7.8823122521696402E-5</v>
      </c>
      <c r="Q289" s="12">
        <v>2.8728261842034199E-4</v>
      </c>
      <c r="R289" s="12">
        <v>0.117439516129032</v>
      </c>
      <c r="S289" s="14">
        <v>28</v>
      </c>
      <c r="T289" s="12">
        <v>2.0911030745834999E-2</v>
      </c>
      <c r="U289" s="14">
        <v>1679</v>
      </c>
      <c r="V289" s="14">
        <v>3</v>
      </c>
      <c r="W289" s="12">
        <v>5.7000000000000002E-3</v>
      </c>
      <c r="X289" s="12">
        <v>2.6611030745834999E-2</v>
      </c>
      <c r="Y289" s="14">
        <v>1679</v>
      </c>
      <c r="Z289" s="14">
        <v>27</v>
      </c>
      <c r="AA289" s="12" t="s">
        <v>2367</v>
      </c>
    </row>
    <row r="290" spans="1:27" ht="14.25" x14ac:dyDescent="0.45">
      <c r="A290" s="12" t="s">
        <v>1092</v>
      </c>
      <c r="B290" s="12" t="s">
        <v>1971</v>
      </c>
      <c r="C290" s="12" t="s">
        <v>1972</v>
      </c>
      <c r="D290" s="12" t="s">
        <v>1975</v>
      </c>
      <c r="E290" s="20">
        <v>33666</v>
      </c>
      <c r="F290" s="20">
        <v>44335</v>
      </c>
      <c r="G290" s="12">
        <v>0.2</v>
      </c>
      <c r="H290" s="12">
        <v>7.5333333333333297</v>
      </c>
      <c r="I290" s="13">
        <v>2.6548672566371698E-2</v>
      </c>
      <c r="J290" s="12" t="s">
        <v>1092</v>
      </c>
      <c r="K290" s="14">
        <v>1667</v>
      </c>
      <c r="L290" s="14">
        <v>1332</v>
      </c>
      <c r="M290" s="14">
        <v>1780</v>
      </c>
      <c r="N290" s="12">
        <v>0.2</v>
      </c>
      <c r="O290" s="12" t="s">
        <v>1092</v>
      </c>
      <c r="P290" s="12">
        <v>3.2172703070080199E-5</v>
      </c>
      <c r="Q290" s="12">
        <v>1.20890103109879E-4</v>
      </c>
      <c r="R290" s="12">
        <v>0.113911290322581</v>
      </c>
      <c r="S290" s="14">
        <v>30</v>
      </c>
      <c r="T290" s="12">
        <v>8.7621078094954202E-3</v>
      </c>
      <c r="U290" s="14">
        <v>1771</v>
      </c>
      <c r="V290" s="14">
        <v>2</v>
      </c>
      <c r="W290" s="12">
        <v>5.5999999999999999E-3</v>
      </c>
      <c r="X290" s="12">
        <v>1.43621078094954E-2</v>
      </c>
      <c r="Y290" s="14">
        <v>1770</v>
      </c>
      <c r="Z290" s="14">
        <v>30</v>
      </c>
      <c r="AA290" s="12" t="s">
        <v>2367</v>
      </c>
    </row>
    <row r="291" spans="1:27" ht="14.25" x14ac:dyDescent="0.45">
      <c r="A291" s="12" t="s">
        <v>1099</v>
      </c>
      <c r="B291" s="12" t="s">
        <v>1971</v>
      </c>
      <c r="C291" s="12" t="s">
        <v>1972</v>
      </c>
      <c r="D291" s="12" t="s">
        <v>1993</v>
      </c>
      <c r="E291" s="20">
        <v>33824</v>
      </c>
      <c r="F291" s="20">
        <v>44271</v>
      </c>
      <c r="G291" s="12">
        <v>64.98</v>
      </c>
      <c r="H291" s="12">
        <v>9.6666666666666696</v>
      </c>
      <c r="I291" s="13">
        <v>6.7220689655172396</v>
      </c>
      <c r="J291" s="12" t="s">
        <v>1099</v>
      </c>
      <c r="K291" s="14">
        <v>390</v>
      </c>
      <c r="L291" s="14">
        <v>1004</v>
      </c>
      <c r="M291" s="14">
        <v>439</v>
      </c>
      <c r="N291" s="12">
        <v>64.98</v>
      </c>
      <c r="O291" s="12" t="s">
        <v>1099</v>
      </c>
      <c r="P291" s="12">
        <v>1.04529112274691E-2</v>
      </c>
      <c r="Q291" s="12">
        <v>3.06091239899665E-2</v>
      </c>
      <c r="R291" s="12">
        <v>0.14616935483870999</v>
      </c>
      <c r="S291" s="14">
        <v>30</v>
      </c>
      <c r="T291" s="12">
        <v>2.3050544204030001</v>
      </c>
      <c r="U291" s="14">
        <v>413</v>
      </c>
      <c r="V291" s="14">
        <v>2</v>
      </c>
      <c r="W291" s="12">
        <v>5.5999999999999999E-3</v>
      </c>
      <c r="X291" s="12">
        <v>2.310654420403</v>
      </c>
      <c r="Y291" s="14">
        <v>413</v>
      </c>
      <c r="Z291" s="14">
        <v>29</v>
      </c>
      <c r="AA291" s="12" t="s">
        <v>2367</v>
      </c>
    </row>
    <row r="292" spans="1:27" ht="14.25" x14ac:dyDescent="0.45">
      <c r="A292" s="12" t="s">
        <v>1104</v>
      </c>
      <c r="B292" s="12" t="s">
        <v>1971</v>
      </c>
      <c r="C292" s="12" t="s">
        <v>1972</v>
      </c>
      <c r="D292" s="12" t="s">
        <v>2088</v>
      </c>
      <c r="E292" s="20">
        <v>34382</v>
      </c>
      <c r="F292" s="20">
        <v>44307</v>
      </c>
      <c r="G292" s="12">
        <v>7.3</v>
      </c>
      <c r="H292" s="12">
        <v>8.4666666666666703</v>
      </c>
      <c r="I292" s="13">
        <v>0.86220472440944895</v>
      </c>
      <c r="J292" s="12" t="s">
        <v>1104</v>
      </c>
      <c r="K292" s="14">
        <v>870</v>
      </c>
      <c r="L292" s="14">
        <v>1215</v>
      </c>
      <c r="M292" s="14">
        <v>908</v>
      </c>
      <c r="N292" s="12">
        <v>7.3</v>
      </c>
      <c r="O292" s="12" t="s">
        <v>1104</v>
      </c>
      <c r="P292" s="12">
        <v>1.17430366205793E-3</v>
      </c>
      <c r="Q292" s="12">
        <v>3.9260726793440498E-3</v>
      </c>
      <c r="R292" s="12">
        <v>0.12802419354838701</v>
      </c>
      <c r="S292" s="14">
        <v>28</v>
      </c>
      <c r="T292" s="12">
        <v>0.28941592978617497</v>
      </c>
      <c r="U292" s="14">
        <v>931</v>
      </c>
      <c r="V292" s="14">
        <v>2</v>
      </c>
      <c r="W292" s="12">
        <v>5.5999999999999999E-3</v>
      </c>
      <c r="X292" s="12">
        <v>0.29501592978617502</v>
      </c>
      <c r="Y292" s="14">
        <v>931</v>
      </c>
      <c r="Z292" s="14">
        <v>28</v>
      </c>
      <c r="AA292" s="12" t="s">
        <v>2367</v>
      </c>
    </row>
    <row r="293" spans="1:27" ht="14.25" x14ac:dyDescent="0.45">
      <c r="A293" s="12" t="s">
        <v>1106</v>
      </c>
      <c r="B293" s="12" t="s">
        <v>1971</v>
      </c>
      <c r="C293" s="12" t="s">
        <v>1972</v>
      </c>
      <c r="D293" s="12" t="s">
        <v>1993</v>
      </c>
      <c r="E293" s="20">
        <v>33428</v>
      </c>
      <c r="F293" s="20">
        <v>44280</v>
      </c>
      <c r="G293" s="12">
        <v>7.0000000000000007E-2</v>
      </c>
      <c r="H293" s="12">
        <v>9.3666666666666707</v>
      </c>
      <c r="I293" s="13">
        <v>7.4733096085409303E-3</v>
      </c>
      <c r="J293" s="12" t="s">
        <v>1106</v>
      </c>
      <c r="K293" s="14">
        <v>1761</v>
      </c>
      <c r="L293" s="14">
        <v>1063</v>
      </c>
      <c r="M293" s="14">
        <v>1859</v>
      </c>
      <c r="N293" s="12">
        <v>7.0000000000000007E-2</v>
      </c>
      <c r="O293" s="12" t="s">
        <v>1106</v>
      </c>
      <c r="P293" s="12">
        <v>1.12604460745281E-5</v>
      </c>
      <c r="Q293" s="12">
        <v>3.4029918704595697E-5</v>
      </c>
      <c r="R293" s="12">
        <v>0.141633064516129</v>
      </c>
      <c r="S293" s="14">
        <v>31</v>
      </c>
      <c r="T293" s="12">
        <v>2.5491366468320298E-3</v>
      </c>
      <c r="U293" s="14">
        <v>1865</v>
      </c>
      <c r="V293" s="14">
        <v>1</v>
      </c>
      <c r="W293" s="12">
        <v>5.4999999999999997E-3</v>
      </c>
      <c r="X293" s="12">
        <v>8.0491366468320308E-3</v>
      </c>
      <c r="Y293" s="14">
        <v>1865</v>
      </c>
      <c r="Z293" s="14">
        <v>31</v>
      </c>
      <c r="AA293" s="12" t="s">
        <v>2367</v>
      </c>
    </row>
    <row r="294" spans="1:27" ht="14.25" x14ac:dyDescent="0.45">
      <c r="A294" s="12" t="s">
        <v>1110</v>
      </c>
      <c r="B294" s="12" t="s">
        <v>1971</v>
      </c>
      <c r="C294" s="12" t="s">
        <v>1972</v>
      </c>
      <c r="D294" s="12" t="s">
        <v>1997</v>
      </c>
      <c r="E294" s="20">
        <v>34630</v>
      </c>
      <c r="F294" s="20">
        <v>44337</v>
      </c>
      <c r="G294" s="12">
        <v>49.54</v>
      </c>
      <c r="H294" s="12">
        <v>7.4666666666666703</v>
      </c>
      <c r="I294" s="13">
        <v>6.6348214285714304</v>
      </c>
      <c r="J294" s="12" t="s">
        <v>1110</v>
      </c>
      <c r="K294" s="14">
        <v>392</v>
      </c>
      <c r="L294" s="14">
        <v>1428</v>
      </c>
      <c r="M294" s="14">
        <v>488</v>
      </c>
      <c r="N294" s="12">
        <v>49.54</v>
      </c>
      <c r="O294" s="12" t="s">
        <v>1110</v>
      </c>
      <c r="P294" s="12">
        <v>7.9691785504588594E-3</v>
      </c>
      <c r="Q294" s="12">
        <v>3.02118399558555E-2</v>
      </c>
      <c r="R294" s="12">
        <v>0.112903225806452</v>
      </c>
      <c r="S294" s="14">
        <v>28</v>
      </c>
      <c r="T294" s="12">
        <v>2.1870841928831699</v>
      </c>
      <c r="U294" s="14">
        <v>426</v>
      </c>
      <c r="V294" s="14">
        <v>6</v>
      </c>
      <c r="W294" s="12">
        <v>6.0000000000000001E-3</v>
      </c>
      <c r="X294" s="12">
        <v>2.1930841928831701</v>
      </c>
      <c r="Y294" s="14">
        <v>426</v>
      </c>
      <c r="Z294" s="14">
        <v>27</v>
      </c>
      <c r="AA294" s="12" t="s">
        <v>2367</v>
      </c>
    </row>
    <row r="295" spans="1:27" ht="14.25" x14ac:dyDescent="0.45">
      <c r="A295" s="12" t="s">
        <v>1118</v>
      </c>
      <c r="B295" s="12" t="s">
        <v>1971</v>
      </c>
      <c r="C295" s="12" t="s">
        <v>1972</v>
      </c>
      <c r="D295" s="12" t="s">
        <v>2088</v>
      </c>
      <c r="E295" s="20">
        <v>35402</v>
      </c>
      <c r="F295" s="20">
        <v>44280</v>
      </c>
      <c r="G295" s="12">
        <v>7.41</v>
      </c>
      <c r="H295" s="12">
        <v>9.3666666666666707</v>
      </c>
      <c r="I295" s="13">
        <v>0.791103202846975</v>
      </c>
      <c r="J295" s="12" t="s">
        <v>1118</v>
      </c>
      <c r="K295" s="14">
        <v>892</v>
      </c>
      <c r="L295" s="14">
        <v>1063</v>
      </c>
      <c r="M295" s="14">
        <v>904</v>
      </c>
      <c r="N295" s="12">
        <v>7.41</v>
      </c>
      <c r="O295" s="12" t="s">
        <v>1118</v>
      </c>
      <c r="P295" s="12">
        <v>1.1919986487464701E-3</v>
      </c>
      <c r="Q295" s="12">
        <v>3.6023099657293499E-3</v>
      </c>
      <c r="R295" s="12">
        <v>0.141633064516129</v>
      </c>
      <c r="S295" s="14">
        <v>26</v>
      </c>
      <c r="T295" s="12">
        <v>0.26984432218607701</v>
      </c>
      <c r="U295" s="14">
        <v>948</v>
      </c>
      <c r="V295" s="14">
        <v>2</v>
      </c>
      <c r="W295" s="12">
        <v>5.5999999999999999E-3</v>
      </c>
      <c r="X295" s="12">
        <v>0.27544432218607701</v>
      </c>
      <c r="Y295" s="14">
        <v>948</v>
      </c>
      <c r="Z295" s="14">
        <v>25</v>
      </c>
      <c r="AA295" s="12" t="s">
        <v>2367</v>
      </c>
    </row>
    <row r="296" spans="1:27" ht="14.25" x14ac:dyDescent="0.45">
      <c r="A296" s="12" t="s">
        <v>1119</v>
      </c>
      <c r="B296" s="12" t="s">
        <v>1971</v>
      </c>
      <c r="C296" s="12" t="s">
        <v>1972</v>
      </c>
      <c r="D296" s="12" t="s">
        <v>1995</v>
      </c>
      <c r="E296" s="20">
        <v>34522</v>
      </c>
      <c r="F296" s="20">
        <v>43829</v>
      </c>
      <c r="G296" s="12">
        <v>10.01</v>
      </c>
      <c r="H296" s="12">
        <v>24.4</v>
      </c>
      <c r="I296" s="13">
        <v>0.41024590163934399</v>
      </c>
      <c r="J296" s="12" t="s">
        <v>1119</v>
      </c>
      <c r="K296" s="14">
        <v>1130</v>
      </c>
      <c r="L296" s="14">
        <v>381</v>
      </c>
      <c r="M296" s="14">
        <v>841</v>
      </c>
      <c r="N296" s="12">
        <v>10.01</v>
      </c>
      <c r="O296" s="12" t="s">
        <v>1119</v>
      </c>
      <c r="P296" s="12">
        <v>1.6102437886575101E-3</v>
      </c>
      <c r="Q296" s="12">
        <v>1.86806587883438E-3</v>
      </c>
      <c r="R296" s="12">
        <v>0.36895161290322598</v>
      </c>
      <c r="S296" s="14">
        <v>28</v>
      </c>
      <c r="T296" s="12">
        <v>0.17713825950180601</v>
      </c>
      <c r="U296" s="14">
        <v>1094</v>
      </c>
      <c r="V296" s="14">
        <v>2</v>
      </c>
      <c r="W296" s="12">
        <v>5.5999999999999999E-3</v>
      </c>
      <c r="X296" s="12">
        <v>0.182738259501806</v>
      </c>
      <c r="Y296" s="14">
        <v>1094</v>
      </c>
      <c r="Z296" s="14">
        <v>28</v>
      </c>
      <c r="AA296" s="12" t="s">
        <v>2367</v>
      </c>
    </row>
    <row r="297" spans="1:27" ht="14.25" x14ac:dyDescent="0.45">
      <c r="A297" s="12" t="s">
        <v>1123</v>
      </c>
      <c r="B297" s="12" t="s">
        <v>1971</v>
      </c>
      <c r="C297" s="12" t="s">
        <v>1972</v>
      </c>
      <c r="D297" s="12" t="s">
        <v>1997</v>
      </c>
      <c r="E297" s="20">
        <v>34964</v>
      </c>
      <c r="F297" s="20">
        <v>44326</v>
      </c>
      <c r="G297" s="12">
        <v>2.36</v>
      </c>
      <c r="H297" s="12">
        <v>7.8333333333333304</v>
      </c>
      <c r="I297" s="13">
        <v>0.30127659574468102</v>
      </c>
      <c r="J297" s="12" t="s">
        <v>1123</v>
      </c>
      <c r="K297" s="14">
        <v>1225</v>
      </c>
      <c r="L297" s="14">
        <v>1244</v>
      </c>
      <c r="M297" s="14">
        <v>1297</v>
      </c>
      <c r="N297" s="12">
        <v>2.36</v>
      </c>
      <c r="O297" s="12" t="s">
        <v>1123</v>
      </c>
      <c r="P297" s="12">
        <v>3.7963789622694601E-4</v>
      </c>
      <c r="Q297" s="12">
        <v>1.3718711786103201E-3</v>
      </c>
      <c r="R297" s="12">
        <v>0.118447580645161</v>
      </c>
      <c r="S297" s="14">
        <v>27</v>
      </c>
      <c r="T297" s="12">
        <v>9.9978369771655196E-2</v>
      </c>
      <c r="U297" s="14">
        <v>1292</v>
      </c>
      <c r="V297" s="14">
        <v>2</v>
      </c>
      <c r="W297" s="12">
        <v>5.5999999999999999E-3</v>
      </c>
      <c r="X297" s="12">
        <v>0.105578369771655</v>
      </c>
      <c r="Y297" s="14">
        <v>1292</v>
      </c>
      <c r="Z297" s="14">
        <v>26</v>
      </c>
      <c r="AA297" s="12" t="s">
        <v>2367</v>
      </c>
    </row>
    <row r="298" spans="1:27" ht="14.25" x14ac:dyDescent="0.45">
      <c r="A298" s="12" t="s">
        <v>1133</v>
      </c>
      <c r="B298" s="12" t="s">
        <v>1971</v>
      </c>
      <c r="C298" s="12" t="s">
        <v>1972</v>
      </c>
      <c r="D298" s="12" t="s">
        <v>1993</v>
      </c>
      <c r="E298" s="20">
        <v>32059</v>
      </c>
      <c r="F298" s="20">
        <v>44335</v>
      </c>
      <c r="G298" s="12">
        <v>3.71</v>
      </c>
      <c r="H298" s="12">
        <v>7.5333333333333297</v>
      </c>
      <c r="I298" s="13">
        <v>0.49247787610619498</v>
      </c>
      <c r="J298" s="12" t="s">
        <v>1133</v>
      </c>
      <c r="K298" s="14">
        <v>1062</v>
      </c>
      <c r="L298" s="14">
        <v>1332</v>
      </c>
      <c r="M298" s="14">
        <v>1147</v>
      </c>
      <c r="N298" s="12">
        <v>3.71</v>
      </c>
      <c r="O298" s="12" t="s">
        <v>1133</v>
      </c>
      <c r="P298" s="12">
        <v>5.9680364194998701E-4</v>
      </c>
      <c r="Q298" s="12">
        <v>2.2425114126882499E-3</v>
      </c>
      <c r="R298" s="12">
        <v>0.113911290322581</v>
      </c>
      <c r="S298" s="14">
        <v>35</v>
      </c>
      <c r="T298" s="12">
        <v>0.16253709986614001</v>
      </c>
      <c r="U298" s="14">
        <v>1125</v>
      </c>
      <c r="V298" s="14">
        <v>2</v>
      </c>
      <c r="W298" s="12">
        <v>5.5999999999999999E-3</v>
      </c>
      <c r="X298" s="12">
        <v>0.16813709986614001</v>
      </c>
      <c r="Y298" s="14">
        <v>1126</v>
      </c>
      <c r="Z298" s="14">
        <v>34</v>
      </c>
      <c r="AA298" s="12" t="s">
        <v>2367</v>
      </c>
    </row>
    <row r="299" spans="1:27" ht="14.25" x14ac:dyDescent="0.45">
      <c r="A299" s="12" t="s">
        <v>1141</v>
      </c>
      <c r="B299" s="12" t="s">
        <v>1971</v>
      </c>
      <c r="C299" s="12" t="s">
        <v>1972</v>
      </c>
      <c r="D299" s="12" t="s">
        <v>1984</v>
      </c>
      <c r="E299" s="20">
        <v>34223</v>
      </c>
      <c r="F299" s="20">
        <v>44328</v>
      </c>
      <c r="G299" s="12">
        <v>2.4500000000000002</v>
      </c>
      <c r="H299" s="12">
        <v>7.7666666666666702</v>
      </c>
      <c r="I299" s="13">
        <v>0.31545064377682402</v>
      </c>
      <c r="J299" s="12" t="s">
        <v>1141</v>
      </c>
      <c r="K299" s="14">
        <v>1214</v>
      </c>
      <c r="L299" s="14">
        <v>1260</v>
      </c>
      <c r="M299" s="14">
        <v>1286</v>
      </c>
      <c r="N299" s="12">
        <v>2.4500000000000002</v>
      </c>
      <c r="O299" s="12" t="s">
        <v>1141</v>
      </c>
      <c r="P299" s="12">
        <v>3.9411561260848201E-4</v>
      </c>
      <c r="Q299" s="12">
        <v>1.43641309210171E-3</v>
      </c>
      <c r="R299" s="12">
        <v>0.117439516129032</v>
      </c>
      <c r="S299" s="14">
        <v>29</v>
      </c>
      <c r="T299" s="12">
        <v>0.104555153729175</v>
      </c>
      <c r="U299" s="14">
        <v>1279</v>
      </c>
      <c r="V299" s="14">
        <v>2</v>
      </c>
      <c r="W299" s="12">
        <v>5.5999999999999999E-3</v>
      </c>
      <c r="X299" s="12">
        <v>0.110155153729175</v>
      </c>
      <c r="Y299" s="14">
        <v>1279</v>
      </c>
      <c r="Z299" s="14">
        <v>28</v>
      </c>
      <c r="AA299" s="12" t="s">
        <v>2367</v>
      </c>
    </row>
    <row r="300" spans="1:27" ht="14.25" x14ac:dyDescent="0.45">
      <c r="A300" s="12" t="s">
        <v>1146</v>
      </c>
      <c r="B300" s="12" t="s">
        <v>1971</v>
      </c>
      <c r="C300" s="12" t="s">
        <v>1972</v>
      </c>
      <c r="D300" s="12" t="s">
        <v>1975</v>
      </c>
      <c r="E300" s="20">
        <v>32129</v>
      </c>
      <c r="F300" s="20">
        <v>44334</v>
      </c>
      <c r="G300" s="12">
        <v>124.13</v>
      </c>
      <c r="H300" s="12">
        <v>7.56666666666667</v>
      </c>
      <c r="I300" s="13">
        <v>16.404845814978</v>
      </c>
      <c r="J300" s="12" t="s">
        <v>1146</v>
      </c>
      <c r="K300" s="14">
        <v>168</v>
      </c>
      <c r="L300" s="14">
        <v>1269</v>
      </c>
      <c r="M300" s="14">
        <v>349</v>
      </c>
      <c r="N300" s="12">
        <v>124.13</v>
      </c>
      <c r="O300" s="12" t="s">
        <v>1146</v>
      </c>
      <c r="P300" s="12">
        <v>1.9967988160445298E-2</v>
      </c>
      <c r="Q300" s="12">
        <v>7.4699911911467104E-2</v>
      </c>
      <c r="R300" s="12">
        <v>0.114415322580645</v>
      </c>
      <c r="S300" s="14">
        <v>35</v>
      </c>
      <c r="T300" s="12">
        <v>5.4175440504833903</v>
      </c>
      <c r="U300" s="14">
        <v>245</v>
      </c>
      <c r="V300" s="14">
        <v>4</v>
      </c>
      <c r="W300" s="12">
        <v>5.7999999999999996E-3</v>
      </c>
      <c r="X300" s="12">
        <v>5.4233440504833901</v>
      </c>
      <c r="Y300" s="14">
        <v>245</v>
      </c>
      <c r="Z300" s="14">
        <v>34</v>
      </c>
      <c r="AA300" s="12" t="s">
        <v>2367</v>
      </c>
    </row>
    <row r="301" spans="1:27" ht="14.25" x14ac:dyDescent="0.45">
      <c r="A301" s="12" t="s">
        <v>1159</v>
      </c>
      <c r="B301" s="12" t="s">
        <v>1971</v>
      </c>
      <c r="C301" s="12" t="s">
        <v>1972</v>
      </c>
      <c r="D301" s="12" t="s">
        <v>2007</v>
      </c>
      <c r="E301" s="20">
        <v>32801</v>
      </c>
      <c r="F301" s="20">
        <v>44336</v>
      </c>
      <c r="G301" s="12">
        <v>11.7</v>
      </c>
      <c r="H301" s="12">
        <v>7.5</v>
      </c>
      <c r="I301" s="13">
        <v>1.56</v>
      </c>
      <c r="J301" s="12" t="s">
        <v>1159</v>
      </c>
      <c r="K301" s="14">
        <v>723</v>
      </c>
      <c r="L301" s="14">
        <v>1377</v>
      </c>
      <c r="M301" s="14">
        <v>815</v>
      </c>
      <c r="N301" s="12">
        <v>11.7</v>
      </c>
      <c r="O301" s="12" t="s">
        <v>1159</v>
      </c>
      <c r="P301" s="12">
        <v>1.8821031295996899E-3</v>
      </c>
      <c r="Q301" s="12">
        <v>7.1035024587364597E-3</v>
      </c>
      <c r="R301" s="12">
        <v>0.113407258064516</v>
      </c>
      <c r="S301" s="14">
        <v>33</v>
      </c>
      <c r="T301" s="12">
        <v>0.51454777103101701</v>
      </c>
      <c r="U301" s="14">
        <v>778</v>
      </c>
      <c r="V301" s="14">
        <v>2</v>
      </c>
      <c r="W301" s="12">
        <v>5.5999999999999999E-3</v>
      </c>
      <c r="X301" s="12">
        <v>0.52014777103101695</v>
      </c>
      <c r="Y301" s="14">
        <v>778</v>
      </c>
      <c r="Z301" s="14">
        <v>32</v>
      </c>
      <c r="AA301" s="12" t="s">
        <v>2367</v>
      </c>
    </row>
    <row r="302" spans="1:27" ht="14.25" x14ac:dyDescent="0.45">
      <c r="A302" s="12" t="s">
        <v>1173</v>
      </c>
      <c r="B302" s="12" t="s">
        <v>1971</v>
      </c>
      <c r="C302" s="12" t="s">
        <v>1972</v>
      </c>
      <c r="D302" s="12" t="s">
        <v>1993</v>
      </c>
      <c r="E302" s="20">
        <v>34323</v>
      </c>
      <c r="F302" s="20">
        <v>44371</v>
      </c>
      <c r="G302" s="12">
        <v>3.53</v>
      </c>
      <c r="H302" s="12">
        <v>6.3333333333333304</v>
      </c>
      <c r="I302" s="13">
        <v>0.55736842105263196</v>
      </c>
      <c r="J302" s="12" t="s">
        <v>1173</v>
      </c>
      <c r="K302" s="14">
        <v>1018</v>
      </c>
      <c r="L302" s="14">
        <v>1557</v>
      </c>
      <c r="M302" s="14">
        <v>1169</v>
      </c>
      <c r="N302" s="12">
        <v>3.53</v>
      </c>
      <c r="O302" s="12" t="s">
        <v>1173</v>
      </c>
      <c r="P302" s="12">
        <v>5.67848209186915E-4</v>
      </c>
      <c r="Q302" s="12">
        <v>2.5379922752368101E-3</v>
      </c>
      <c r="R302" s="12">
        <v>9.5766129032257993E-2</v>
      </c>
      <c r="S302" s="14">
        <v>29</v>
      </c>
      <c r="T302" s="12">
        <v>0.17991882504681</v>
      </c>
      <c r="U302" s="14">
        <v>1083</v>
      </c>
      <c r="V302" s="14">
        <v>1</v>
      </c>
      <c r="W302" s="12">
        <v>5.4999999999999997E-3</v>
      </c>
      <c r="X302" s="12">
        <v>0.18541882504681001</v>
      </c>
      <c r="Y302" s="14">
        <v>1083</v>
      </c>
      <c r="Z302" s="14">
        <v>28</v>
      </c>
      <c r="AA302" s="12" t="s">
        <v>2367</v>
      </c>
    </row>
    <row r="303" spans="1:27" ht="14.25" x14ac:dyDescent="0.45">
      <c r="A303" s="12" t="s">
        <v>1177</v>
      </c>
      <c r="B303" s="12" t="s">
        <v>1971</v>
      </c>
      <c r="C303" s="12" t="s">
        <v>1972</v>
      </c>
      <c r="D303" s="12" t="s">
        <v>2007</v>
      </c>
      <c r="E303" s="20">
        <v>33266</v>
      </c>
      <c r="F303" s="20">
        <v>44301</v>
      </c>
      <c r="G303" s="12">
        <v>3.17</v>
      </c>
      <c r="H303" s="12">
        <v>8.6666666666666696</v>
      </c>
      <c r="I303" s="13">
        <v>0.36576923076923101</v>
      </c>
      <c r="J303" s="12" t="s">
        <v>1177</v>
      </c>
      <c r="K303" s="14">
        <v>1171</v>
      </c>
      <c r="L303" s="14">
        <v>1179</v>
      </c>
      <c r="M303" s="14">
        <v>1207</v>
      </c>
      <c r="N303" s="12">
        <v>3.17</v>
      </c>
      <c r="O303" s="12" t="s">
        <v>1177</v>
      </c>
      <c r="P303" s="12">
        <v>5.0993734366077098E-4</v>
      </c>
      <c r="Q303" s="12">
        <v>1.6655401474996001E-3</v>
      </c>
      <c r="R303" s="12">
        <v>0.13104838709677399</v>
      </c>
      <c r="S303" s="14">
        <v>31</v>
      </c>
      <c r="T303" s="12">
        <v>0.123218909606004</v>
      </c>
      <c r="U303" s="14">
        <v>1221</v>
      </c>
      <c r="V303" s="14">
        <v>1</v>
      </c>
      <c r="W303" s="12">
        <v>5.4999999999999997E-3</v>
      </c>
      <c r="X303" s="12">
        <v>0.12871890960600399</v>
      </c>
      <c r="Y303" s="14">
        <v>1221</v>
      </c>
      <c r="Z303" s="14">
        <v>31</v>
      </c>
      <c r="AA303" s="12" t="s">
        <v>2367</v>
      </c>
    </row>
    <row r="304" spans="1:27" ht="14.25" x14ac:dyDescent="0.45">
      <c r="A304" s="12" t="s">
        <v>1179</v>
      </c>
      <c r="B304" s="12" t="s">
        <v>1971</v>
      </c>
      <c r="C304" s="12" t="s">
        <v>1972</v>
      </c>
      <c r="D304" s="12" t="s">
        <v>1973</v>
      </c>
      <c r="E304" s="20">
        <v>33469</v>
      </c>
      <c r="F304" s="20">
        <v>44371</v>
      </c>
      <c r="G304" s="12">
        <v>5.93</v>
      </c>
      <c r="H304" s="12">
        <v>6.3333333333333304</v>
      </c>
      <c r="I304" s="13">
        <v>0.93631578947368399</v>
      </c>
      <c r="J304" s="12" t="s">
        <v>1179</v>
      </c>
      <c r="K304" s="14">
        <v>846</v>
      </c>
      <c r="L304" s="14">
        <v>1557</v>
      </c>
      <c r="M304" s="14">
        <v>968</v>
      </c>
      <c r="N304" s="12">
        <v>5.93</v>
      </c>
      <c r="O304" s="12" t="s">
        <v>1179</v>
      </c>
      <c r="P304" s="12">
        <v>9.5392064602787695E-4</v>
      </c>
      <c r="Q304" s="12">
        <v>4.2635394312051803E-3</v>
      </c>
      <c r="R304" s="12">
        <v>9.5766129032257993E-2</v>
      </c>
      <c r="S304" s="14">
        <v>31</v>
      </c>
      <c r="T304" s="12">
        <v>0.30224323867636899</v>
      </c>
      <c r="U304" s="14">
        <v>916</v>
      </c>
      <c r="V304" s="14">
        <v>2</v>
      </c>
      <c r="W304" s="12">
        <v>5.5999999999999999E-3</v>
      </c>
      <c r="X304" s="12">
        <v>0.30784323867636898</v>
      </c>
      <c r="Y304" s="14">
        <v>916</v>
      </c>
      <c r="Z304" s="14">
        <v>30</v>
      </c>
      <c r="AA304" s="12" t="s">
        <v>2367</v>
      </c>
    </row>
    <row r="305" spans="1:27" ht="14.25" x14ac:dyDescent="0.45">
      <c r="A305" s="12" t="s">
        <v>1184</v>
      </c>
      <c r="B305" s="12" t="s">
        <v>1971</v>
      </c>
      <c r="C305" s="12" t="s">
        <v>1972</v>
      </c>
      <c r="D305" s="12" t="s">
        <v>1997</v>
      </c>
      <c r="E305" s="20">
        <v>32384</v>
      </c>
      <c r="F305" s="20">
        <v>44370</v>
      </c>
      <c r="G305" s="12">
        <v>22.14</v>
      </c>
      <c r="H305" s="12">
        <v>6.3666666666666698</v>
      </c>
      <c r="I305" s="13">
        <v>3.4774869109947599</v>
      </c>
      <c r="J305" s="12" t="s">
        <v>1184</v>
      </c>
      <c r="K305" s="14">
        <v>523</v>
      </c>
      <c r="L305" s="14">
        <v>1504</v>
      </c>
      <c r="M305" s="14">
        <v>707</v>
      </c>
      <c r="N305" s="12">
        <v>22.14</v>
      </c>
      <c r="O305" s="12" t="s">
        <v>1184</v>
      </c>
      <c r="P305" s="12">
        <v>3.5615182298578802E-3</v>
      </c>
      <c r="Q305" s="12">
        <v>1.58348312964584E-2</v>
      </c>
      <c r="R305" s="12">
        <v>9.6270161290322606E-2</v>
      </c>
      <c r="S305" s="14">
        <v>34</v>
      </c>
      <c r="T305" s="12">
        <v>1.12323388964832</v>
      </c>
      <c r="U305" s="14">
        <v>546</v>
      </c>
      <c r="V305" s="14">
        <v>4</v>
      </c>
      <c r="W305" s="12">
        <v>5.7999999999999996E-3</v>
      </c>
      <c r="X305" s="12">
        <v>1.1290338896483201</v>
      </c>
      <c r="Y305" s="14">
        <v>546</v>
      </c>
      <c r="Z305" s="14">
        <v>33</v>
      </c>
      <c r="AA305" s="12" t="s">
        <v>2367</v>
      </c>
    </row>
    <row r="306" spans="1:27" ht="14.25" x14ac:dyDescent="0.45">
      <c r="A306" s="12" t="s">
        <v>1193</v>
      </c>
      <c r="B306" s="12" t="s">
        <v>1971</v>
      </c>
      <c r="C306" s="12" t="s">
        <v>1972</v>
      </c>
      <c r="D306" s="12" t="s">
        <v>2094</v>
      </c>
      <c r="E306" s="20">
        <v>34106</v>
      </c>
      <c r="F306" s="20">
        <v>44370</v>
      </c>
      <c r="G306" s="12">
        <v>1.74</v>
      </c>
      <c r="H306" s="12">
        <v>6.3666666666666698</v>
      </c>
      <c r="I306" s="13">
        <v>0.27329842931937198</v>
      </c>
      <c r="J306" s="12" t="s">
        <v>1193</v>
      </c>
      <c r="K306" s="14">
        <v>1251</v>
      </c>
      <c r="L306" s="14">
        <v>1504</v>
      </c>
      <c r="M306" s="14">
        <v>1450</v>
      </c>
      <c r="N306" s="12">
        <v>1.74</v>
      </c>
      <c r="O306" s="12" t="s">
        <v>1193</v>
      </c>
      <c r="P306" s="12">
        <v>2.7990251670969798E-4</v>
      </c>
      <c r="Q306" s="12">
        <v>1.24447183630703E-3</v>
      </c>
      <c r="R306" s="12">
        <v>9.6270161290322606E-2</v>
      </c>
      <c r="S306" s="14">
        <v>29</v>
      </c>
      <c r="T306" s="12">
        <v>8.82758341458032E-2</v>
      </c>
      <c r="U306" s="14">
        <v>1323</v>
      </c>
      <c r="V306" s="14">
        <v>1</v>
      </c>
      <c r="W306" s="12">
        <v>5.4999999999999997E-3</v>
      </c>
      <c r="X306" s="12">
        <v>9.3775834145803205E-2</v>
      </c>
      <c r="Y306" s="14">
        <v>1323</v>
      </c>
      <c r="Z306" s="14">
        <v>29</v>
      </c>
      <c r="AA306" s="12" t="s">
        <v>2367</v>
      </c>
    </row>
    <row r="307" spans="1:27" ht="14.25" x14ac:dyDescent="0.45">
      <c r="A307" s="12" t="s">
        <v>1196</v>
      </c>
      <c r="B307" s="12" t="s">
        <v>1971</v>
      </c>
      <c r="C307" s="12" t="s">
        <v>1972</v>
      </c>
      <c r="D307" s="12" t="s">
        <v>1978</v>
      </c>
      <c r="E307" s="20">
        <v>32035</v>
      </c>
      <c r="F307" s="20">
        <v>44363</v>
      </c>
      <c r="G307" s="12">
        <v>8.01</v>
      </c>
      <c r="H307" s="12">
        <v>6.6</v>
      </c>
      <c r="I307" s="13">
        <v>1.2136363636363601</v>
      </c>
      <c r="J307" s="12" t="s">
        <v>1196</v>
      </c>
      <c r="K307" s="14">
        <v>765</v>
      </c>
      <c r="L307" s="14">
        <v>1495</v>
      </c>
      <c r="M307" s="14">
        <v>890</v>
      </c>
      <c r="N307" s="12">
        <v>8.01</v>
      </c>
      <c r="O307" s="12" t="s">
        <v>1196</v>
      </c>
      <c r="P307" s="12">
        <v>1.2885167579567099E-3</v>
      </c>
      <c r="Q307" s="12">
        <v>5.5263262135274898E-3</v>
      </c>
      <c r="R307" s="12">
        <v>9.9798387096774202E-2</v>
      </c>
      <c r="S307" s="14">
        <v>35</v>
      </c>
      <c r="T307" s="12">
        <v>0.39371476676884498</v>
      </c>
      <c r="U307" s="14">
        <v>836</v>
      </c>
      <c r="V307" s="14">
        <v>1</v>
      </c>
      <c r="W307" s="12">
        <v>5.4999999999999997E-3</v>
      </c>
      <c r="X307" s="12">
        <v>0.39921476676884499</v>
      </c>
      <c r="Y307" s="14">
        <v>836</v>
      </c>
      <c r="Z307" s="14">
        <v>34</v>
      </c>
      <c r="AA307" s="12" t="s">
        <v>2367</v>
      </c>
    </row>
    <row r="308" spans="1:27" ht="14.25" x14ac:dyDescent="0.45">
      <c r="A308" s="12" t="s">
        <v>1200</v>
      </c>
      <c r="B308" s="12" t="s">
        <v>1971</v>
      </c>
      <c r="C308" s="12" t="s">
        <v>1972</v>
      </c>
      <c r="D308" s="12" t="s">
        <v>1975</v>
      </c>
      <c r="E308" s="20">
        <v>35341</v>
      </c>
      <c r="F308" s="20">
        <v>44370</v>
      </c>
      <c r="G308" s="12">
        <v>6.06</v>
      </c>
      <c r="H308" s="12">
        <v>6.3666666666666698</v>
      </c>
      <c r="I308" s="13">
        <v>0.951832460732984</v>
      </c>
      <c r="J308" s="12" t="s">
        <v>1200</v>
      </c>
      <c r="K308" s="14">
        <v>838</v>
      </c>
      <c r="L308" s="14">
        <v>1504</v>
      </c>
      <c r="M308" s="14">
        <v>959</v>
      </c>
      <c r="N308" s="12">
        <v>6.06</v>
      </c>
      <c r="O308" s="12" t="s">
        <v>1200</v>
      </c>
      <c r="P308" s="12">
        <v>9.7483290302343003E-4</v>
      </c>
      <c r="Q308" s="12">
        <v>4.3341950161037996E-3</v>
      </c>
      <c r="R308" s="12">
        <v>9.6270161290322606E-2</v>
      </c>
      <c r="S308" s="14">
        <v>26</v>
      </c>
      <c r="T308" s="12">
        <v>0.30744342236986599</v>
      </c>
      <c r="U308" s="14">
        <v>909</v>
      </c>
      <c r="V308" s="14">
        <v>2</v>
      </c>
      <c r="W308" s="12">
        <v>5.5999999999999999E-3</v>
      </c>
      <c r="X308" s="12">
        <v>0.31304342236986599</v>
      </c>
      <c r="Y308" s="14">
        <v>909</v>
      </c>
      <c r="Z308" s="14">
        <v>25</v>
      </c>
      <c r="AA308" s="12" t="s">
        <v>2367</v>
      </c>
    </row>
    <row r="309" spans="1:27" ht="14.25" x14ac:dyDescent="0.45">
      <c r="A309" s="12" t="s">
        <v>1211</v>
      </c>
      <c r="B309" s="12" t="s">
        <v>1971</v>
      </c>
      <c r="C309" s="12" t="s">
        <v>1972</v>
      </c>
      <c r="D309" s="12" t="s">
        <v>2020</v>
      </c>
      <c r="E309" s="20">
        <v>33416</v>
      </c>
      <c r="F309" s="20">
        <v>44372</v>
      </c>
      <c r="G309" s="12">
        <v>0.45</v>
      </c>
      <c r="H309" s="12">
        <v>6.3</v>
      </c>
      <c r="I309" s="13">
        <v>7.1428571428571397E-2</v>
      </c>
      <c r="J309" s="12" t="s">
        <v>1211</v>
      </c>
      <c r="K309" s="14">
        <v>1560</v>
      </c>
      <c r="L309" s="14">
        <v>1606</v>
      </c>
      <c r="M309" s="14">
        <v>1697</v>
      </c>
      <c r="N309" s="12">
        <v>0.45</v>
      </c>
      <c r="O309" s="12" t="s">
        <v>1211</v>
      </c>
      <c r="P309" s="12">
        <v>7.2388581907680406E-5</v>
      </c>
      <c r="Q309" s="12">
        <v>3.2525194408133999E-4</v>
      </c>
      <c r="R309" s="12">
        <v>9.5262096774193505E-2</v>
      </c>
      <c r="S309" s="14">
        <v>31</v>
      </c>
      <c r="T309" s="12">
        <v>2.3042818326621799E-2</v>
      </c>
      <c r="U309" s="14">
        <v>1663</v>
      </c>
      <c r="V309" s="14">
        <v>1</v>
      </c>
      <c r="W309" s="12">
        <v>5.4999999999999997E-3</v>
      </c>
      <c r="X309" s="12">
        <v>2.85428183266218E-2</v>
      </c>
      <c r="Y309" s="14">
        <v>1663</v>
      </c>
      <c r="Z309" s="14">
        <v>31</v>
      </c>
      <c r="AA309" s="12" t="s">
        <v>2367</v>
      </c>
    </row>
    <row r="310" spans="1:27" ht="14.25" x14ac:dyDescent="0.45">
      <c r="A310" s="12" t="s">
        <v>1212</v>
      </c>
      <c r="B310" s="12" t="s">
        <v>1971</v>
      </c>
      <c r="C310" s="12" t="s">
        <v>1972</v>
      </c>
      <c r="D310" s="12" t="s">
        <v>1995</v>
      </c>
      <c r="E310" s="20">
        <v>34962</v>
      </c>
      <c r="F310" s="20">
        <v>44327</v>
      </c>
      <c r="G310" s="12">
        <v>4.9400000000000004</v>
      </c>
      <c r="H310" s="12">
        <v>7.8</v>
      </c>
      <c r="I310" s="13">
        <v>0.63333333333333297</v>
      </c>
      <c r="J310" s="12" t="s">
        <v>1212</v>
      </c>
      <c r="K310" s="14">
        <v>974</v>
      </c>
      <c r="L310" s="14">
        <v>1252</v>
      </c>
      <c r="M310" s="14">
        <v>1042</v>
      </c>
      <c r="N310" s="12">
        <v>4.9400000000000004</v>
      </c>
      <c r="O310" s="12" t="s">
        <v>1212</v>
      </c>
      <c r="P310" s="12">
        <v>7.9466576583097997E-4</v>
      </c>
      <c r="Q310" s="12">
        <v>2.8839005708545498E-3</v>
      </c>
      <c r="R310" s="12">
        <v>0.117943548387097</v>
      </c>
      <c r="S310" s="14">
        <v>27</v>
      </c>
      <c r="T310" s="12">
        <v>0.210043751897071</v>
      </c>
      <c r="U310" s="14">
        <v>1027</v>
      </c>
      <c r="V310" s="14">
        <v>2</v>
      </c>
      <c r="W310" s="12">
        <v>5.5999999999999999E-3</v>
      </c>
      <c r="X310" s="12">
        <v>0.215643751897071</v>
      </c>
      <c r="Y310" s="14">
        <v>1027</v>
      </c>
      <c r="Z310" s="14">
        <v>26</v>
      </c>
      <c r="AA310" s="12" t="s">
        <v>2367</v>
      </c>
    </row>
    <row r="311" spans="1:27" ht="14.25" x14ac:dyDescent="0.45">
      <c r="A311" s="12" t="s">
        <v>1213</v>
      </c>
      <c r="B311" s="12" t="s">
        <v>1971</v>
      </c>
      <c r="C311" s="12" t="s">
        <v>1972</v>
      </c>
      <c r="D311" s="12" t="s">
        <v>1997</v>
      </c>
      <c r="E311" s="20">
        <v>34291</v>
      </c>
      <c r="F311" s="20">
        <v>44274</v>
      </c>
      <c r="G311" s="12">
        <v>4.3899999999999997</v>
      </c>
      <c r="H311" s="12">
        <v>9.56666666666667</v>
      </c>
      <c r="I311" s="13">
        <v>0.45888501742160298</v>
      </c>
      <c r="J311" s="12" t="s">
        <v>1213</v>
      </c>
      <c r="K311" s="14">
        <v>1092</v>
      </c>
      <c r="L311" s="14">
        <v>1036</v>
      </c>
      <c r="M311" s="14">
        <v>1076</v>
      </c>
      <c r="N311" s="12">
        <v>4.3899999999999997</v>
      </c>
      <c r="O311" s="12" t="s">
        <v>1213</v>
      </c>
      <c r="P311" s="12">
        <v>7.0619083238825998E-4</v>
      </c>
      <c r="Q311" s="12">
        <v>2.0895454163664599E-3</v>
      </c>
      <c r="R311" s="12">
        <v>0.14465725806451599</v>
      </c>
      <c r="S311" s="14">
        <v>29</v>
      </c>
      <c r="T311" s="12">
        <v>0.157078744737464</v>
      </c>
      <c r="U311" s="14">
        <v>1136</v>
      </c>
      <c r="V311" s="14">
        <v>3</v>
      </c>
      <c r="W311" s="12">
        <v>5.7000000000000002E-3</v>
      </c>
      <c r="X311" s="12">
        <v>0.16277874473746401</v>
      </c>
      <c r="Y311" s="14">
        <v>1135</v>
      </c>
      <c r="Z311" s="14">
        <v>28</v>
      </c>
      <c r="AA311" s="12" t="s">
        <v>2367</v>
      </c>
    </row>
    <row r="312" spans="1:27" ht="14.25" x14ac:dyDescent="0.45">
      <c r="A312" s="12" t="s">
        <v>1215</v>
      </c>
      <c r="B312" s="12" t="s">
        <v>1971</v>
      </c>
      <c r="C312" s="12" t="s">
        <v>1972</v>
      </c>
      <c r="D312" s="12" t="s">
        <v>2070</v>
      </c>
      <c r="E312" s="20">
        <v>32589</v>
      </c>
      <c r="F312" s="20">
        <v>44370</v>
      </c>
      <c r="G312" s="12">
        <v>3.14</v>
      </c>
      <c r="H312" s="12">
        <v>6.3666666666666698</v>
      </c>
      <c r="I312" s="13">
        <v>0.49319371727748701</v>
      </c>
      <c r="J312" s="12" t="s">
        <v>1215</v>
      </c>
      <c r="K312" s="14">
        <v>1059</v>
      </c>
      <c r="L312" s="14">
        <v>1504</v>
      </c>
      <c r="M312" s="14">
        <v>1210</v>
      </c>
      <c r="N312" s="12">
        <v>3.14</v>
      </c>
      <c r="O312" s="12" t="s">
        <v>1215</v>
      </c>
      <c r="P312" s="12">
        <v>5.0511143820025899E-4</v>
      </c>
      <c r="Q312" s="12">
        <v>2.2457710149448701E-3</v>
      </c>
      <c r="R312" s="12">
        <v>9.6270161290322606E-2</v>
      </c>
      <c r="S312" s="14">
        <v>33</v>
      </c>
      <c r="T312" s="12">
        <v>0.159302367366564</v>
      </c>
      <c r="U312" s="14">
        <v>1131</v>
      </c>
      <c r="V312" s="14">
        <v>2</v>
      </c>
      <c r="W312" s="12">
        <v>5.5999999999999999E-3</v>
      </c>
      <c r="X312" s="12">
        <v>0.164902367366564</v>
      </c>
      <c r="Y312" s="14">
        <v>1131</v>
      </c>
      <c r="Z312" s="14">
        <v>33</v>
      </c>
      <c r="AA312" s="12" t="s">
        <v>2367</v>
      </c>
    </row>
    <row r="313" spans="1:27" ht="14.25" x14ac:dyDescent="0.45">
      <c r="A313" s="12" t="s">
        <v>1222</v>
      </c>
      <c r="B313" s="12" t="s">
        <v>1971</v>
      </c>
      <c r="C313" s="12" t="s">
        <v>1972</v>
      </c>
      <c r="D313" s="12" t="s">
        <v>1990</v>
      </c>
      <c r="E313" s="20">
        <v>34585</v>
      </c>
      <c r="F313" s="20">
        <v>44370</v>
      </c>
      <c r="G313" s="12">
        <v>3.53</v>
      </c>
      <c r="H313" s="12">
        <v>6.3666666666666698</v>
      </c>
      <c r="I313" s="13">
        <v>0.55445026178010504</v>
      </c>
      <c r="J313" s="12" t="s">
        <v>1222</v>
      </c>
      <c r="K313" s="14">
        <v>1020</v>
      </c>
      <c r="L313" s="14">
        <v>1504</v>
      </c>
      <c r="M313" s="14">
        <v>1169</v>
      </c>
      <c r="N313" s="12">
        <v>3.53</v>
      </c>
      <c r="O313" s="12" t="s">
        <v>1222</v>
      </c>
      <c r="P313" s="12">
        <v>5.67848209186915E-4</v>
      </c>
      <c r="Q313" s="12">
        <v>2.52470435756542E-3</v>
      </c>
      <c r="R313" s="12">
        <v>9.6270161290322606E-2</v>
      </c>
      <c r="S313" s="14">
        <v>28</v>
      </c>
      <c r="T313" s="12">
        <v>0.17908833019234799</v>
      </c>
      <c r="U313" s="14">
        <v>1089</v>
      </c>
      <c r="V313" s="14">
        <v>1</v>
      </c>
      <c r="W313" s="12">
        <v>5.4999999999999997E-3</v>
      </c>
      <c r="X313" s="12">
        <v>0.18458833019234799</v>
      </c>
      <c r="Y313" s="14">
        <v>1089</v>
      </c>
      <c r="Z313" s="14">
        <v>27</v>
      </c>
      <c r="AA313" s="12" t="s">
        <v>2367</v>
      </c>
    </row>
    <row r="314" spans="1:27" ht="14.25" x14ac:dyDescent="0.45">
      <c r="A314" s="12" t="s">
        <v>1224</v>
      </c>
      <c r="B314" s="12" t="s">
        <v>1971</v>
      </c>
      <c r="C314" s="12" t="s">
        <v>1972</v>
      </c>
      <c r="D314" s="12" t="s">
        <v>1975</v>
      </c>
      <c r="E314" s="20">
        <v>34938</v>
      </c>
      <c r="F314" s="20">
        <v>44335</v>
      </c>
      <c r="G314" s="12">
        <v>2.83</v>
      </c>
      <c r="H314" s="12">
        <v>7.5333333333333297</v>
      </c>
      <c r="I314" s="13">
        <v>0.375663716814159</v>
      </c>
      <c r="J314" s="12" t="s">
        <v>1224</v>
      </c>
      <c r="K314" s="14">
        <v>1162</v>
      </c>
      <c r="L314" s="14">
        <v>1332</v>
      </c>
      <c r="M314" s="14">
        <v>1246</v>
      </c>
      <c r="N314" s="12">
        <v>2.83</v>
      </c>
      <c r="O314" s="12" t="s">
        <v>1224</v>
      </c>
      <c r="P314" s="12">
        <v>4.5524374844163498E-4</v>
      </c>
      <c r="Q314" s="12">
        <v>1.7105949590047801E-3</v>
      </c>
      <c r="R314" s="12">
        <v>0.113911290322581</v>
      </c>
      <c r="S314" s="14">
        <v>27</v>
      </c>
      <c r="T314" s="12">
        <v>0.12398382550436</v>
      </c>
      <c r="U314" s="14">
        <v>1218</v>
      </c>
      <c r="V314" s="14">
        <v>2</v>
      </c>
      <c r="W314" s="12">
        <v>5.5999999999999999E-3</v>
      </c>
      <c r="X314" s="12">
        <v>0.12958382550436001</v>
      </c>
      <c r="Y314" s="14">
        <v>1218</v>
      </c>
      <c r="Z314" s="14">
        <v>26</v>
      </c>
      <c r="AA314" s="12" t="s">
        <v>2367</v>
      </c>
    </row>
    <row r="315" spans="1:27" ht="14.25" x14ac:dyDescent="0.45">
      <c r="A315" s="12" t="s">
        <v>1225</v>
      </c>
      <c r="B315" s="12" t="s">
        <v>1971</v>
      </c>
      <c r="C315" s="12" t="s">
        <v>1972</v>
      </c>
      <c r="D315" s="12" t="s">
        <v>1990</v>
      </c>
      <c r="E315" s="20">
        <v>34614</v>
      </c>
      <c r="F315" s="20">
        <v>44337</v>
      </c>
      <c r="G315" s="12">
        <v>3</v>
      </c>
      <c r="H315" s="12">
        <v>7.4666666666666703</v>
      </c>
      <c r="I315" s="13">
        <v>0.40178571428571402</v>
      </c>
      <c r="J315" s="12" t="s">
        <v>1225</v>
      </c>
      <c r="K315" s="14">
        <v>1136</v>
      </c>
      <c r="L315" s="14">
        <v>1428</v>
      </c>
      <c r="M315" s="14">
        <v>1221</v>
      </c>
      <c r="N315" s="12">
        <v>3</v>
      </c>
      <c r="O315" s="12" t="s">
        <v>1225</v>
      </c>
      <c r="P315" s="12">
        <v>4.8259054605120298E-4</v>
      </c>
      <c r="Q315" s="12">
        <v>1.8295421854575399E-3</v>
      </c>
      <c r="R315" s="12">
        <v>0.112903225806452</v>
      </c>
      <c r="S315" s="14">
        <v>28</v>
      </c>
      <c r="T315" s="12">
        <v>0.13244353206801601</v>
      </c>
      <c r="U315" s="14">
        <v>1199</v>
      </c>
      <c r="V315" s="14">
        <v>1</v>
      </c>
      <c r="W315" s="12">
        <v>5.4999999999999997E-3</v>
      </c>
      <c r="X315" s="12">
        <v>0.13794353206801599</v>
      </c>
      <c r="Y315" s="14">
        <v>1199</v>
      </c>
      <c r="Z315" s="14">
        <v>27</v>
      </c>
      <c r="AA315" s="12" t="s">
        <v>2367</v>
      </c>
    </row>
    <row r="316" spans="1:27" ht="14.25" x14ac:dyDescent="0.45">
      <c r="A316" s="12" t="s">
        <v>1227</v>
      </c>
      <c r="B316" s="12" t="s">
        <v>1971</v>
      </c>
      <c r="C316" s="12" t="s">
        <v>1972</v>
      </c>
      <c r="D316" s="12" t="s">
        <v>1975</v>
      </c>
      <c r="E316" s="20">
        <v>32972</v>
      </c>
      <c r="F316" s="20">
        <v>44334</v>
      </c>
      <c r="G316" s="12">
        <v>6.91</v>
      </c>
      <c r="H316" s="12">
        <v>7.56666666666667</v>
      </c>
      <c r="I316" s="13">
        <v>0.91321585903083702</v>
      </c>
      <c r="J316" s="12" t="s">
        <v>1227</v>
      </c>
      <c r="K316" s="14">
        <v>850</v>
      </c>
      <c r="L316" s="14">
        <v>1269</v>
      </c>
      <c r="M316" s="14">
        <v>927</v>
      </c>
      <c r="N316" s="12">
        <v>6.91</v>
      </c>
      <c r="O316" s="12" t="s">
        <v>1227</v>
      </c>
      <c r="P316" s="12">
        <v>1.11156689107127E-3</v>
      </c>
      <c r="Q316" s="12">
        <v>4.15835326921967E-3</v>
      </c>
      <c r="R316" s="12">
        <v>0.114415322580645</v>
      </c>
      <c r="S316" s="14">
        <v>32</v>
      </c>
      <c r="T316" s="12">
        <v>0.30158083774140199</v>
      </c>
      <c r="U316" s="14">
        <v>917</v>
      </c>
      <c r="V316" s="14">
        <v>6</v>
      </c>
      <c r="W316" s="12">
        <v>6.0000000000000001E-3</v>
      </c>
      <c r="X316" s="12">
        <v>0.30758083774140199</v>
      </c>
      <c r="Y316" s="14">
        <v>917</v>
      </c>
      <c r="Z316" s="14">
        <v>32</v>
      </c>
      <c r="AA316" s="12" t="s">
        <v>2367</v>
      </c>
    </row>
    <row r="317" spans="1:27" ht="14.25" x14ac:dyDescent="0.45">
      <c r="A317" s="12" t="s">
        <v>1234</v>
      </c>
      <c r="B317" s="12" t="s">
        <v>1971</v>
      </c>
      <c r="C317" s="12" t="s">
        <v>1972</v>
      </c>
      <c r="D317" s="12" t="s">
        <v>1975</v>
      </c>
      <c r="E317" s="20">
        <v>32947</v>
      </c>
      <c r="F317" s="20">
        <v>44334</v>
      </c>
      <c r="G317" s="12">
        <v>1.71</v>
      </c>
      <c r="H317" s="12">
        <v>7.56666666666667</v>
      </c>
      <c r="I317" s="13">
        <v>0.225991189427313</v>
      </c>
      <c r="J317" s="12" t="s">
        <v>1234</v>
      </c>
      <c r="K317" s="14">
        <v>1311</v>
      </c>
      <c r="L317" s="14">
        <v>1269</v>
      </c>
      <c r="M317" s="14">
        <v>1456</v>
      </c>
      <c r="N317" s="12">
        <v>1.71</v>
      </c>
      <c r="O317" s="12" t="s">
        <v>1234</v>
      </c>
      <c r="P317" s="12">
        <v>2.75076611249186E-4</v>
      </c>
      <c r="Q317" s="12">
        <v>1.0290570318908299E-3</v>
      </c>
      <c r="R317" s="12">
        <v>0.114415322580645</v>
      </c>
      <c r="S317" s="14">
        <v>32</v>
      </c>
      <c r="T317" s="12">
        <v>7.4631437415021304E-2</v>
      </c>
      <c r="U317" s="14">
        <v>1409</v>
      </c>
      <c r="V317" s="14">
        <v>1</v>
      </c>
      <c r="W317" s="12">
        <v>5.4999999999999997E-3</v>
      </c>
      <c r="X317" s="12">
        <v>8.0131437415021295E-2</v>
      </c>
      <c r="Y317" s="14">
        <v>1409</v>
      </c>
      <c r="Z317" s="14">
        <v>32</v>
      </c>
      <c r="AA317" s="12" t="s">
        <v>2367</v>
      </c>
    </row>
    <row r="318" spans="1:27" ht="14.25" x14ac:dyDescent="0.45">
      <c r="A318" s="12" t="s">
        <v>1235</v>
      </c>
      <c r="B318" s="12" t="s">
        <v>1971</v>
      </c>
      <c r="C318" s="12" t="s">
        <v>1972</v>
      </c>
      <c r="D318" s="12" t="s">
        <v>1973</v>
      </c>
      <c r="E318" s="20">
        <v>32403</v>
      </c>
      <c r="F318" s="20">
        <v>44337</v>
      </c>
      <c r="G318" s="12">
        <v>12.87</v>
      </c>
      <c r="H318" s="12">
        <v>7.4666666666666703</v>
      </c>
      <c r="I318" s="13">
        <v>1.7236607142857101</v>
      </c>
      <c r="J318" s="12" t="s">
        <v>1235</v>
      </c>
      <c r="K318" s="14">
        <v>700</v>
      </c>
      <c r="L318" s="14">
        <v>1428</v>
      </c>
      <c r="M318" s="14">
        <v>793</v>
      </c>
      <c r="N318" s="12">
        <v>12.87</v>
      </c>
      <c r="O318" s="12" t="s">
        <v>1235</v>
      </c>
      <c r="P318" s="12">
        <v>2.0703134425596602E-3</v>
      </c>
      <c r="Q318" s="12">
        <v>7.8487359756128292E-3</v>
      </c>
      <c r="R318" s="12">
        <v>0.112903225806452</v>
      </c>
      <c r="S318" s="14">
        <v>34</v>
      </c>
      <c r="T318" s="12">
        <v>0.56818275257178896</v>
      </c>
      <c r="U318" s="14">
        <v>758</v>
      </c>
      <c r="V318" s="14">
        <v>6</v>
      </c>
      <c r="W318" s="12">
        <v>6.0000000000000001E-3</v>
      </c>
      <c r="X318" s="12">
        <v>0.57418275257178897</v>
      </c>
      <c r="Y318" s="14">
        <v>758</v>
      </c>
      <c r="Z318" s="14">
        <v>33</v>
      </c>
      <c r="AA318" s="12" t="s">
        <v>2367</v>
      </c>
    </row>
    <row r="319" spans="1:27" ht="14.25" x14ac:dyDescent="0.45">
      <c r="A319" s="12" t="s">
        <v>1242</v>
      </c>
      <c r="B319" s="12" t="s">
        <v>1971</v>
      </c>
      <c r="C319" s="12" t="s">
        <v>1972</v>
      </c>
      <c r="D319" s="12" t="s">
        <v>1973</v>
      </c>
      <c r="E319" s="20">
        <v>32124</v>
      </c>
      <c r="F319" s="20">
        <v>44370</v>
      </c>
      <c r="G319" s="12">
        <v>1.8</v>
      </c>
      <c r="H319" s="12">
        <v>6.3666666666666698</v>
      </c>
      <c r="I319" s="13">
        <v>0.28272251308900498</v>
      </c>
      <c r="J319" s="12" t="s">
        <v>1242</v>
      </c>
      <c r="K319" s="14">
        <v>1238</v>
      </c>
      <c r="L319" s="14">
        <v>1504</v>
      </c>
      <c r="M319" s="14">
        <v>1439</v>
      </c>
      <c r="N319" s="12">
        <v>1.8</v>
      </c>
      <c r="O319" s="12" t="s">
        <v>1242</v>
      </c>
      <c r="P319" s="12">
        <v>2.89554327630722E-4</v>
      </c>
      <c r="Q319" s="12">
        <v>1.28738465824865E-3</v>
      </c>
      <c r="R319" s="12">
        <v>9.6270161290322606E-2</v>
      </c>
      <c r="S319" s="14">
        <v>35</v>
      </c>
      <c r="T319" s="12">
        <v>9.1319828426693006E-2</v>
      </c>
      <c r="U319" s="14">
        <v>1311</v>
      </c>
      <c r="V319" s="14">
        <v>1</v>
      </c>
      <c r="W319" s="12">
        <v>5.4999999999999997E-3</v>
      </c>
      <c r="X319" s="12">
        <v>9.6819828426692997E-2</v>
      </c>
      <c r="Y319" s="14">
        <v>1311</v>
      </c>
      <c r="Z319" s="14">
        <v>34</v>
      </c>
      <c r="AA319" s="12" t="s">
        <v>2367</v>
      </c>
    </row>
    <row r="320" spans="1:27" ht="14.25" x14ac:dyDescent="0.45">
      <c r="A320" s="12" t="s">
        <v>1244</v>
      </c>
      <c r="B320" s="12" t="s">
        <v>1971</v>
      </c>
      <c r="C320" s="12" t="s">
        <v>1972</v>
      </c>
      <c r="D320" s="12" t="s">
        <v>1987</v>
      </c>
      <c r="E320" s="20">
        <v>33445</v>
      </c>
      <c r="F320" s="20">
        <v>44337</v>
      </c>
      <c r="G320" s="12">
        <v>24.2</v>
      </c>
      <c r="H320" s="12">
        <v>7.4666666666666703</v>
      </c>
      <c r="I320" s="13">
        <v>3.2410714285714302</v>
      </c>
      <c r="J320" s="12" t="s">
        <v>1244</v>
      </c>
      <c r="K320" s="14">
        <v>537</v>
      </c>
      <c r="L320" s="14">
        <v>1428</v>
      </c>
      <c r="M320" s="14">
        <v>689</v>
      </c>
      <c r="N320" s="12">
        <v>24.2</v>
      </c>
      <c r="O320" s="12" t="s">
        <v>1244</v>
      </c>
      <c r="P320" s="12">
        <v>3.8928970714797E-3</v>
      </c>
      <c r="Q320" s="12">
        <v>1.4758306962690799E-2</v>
      </c>
      <c r="R320" s="12">
        <v>0.112903225806452</v>
      </c>
      <c r="S320" s="14">
        <v>31</v>
      </c>
      <c r="T320" s="12">
        <v>1.06837782534866</v>
      </c>
      <c r="U320" s="14">
        <v>561</v>
      </c>
      <c r="V320" s="14">
        <v>2</v>
      </c>
      <c r="W320" s="12">
        <v>5.5999999999999999E-3</v>
      </c>
      <c r="X320" s="12">
        <v>1.07397782534866</v>
      </c>
      <c r="Y320" s="14">
        <v>561</v>
      </c>
      <c r="Z320" s="14">
        <v>30</v>
      </c>
      <c r="AA320" s="12" t="s">
        <v>2367</v>
      </c>
    </row>
    <row r="321" spans="1:27" ht="14.25" x14ac:dyDescent="0.45">
      <c r="A321" s="12" t="s">
        <v>1251</v>
      </c>
      <c r="B321" s="12" t="s">
        <v>1971</v>
      </c>
      <c r="C321" s="12" t="s">
        <v>1972</v>
      </c>
      <c r="D321" s="12" t="s">
        <v>1990</v>
      </c>
      <c r="E321" s="20">
        <v>32794</v>
      </c>
      <c r="F321" s="20">
        <v>44372</v>
      </c>
      <c r="G321" s="12">
        <v>0.53</v>
      </c>
      <c r="H321" s="12">
        <v>6.3</v>
      </c>
      <c r="I321" s="13">
        <v>8.4126984126984106E-2</v>
      </c>
      <c r="J321" s="12" t="s">
        <v>1251</v>
      </c>
      <c r="K321" s="14">
        <v>1537</v>
      </c>
      <c r="L321" s="14">
        <v>1606</v>
      </c>
      <c r="M321" s="14">
        <v>1673</v>
      </c>
      <c r="N321" s="12">
        <v>0.53</v>
      </c>
      <c r="O321" s="12" t="s">
        <v>1251</v>
      </c>
      <c r="P321" s="12">
        <v>8.5257663135712494E-5</v>
      </c>
      <c r="Q321" s="12">
        <v>3.8307451191802301E-4</v>
      </c>
      <c r="R321" s="12">
        <v>9.5262096774193505E-2</v>
      </c>
      <c r="S321" s="14">
        <v>33</v>
      </c>
      <c r="T321" s="12">
        <v>2.7139319362465601E-2</v>
      </c>
      <c r="U321" s="14">
        <v>1646</v>
      </c>
      <c r="V321" s="14">
        <v>1</v>
      </c>
      <c r="W321" s="12">
        <v>5.4999999999999997E-3</v>
      </c>
      <c r="X321" s="12">
        <v>3.2639319362465599E-2</v>
      </c>
      <c r="Y321" s="14">
        <v>1646</v>
      </c>
      <c r="Z321" s="14">
        <v>32</v>
      </c>
      <c r="AA321" s="12" t="s">
        <v>2367</v>
      </c>
    </row>
    <row r="322" spans="1:27" ht="14.25" x14ac:dyDescent="0.45">
      <c r="A322" s="12" t="s">
        <v>1252</v>
      </c>
      <c r="B322" s="12" t="s">
        <v>1971</v>
      </c>
      <c r="C322" s="12" t="s">
        <v>1972</v>
      </c>
      <c r="D322" s="12" t="s">
        <v>2003</v>
      </c>
      <c r="E322" s="20">
        <v>34561</v>
      </c>
      <c r="F322" s="20">
        <v>43858</v>
      </c>
      <c r="G322" s="12">
        <v>0.68</v>
      </c>
      <c r="H322" s="12">
        <v>23.433333333333302</v>
      </c>
      <c r="I322" s="13">
        <v>2.9018492176386902E-2</v>
      </c>
      <c r="J322" s="12" t="s">
        <v>1252</v>
      </c>
      <c r="K322" s="14">
        <v>1660</v>
      </c>
      <c r="L322" s="14">
        <v>398</v>
      </c>
      <c r="M322" s="14">
        <v>1636</v>
      </c>
      <c r="N322" s="12">
        <v>0.68</v>
      </c>
      <c r="O322" s="12" t="s">
        <v>1252</v>
      </c>
      <c r="P322" s="12">
        <v>1.0938719043827299E-4</v>
      </c>
      <c r="Q322" s="12">
        <v>1.32136493925506E-4</v>
      </c>
      <c r="R322" s="12">
        <v>0.35433467741935498</v>
      </c>
      <c r="S322" s="14">
        <v>28</v>
      </c>
      <c r="T322" s="12">
        <v>1.2360550511779299E-2</v>
      </c>
      <c r="U322" s="14">
        <v>1738</v>
      </c>
      <c r="V322" s="14">
        <v>1</v>
      </c>
      <c r="W322" s="12">
        <v>5.4999999999999997E-3</v>
      </c>
      <c r="X322" s="12">
        <v>1.7860550511779299E-2</v>
      </c>
      <c r="Y322" s="14">
        <v>1738</v>
      </c>
      <c r="Z322" s="14">
        <v>27</v>
      </c>
      <c r="AA322" s="12" t="s">
        <v>2367</v>
      </c>
    </row>
    <row r="323" spans="1:27" ht="14.25" x14ac:dyDescent="0.45">
      <c r="A323" s="12" t="s">
        <v>1258</v>
      </c>
      <c r="B323" s="12" t="s">
        <v>1971</v>
      </c>
      <c r="C323" s="12" t="s">
        <v>1972</v>
      </c>
      <c r="D323" s="12" t="s">
        <v>1997</v>
      </c>
      <c r="E323" s="20">
        <v>33699</v>
      </c>
      <c r="F323" s="20">
        <v>44336</v>
      </c>
      <c r="G323" s="12">
        <v>0.22</v>
      </c>
      <c r="H323" s="12">
        <v>7.5</v>
      </c>
      <c r="I323" s="13">
        <v>2.9333333333333302E-2</v>
      </c>
      <c r="J323" s="12" t="s">
        <v>1258</v>
      </c>
      <c r="K323" s="14">
        <v>1657</v>
      </c>
      <c r="L323" s="14">
        <v>1377</v>
      </c>
      <c r="M323" s="14">
        <v>1775</v>
      </c>
      <c r="N323" s="12">
        <v>0.22</v>
      </c>
      <c r="O323" s="12" t="s">
        <v>1258</v>
      </c>
      <c r="P323" s="12">
        <v>3.5389973377088197E-5</v>
      </c>
      <c r="Q323" s="12">
        <v>1.33570131702737E-4</v>
      </c>
      <c r="R323" s="12">
        <v>0.113407258064516</v>
      </c>
      <c r="S323" s="14">
        <v>30</v>
      </c>
      <c r="T323" s="12">
        <v>9.6752572330618593E-3</v>
      </c>
      <c r="U323" s="14">
        <v>1763</v>
      </c>
      <c r="V323" s="14">
        <v>1</v>
      </c>
      <c r="W323" s="12">
        <v>5.4999999999999997E-3</v>
      </c>
      <c r="X323" s="12">
        <v>1.5175257233061901E-2</v>
      </c>
      <c r="Y323" s="14">
        <v>1763</v>
      </c>
      <c r="Z323" s="14">
        <v>30</v>
      </c>
      <c r="AA323" s="12" t="s">
        <v>2367</v>
      </c>
    </row>
    <row r="324" spans="1:27" ht="14.25" x14ac:dyDescent="0.45">
      <c r="A324" s="12" t="s">
        <v>1259</v>
      </c>
      <c r="B324" s="12" t="s">
        <v>1971</v>
      </c>
      <c r="C324" s="12" t="s">
        <v>1972</v>
      </c>
      <c r="D324" s="12" t="s">
        <v>1978</v>
      </c>
      <c r="E324" s="20">
        <v>34793</v>
      </c>
      <c r="F324" s="20">
        <v>44334</v>
      </c>
      <c r="G324" s="12">
        <v>3.44</v>
      </c>
      <c r="H324" s="12">
        <v>7.56666666666667</v>
      </c>
      <c r="I324" s="13">
        <v>0.45462555066079302</v>
      </c>
      <c r="J324" s="12" t="s">
        <v>1259</v>
      </c>
      <c r="K324" s="14">
        <v>1098</v>
      </c>
      <c r="L324" s="14">
        <v>1269</v>
      </c>
      <c r="M324" s="14">
        <v>1182</v>
      </c>
      <c r="N324" s="12">
        <v>3.44</v>
      </c>
      <c r="O324" s="12" t="s">
        <v>1259</v>
      </c>
      <c r="P324" s="12">
        <v>5.5337049280537905E-4</v>
      </c>
      <c r="Q324" s="12">
        <v>2.0701498185406201E-3</v>
      </c>
      <c r="R324" s="12">
        <v>0.114415322580645</v>
      </c>
      <c r="S324" s="14">
        <v>27</v>
      </c>
      <c r="T324" s="12">
        <v>0.15013575713898999</v>
      </c>
      <c r="U324" s="14">
        <v>1159</v>
      </c>
      <c r="V324" s="14">
        <v>1</v>
      </c>
      <c r="W324" s="12">
        <v>5.4999999999999997E-3</v>
      </c>
      <c r="X324" s="12">
        <v>0.15563575713899</v>
      </c>
      <c r="Y324" s="14">
        <v>1159</v>
      </c>
      <c r="Z324" s="14">
        <v>27</v>
      </c>
      <c r="AA324" s="12" t="s">
        <v>2367</v>
      </c>
    </row>
    <row r="325" spans="1:27" ht="14.25" x14ac:dyDescent="0.45">
      <c r="A325" s="12" t="s">
        <v>1261</v>
      </c>
      <c r="B325" s="12" t="s">
        <v>1971</v>
      </c>
      <c r="C325" s="12" t="s">
        <v>1972</v>
      </c>
      <c r="D325" s="12" t="s">
        <v>2007</v>
      </c>
      <c r="E325" s="20">
        <v>33852</v>
      </c>
      <c r="F325" s="20">
        <v>44337</v>
      </c>
      <c r="G325" s="12">
        <v>0.25</v>
      </c>
      <c r="H325" s="12">
        <v>7.4666666666666703</v>
      </c>
      <c r="I325" s="13">
        <v>3.3482142857142898E-2</v>
      </c>
      <c r="J325" s="12" t="s">
        <v>1261</v>
      </c>
      <c r="K325" s="14">
        <v>1647</v>
      </c>
      <c r="L325" s="14">
        <v>1428</v>
      </c>
      <c r="M325" s="14">
        <v>1758</v>
      </c>
      <c r="N325" s="12">
        <v>0.25</v>
      </c>
      <c r="O325" s="12" t="s">
        <v>1261</v>
      </c>
      <c r="P325" s="12">
        <v>4.0215878837600201E-5</v>
      </c>
      <c r="Q325" s="12">
        <v>1.52461848788128E-4</v>
      </c>
      <c r="R325" s="12">
        <v>0.112903225806452</v>
      </c>
      <c r="S325" s="14">
        <v>30</v>
      </c>
      <c r="T325" s="12">
        <v>1.1036961005668E-2</v>
      </c>
      <c r="U325" s="14">
        <v>1752</v>
      </c>
      <c r="V325" s="14">
        <v>1</v>
      </c>
      <c r="W325" s="12">
        <v>5.4999999999999997E-3</v>
      </c>
      <c r="X325" s="12">
        <v>1.6536961005668E-2</v>
      </c>
      <c r="Y325" s="14">
        <v>1753</v>
      </c>
      <c r="Z325" s="14">
        <v>29</v>
      </c>
      <c r="AA325" s="12" t="s">
        <v>2367</v>
      </c>
    </row>
    <row r="326" spans="1:27" ht="14.25" x14ac:dyDescent="0.45">
      <c r="A326" s="12" t="s">
        <v>1262</v>
      </c>
      <c r="B326" s="12" t="s">
        <v>1971</v>
      </c>
      <c r="C326" s="12" t="s">
        <v>1972</v>
      </c>
      <c r="D326" s="12" t="s">
        <v>1993</v>
      </c>
      <c r="E326" s="20">
        <v>34485</v>
      </c>
      <c r="F326" s="20">
        <v>44221</v>
      </c>
      <c r="G326" s="12">
        <v>0.85</v>
      </c>
      <c r="H326" s="12">
        <v>11.3333333333333</v>
      </c>
      <c r="I326" s="13">
        <v>7.4999999999999997E-2</v>
      </c>
      <c r="J326" s="12" t="s">
        <v>1262</v>
      </c>
      <c r="K326" s="14">
        <v>1553</v>
      </c>
      <c r="L326" s="14">
        <v>860</v>
      </c>
      <c r="M326" s="14">
        <v>1589</v>
      </c>
      <c r="N326" s="12">
        <v>0.85</v>
      </c>
      <c r="O326" s="12" t="s">
        <v>1262</v>
      </c>
      <c r="P326" s="12">
        <v>1.3673398804784099E-4</v>
      </c>
      <c r="Q326" s="12">
        <v>3.4151454128540702E-4</v>
      </c>
      <c r="R326" s="12">
        <v>0.171370967741935</v>
      </c>
      <c r="S326" s="14">
        <v>28</v>
      </c>
      <c r="T326" s="12">
        <v>2.6472183382131999E-2</v>
      </c>
      <c r="U326" s="14">
        <v>1651</v>
      </c>
      <c r="V326" s="14">
        <v>2</v>
      </c>
      <c r="W326" s="12">
        <v>5.5999999999999999E-3</v>
      </c>
      <c r="X326" s="12">
        <v>3.2072183382131997E-2</v>
      </c>
      <c r="Y326" s="14">
        <v>1651</v>
      </c>
      <c r="Z326" s="14">
        <v>28</v>
      </c>
      <c r="AA326" s="12" t="s">
        <v>2367</v>
      </c>
    </row>
    <row r="327" spans="1:27" ht="14.25" x14ac:dyDescent="0.45">
      <c r="A327" s="12" t="s">
        <v>1267</v>
      </c>
      <c r="B327" s="12" t="s">
        <v>1971</v>
      </c>
      <c r="C327" s="12" t="s">
        <v>1972</v>
      </c>
      <c r="D327" s="12" t="s">
        <v>1990</v>
      </c>
      <c r="E327" s="20">
        <v>33483</v>
      </c>
      <c r="F327" s="20">
        <v>44335</v>
      </c>
      <c r="G327" s="12">
        <v>3.53</v>
      </c>
      <c r="H327" s="12">
        <v>7.5333333333333297</v>
      </c>
      <c r="I327" s="13">
        <v>0.46858407079645997</v>
      </c>
      <c r="J327" s="12" t="s">
        <v>1267</v>
      </c>
      <c r="K327" s="14">
        <v>1080</v>
      </c>
      <c r="L327" s="14">
        <v>1332</v>
      </c>
      <c r="M327" s="14">
        <v>1169</v>
      </c>
      <c r="N327" s="12">
        <v>3.53</v>
      </c>
      <c r="O327" s="12" t="s">
        <v>1267</v>
      </c>
      <c r="P327" s="12">
        <v>5.67848209186915E-4</v>
      </c>
      <c r="Q327" s="12">
        <v>2.1337103198893598E-3</v>
      </c>
      <c r="R327" s="12">
        <v>0.113911290322581</v>
      </c>
      <c r="S327" s="14">
        <v>31</v>
      </c>
      <c r="T327" s="12">
        <v>0.15465120283759401</v>
      </c>
      <c r="U327" s="14">
        <v>1144</v>
      </c>
      <c r="V327" s="14">
        <v>1</v>
      </c>
      <c r="W327" s="12">
        <v>5.4999999999999997E-3</v>
      </c>
      <c r="X327" s="12">
        <v>0.16015120283759399</v>
      </c>
      <c r="Y327" s="14">
        <v>1144</v>
      </c>
      <c r="Z327" s="14">
        <v>30</v>
      </c>
      <c r="AA327" s="12" t="s">
        <v>2367</v>
      </c>
    </row>
    <row r="328" spans="1:27" ht="14.25" x14ac:dyDescent="0.45">
      <c r="A328" s="12" t="s">
        <v>1274</v>
      </c>
      <c r="B328" s="12" t="s">
        <v>1971</v>
      </c>
      <c r="C328" s="12" t="s">
        <v>1972</v>
      </c>
      <c r="D328" s="12" t="s">
        <v>1975</v>
      </c>
      <c r="E328" s="20">
        <v>32889</v>
      </c>
      <c r="F328" s="20">
        <v>44371</v>
      </c>
      <c r="G328" s="12">
        <v>4.7699999999999996</v>
      </c>
      <c r="H328" s="12">
        <v>6.3333333333333304</v>
      </c>
      <c r="I328" s="13">
        <v>0.75315789473684203</v>
      </c>
      <c r="J328" s="12" t="s">
        <v>1274</v>
      </c>
      <c r="K328" s="14">
        <v>907</v>
      </c>
      <c r="L328" s="14">
        <v>1557</v>
      </c>
      <c r="M328" s="14">
        <v>1049</v>
      </c>
      <c r="N328" s="12">
        <v>4.7699999999999996</v>
      </c>
      <c r="O328" s="12" t="s">
        <v>1274</v>
      </c>
      <c r="P328" s="12">
        <v>7.6731896822141202E-4</v>
      </c>
      <c r="Q328" s="12">
        <v>3.4295249724871401E-3</v>
      </c>
      <c r="R328" s="12">
        <v>9.5766129032257993E-2</v>
      </c>
      <c r="S328" s="14">
        <v>32</v>
      </c>
      <c r="T328" s="12">
        <v>0.24311977208874899</v>
      </c>
      <c r="U328" s="14">
        <v>977</v>
      </c>
      <c r="V328" s="14">
        <v>1</v>
      </c>
      <c r="W328" s="12">
        <v>5.4999999999999997E-3</v>
      </c>
      <c r="X328" s="12">
        <v>0.248619772088749</v>
      </c>
      <c r="Y328" s="14">
        <v>977</v>
      </c>
      <c r="Z328" s="14">
        <v>32</v>
      </c>
      <c r="AA328" s="12" t="s">
        <v>2367</v>
      </c>
    </row>
    <row r="329" spans="1:27" ht="14.25" x14ac:dyDescent="0.45">
      <c r="A329" s="12" t="s">
        <v>1277</v>
      </c>
      <c r="B329" s="12" t="s">
        <v>1971</v>
      </c>
      <c r="C329" s="12" t="s">
        <v>1972</v>
      </c>
      <c r="D329" s="12" t="s">
        <v>1973</v>
      </c>
      <c r="E329" s="20">
        <v>33606</v>
      </c>
      <c r="F329" s="20">
        <v>44372</v>
      </c>
      <c r="G329" s="12">
        <v>2.1</v>
      </c>
      <c r="H329" s="12">
        <v>6.3</v>
      </c>
      <c r="I329" s="13">
        <v>0.33333333333333298</v>
      </c>
      <c r="J329" s="12" t="s">
        <v>1277</v>
      </c>
      <c r="K329" s="14">
        <v>1202</v>
      </c>
      <c r="L329" s="14">
        <v>1606</v>
      </c>
      <c r="M329" s="14">
        <v>1339</v>
      </c>
      <c r="N329" s="12">
        <v>2.1</v>
      </c>
      <c r="O329" s="12" t="s">
        <v>1277</v>
      </c>
      <c r="P329" s="12">
        <v>3.37813382235842E-4</v>
      </c>
      <c r="Q329" s="12">
        <v>1.51784240571292E-3</v>
      </c>
      <c r="R329" s="12">
        <v>9.5262096774193505E-2</v>
      </c>
      <c r="S329" s="14">
        <v>30</v>
      </c>
      <c r="T329" s="12">
        <v>0.107533152190902</v>
      </c>
      <c r="U329" s="14">
        <v>1269</v>
      </c>
      <c r="V329" s="14">
        <v>1</v>
      </c>
      <c r="W329" s="12">
        <v>5.4999999999999997E-3</v>
      </c>
      <c r="X329" s="12">
        <v>0.113033152190902</v>
      </c>
      <c r="Y329" s="14">
        <v>1269</v>
      </c>
      <c r="Z329" s="14">
        <v>30</v>
      </c>
      <c r="AA329" s="12" t="s">
        <v>2367</v>
      </c>
    </row>
    <row r="330" spans="1:27" ht="14.25" x14ac:dyDescent="0.45">
      <c r="A330" s="12" t="s">
        <v>1279</v>
      </c>
      <c r="B330" s="12" t="s">
        <v>1971</v>
      </c>
      <c r="C330" s="12" t="s">
        <v>1972</v>
      </c>
      <c r="D330" s="12" t="s">
        <v>1995</v>
      </c>
      <c r="E330" s="20">
        <v>33312</v>
      </c>
      <c r="F330" s="20">
        <v>44369</v>
      </c>
      <c r="G330" s="12">
        <v>5.18</v>
      </c>
      <c r="H330" s="12">
        <v>6.4</v>
      </c>
      <c r="I330" s="13">
        <v>0.80937499999999996</v>
      </c>
      <c r="J330" s="12" t="s">
        <v>1279</v>
      </c>
      <c r="K330" s="14">
        <v>888</v>
      </c>
      <c r="L330" s="14">
        <v>1500</v>
      </c>
      <c r="M330" s="14">
        <v>1025</v>
      </c>
      <c r="N330" s="12">
        <v>5.18</v>
      </c>
      <c r="O330" s="12" t="s">
        <v>1279</v>
      </c>
      <c r="P330" s="12">
        <v>8.3327300951507703E-4</v>
      </c>
      <c r="Q330" s="12">
        <v>3.68551109137168E-3</v>
      </c>
      <c r="R330" s="12">
        <v>9.6774193548387094E-2</v>
      </c>
      <c r="S330" s="14">
        <v>31</v>
      </c>
      <c r="T330" s="12">
        <v>0.261592181067546</v>
      </c>
      <c r="U330" s="14">
        <v>955</v>
      </c>
      <c r="V330" s="14">
        <v>2</v>
      </c>
      <c r="W330" s="12">
        <v>5.5999999999999999E-3</v>
      </c>
      <c r="X330" s="12">
        <v>0.267192181067545</v>
      </c>
      <c r="Y330" s="14">
        <v>955</v>
      </c>
      <c r="Z330" s="14">
        <v>31</v>
      </c>
      <c r="AA330" s="12" t="s">
        <v>2367</v>
      </c>
    </row>
    <row r="331" spans="1:27" ht="14.25" x14ac:dyDescent="0.45">
      <c r="A331" s="12" t="s">
        <v>1281</v>
      </c>
      <c r="B331" s="12" t="s">
        <v>1971</v>
      </c>
      <c r="C331" s="12" t="s">
        <v>1972</v>
      </c>
      <c r="D331" s="12" t="s">
        <v>1978</v>
      </c>
      <c r="E331" s="20">
        <v>34625</v>
      </c>
      <c r="F331" s="20">
        <v>44372</v>
      </c>
      <c r="G331" s="12">
        <v>0.02</v>
      </c>
      <c r="H331" s="12">
        <v>6.3</v>
      </c>
      <c r="I331" s="13">
        <v>3.1746031746031698E-3</v>
      </c>
      <c r="J331" s="12" t="s">
        <v>1281</v>
      </c>
      <c r="K331" s="14">
        <v>1794</v>
      </c>
      <c r="L331" s="14">
        <v>1606</v>
      </c>
      <c r="M331" s="14">
        <v>1922</v>
      </c>
      <c r="N331" s="12">
        <v>0.02</v>
      </c>
      <c r="O331" s="12" t="s">
        <v>1281</v>
      </c>
      <c r="P331" s="12">
        <v>3.2172703070080202E-6</v>
      </c>
      <c r="Q331" s="12">
        <v>1.44556419591707E-5</v>
      </c>
      <c r="R331" s="12">
        <v>9.5262096774193505E-2</v>
      </c>
      <c r="S331" s="14">
        <v>28</v>
      </c>
      <c r="T331" s="12">
        <v>1.0241252589609699E-3</v>
      </c>
      <c r="U331" s="14">
        <v>1905</v>
      </c>
      <c r="V331" s="14">
        <v>1</v>
      </c>
      <c r="W331" s="12">
        <v>5.4999999999999997E-3</v>
      </c>
      <c r="X331" s="12">
        <v>6.5241252589609703E-3</v>
      </c>
      <c r="Y331" s="14">
        <v>1905</v>
      </c>
      <c r="Z331" s="14">
        <v>27</v>
      </c>
      <c r="AA331" s="12" t="s">
        <v>2367</v>
      </c>
    </row>
    <row r="332" spans="1:27" ht="14.25" x14ac:dyDescent="0.45">
      <c r="A332" s="12" t="s">
        <v>1286</v>
      </c>
      <c r="B332" s="12" t="s">
        <v>1971</v>
      </c>
      <c r="C332" s="12" t="s">
        <v>1972</v>
      </c>
      <c r="D332" s="12" t="s">
        <v>2007</v>
      </c>
      <c r="E332" s="20">
        <v>35429</v>
      </c>
      <c r="F332" s="20">
        <v>44372</v>
      </c>
      <c r="G332" s="12">
        <v>593.30999999999995</v>
      </c>
      <c r="H332" s="12">
        <v>6.3</v>
      </c>
      <c r="I332" s="13">
        <v>94.176190476190499</v>
      </c>
      <c r="J332" s="12" t="s">
        <v>1286</v>
      </c>
      <c r="K332" s="14">
        <v>17</v>
      </c>
      <c r="L332" s="14">
        <v>1606</v>
      </c>
      <c r="M332" s="14">
        <v>118</v>
      </c>
      <c r="N332" s="12">
        <v>593.30999999999995</v>
      </c>
      <c r="O332" s="12" t="s">
        <v>1286</v>
      </c>
      <c r="P332" s="12">
        <v>9.5441932292546397E-2</v>
      </c>
      <c r="Q332" s="12">
        <v>0.42883384653977702</v>
      </c>
      <c r="R332" s="12">
        <v>9.5262096774193505E-2</v>
      </c>
      <c r="S332" s="14">
        <v>26</v>
      </c>
      <c r="T332" s="12">
        <v>30.381187869706601</v>
      </c>
      <c r="U332" s="14">
        <v>28</v>
      </c>
      <c r="V332" s="14">
        <v>5</v>
      </c>
      <c r="W332" s="12">
        <v>5.8999999999999999E-3</v>
      </c>
      <c r="X332" s="12">
        <v>30.387087869706601</v>
      </c>
      <c r="Y332" s="14">
        <v>28</v>
      </c>
      <c r="Z332" s="14">
        <v>25</v>
      </c>
      <c r="AA332" s="12" t="s">
        <v>2367</v>
      </c>
    </row>
    <row r="333" spans="1:27" ht="14.25" x14ac:dyDescent="0.45">
      <c r="A333" s="12" t="s">
        <v>1290</v>
      </c>
      <c r="B333" s="12" t="s">
        <v>1971</v>
      </c>
      <c r="C333" s="12" t="s">
        <v>1972</v>
      </c>
      <c r="D333" s="12" t="s">
        <v>1993</v>
      </c>
      <c r="E333" s="20">
        <v>34946</v>
      </c>
      <c r="F333" s="20">
        <v>44336</v>
      </c>
      <c r="G333" s="12">
        <v>0.03</v>
      </c>
      <c r="H333" s="12">
        <v>7.5</v>
      </c>
      <c r="I333" s="13">
        <v>4.0000000000000001E-3</v>
      </c>
      <c r="J333" s="12" t="s">
        <v>1290</v>
      </c>
      <c r="K333" s="14">
        <v>1785</v>
      </c>
      <c r="L333" s="14">
        <v>1377</v>
      </c>
      <c r="M333" s="14">
        <v>1895</v>
      </c>
      <c r="N333" s="12">
        <v>0.03</v>
      </c>
      <c r="O333" s="12" t="s">
        <v>1290</v>
      </c>
      <c r="P333" s="12">
        <v>4.8259054605120303E-6</v>
      </c>
      <c r="Q333" s="12">
        <v>1.8214108868555002E-5</v>
      </c>
      <c r="R333" s="12">
        <v>0.113407258064516</v>
      </c>
      <c r="S333" s="14">
        <v>27</v>
      </c>
      <c r="T333" s="12">
        <v>1.31935325905389E-3</v>
      </c>
      <c r="U333" s="14">
        <v>1891</v>
      </c>
      <c r="V333" s="14">
        <v>1</v>
      </c>
      <c r="W333" s="12">
        <v>5.4999999999999997E-3</v>
      </c>
      <c r="X333" s="12">
        <v>6.8193532590538897E-3</v>
      </c>
      <c r="Y333" s="14">
        <v>1892</v>
      </c>
      <c r="Z333" s="14">
        <v>26</v>
      </c>
      <c r="AA333" s="12" t="s">
        <v>2367</v>
      </c>
    </row>
    <row r="334" spans="1:27" ht="14.25" x14ac:dyDescent="0.45">
      <c r="A334" s="12" t="s">
        <v>1292</v>
      </c>
      <c r="B334" s="12" t="s">
        <v>1971</v>
      </c>
      <c r="C334" s="12" t="s">
        <v>1972</v>
      </c>
      <c r="D334" s="12" t="s">
        <v>1997</v>
      </c>
      <c r="E334" s="20">
        <v>33213</v>
      </c>
      <c r="F334" s="20">
        <v>44336</v>
      </c>
      <c r="G334" s="12">
        <v>6.42</v>
      </c>
      <c r="H334" s="12">
        <v>7.5</v>
      </c>
      <c r="I334" s="13">
        <v>0.85599999999999998</v>
      </c>
      <c r="J334" s="12" t="s">
        <v>1292</v>
      </c>
      <c r="K334" s="14">
        <v>875</v>
      </c>
      <c r="L334" s="14">
        <v>1377</v>
      </c>
      <c r="M334" s="14">
        <v>943</v>
      </c>
      <c r="N334" s="12">
        <v>6.42</v>
      </c>
      <c r="O334" s="12" t="s">
        <v>1292</v>
      </c>
      <c r="P334" s="12">
        <v>1.0327437685495699E-3</v>
      </c>
      <c r="Q334" s="12">
        <v>3.89781929787078E-3</v>
      </c>
      <c r="R334" s="12">
        <v>0.113407258064516</v>
      </c>
      <c r="S334" s="14">
        <v>32</v>
      </c>
      <c r="T334" s="12">
        <v>0.28234159743753301</v>
      </c>
      <c r="U334" s="14">
        <v>938</v>
      </c>
      <c r="V334" s="14">
        <v>1</v>
      </c>
      <c r="W334" s="12">
        <v>5.4999999999999997E-3</v>
      </c>
      <c r="X334" s="12">
        <v>0.28784159743753301</v>
      </c>
      <c r="Y334" s="14">
        <v>938</v>
      </c>
      <c r="Z334" s="14">
        <v>31</v>
      </c>
      <c r="AA334" s="12" t="s">
        <v>2367</v>
      </c>
    </row>
    <row r="335" spans="1:27" ht="14.25" x14ac:dyDescent="0.45">
      <c r="A335" s="12" t="s">
        <v>1301</v>
      </c>
      <c r="B335" s="12" t="s">
        <v>1971</v>
      </c>
      <c r="C335" s="12" t="s">
        <v>1972</v>
      </c>
      <c r="D335" s="12" t="s">
        <v>2072</v>
      </c>
      <c r="E335" s="20">
        <v>34703</v>
      </c>
      <c r="F335" s="20">
        <v>44370</v>
      </c>
      <c r="G335" s="12">
        <v>4.59</v>
      </c>
      <c r="H335" s="12">
        <v>6.3666666666666698</v>
      </c>
      <c r="I335" s="13">
        <v>0.720942408376963</v>
      </c>
      <c r="J335" s="12" t="s">
        <v>1301</v>
      </c>
      <c r="K335" s="14">
        <v>925</v>
      </c>
      <c r="L335" s="14">
        <v>1504</v>
      </c>
      <c r="M335" s="14">
        <v>1061</v>
      </c>
      <c r="N335" s="12">
        <v>4.59</v>
      </c>
      <c r="O335" s="12" t="s">
        <v>1301</v>
      </c>
      <c r="P335" s="12">
        <v>7.3836353545834001E-4</v>
      </c>
      <c r="Q335" s="12">
        <v>3.2828308785340702E-3</v>
      </c>
      <c r="R335" s="12">
        <v>9.6270161290322606E-2</v>
      </c>
      <c r="S335" s="14">
        <v>27</v>
      </c>
      <c r="T335" s="12">
        <v>0.232865562488067</v>
      </c>
      <c r="U335" s="14">
        <v>993</v>
      </c>
      <c r="V335" s="14">
        <v>1</v>
      </c>
      <c r="W335" s="12">
        <v>5.4999999999999997E-3</v>
      </c>
      <c r="X335" s="12">
        <v>0.23836556248806701</v>
      </c>
      <c r="Y335" s="14">
        <v>993</v>
      </c>
      <c r="Z335" s="14">
        <v>27</v>
      </c>
      <c r="AA335" s="12" t="s">
        <v>2367</v>
      </c>
    </row>
    <row r="336" spans="1:27" ht="14.25" x14ac:dyDescent="0.45">
      <c r="A336" s="12" t="s">
        <v>1302</v>
      </c>
      <c r="B336" s="12" t="s">
        <v>1971</v>
      </c>
      <c r="C336" s="12" t="s">
        <v>1972</v>
      </c>
      <c r="D336" s="12" t="s">
        <v>2026</v>
      </c>
      <c r="E336" s="20">
        <v>32107</v>
      </c>
      <c r="F336" s="20">
        <v>43362</v>
      </c>
      <c r="G336" s="12">
        <v>310.97000000000003</v>
      </c>
      <c r="H336" s="12">
        <v>39.966666666666697</v>
      </c>
      <c r="I336" s="13">
        <v>7.7807339449541297</v>
      </c>
      <c r="J336" s="12" t="s">
        <v>1302</v>
      </c>
      <c r="K336" s="14">
        <v>359</v>
      </c>
      <c r="L336" s="14">
        <v>187</v>
      </c>
      <c r="M336" s="14">
        <v>213</v>
      </c>
      <c r="N336" s="12">
        <v>310.97000000000003</v>
      </c>
      <c r="O336" s="12" t="s">
        <v>1302</v>
      </c>
      <c r="P336" s="12">
        <v>5.0023727368514202E-2</v>
      </c>
      <c r="Q336" s="12">
        <v>3.5429783787664003E-2</v>
      </c>
      <c r="R336" s="12">
        <v>0.60433467741935498</v>
      </c>
      <c r="S336" s="14">
        <v>35</v>
      </c>
      <c r="T336" s="12">
        <v>4.0902512630482804</v>
      </c>
      <c r="U336" s="14">
        <v>304</v>
      </c>
      <c r="V336" s="14">
        <v>8</v>
      </c>
      <c r="W336" s="12">
        <v>6.1999999999999998E-3</v>
      </c>
      <c r="X336" s="12">
        <v>4.0964512630482801</v>
      </c>
      <c r="Y336" s="14">
        <v>304</v>
      </c>
      <c r="Z336" s="14">
        <v>34</v>
      </c>
      <c r="AA336" s="12" t="s">
        <v>2367</v>
      </c>
    </row>
    <row r="337" spans="1:27" ht="14.25" x14ac:dyDescent="0.45">
      <c r="A337" s="12" t="s">
        <v>1304</v>
      </c>
      <c r="B337" s="12" t="s">
        <v>1971</v>
      </c>
      <c r="C337" s="12" t="s">
        <v>1972</v>
      </c>
      <c r="D337" s="12" t="s">
        <v>1978</v>
      </c>
      <c r="E337" s="20">
        <v>34718</v>
      </c>
      <c r="F337" s="20">
        <v>44334</v>
      </c>
      <c r="G337" s="12">
        <v>3</v>
      </c>
      <c r="H337" s="12">
        <v>7.56666666666667</v>
      </c>
      <c r="I337" s="13">
        <v>0.39647577092510999</v>
      </c>
      <c r="J337" s="12" t="s">
        <v>1304</v>
      </c>
      <c r="K337" s="14">
        <v>1141</v>
      </c>
      <c r="L337" s="14">
        <v>1269</v>
      </c>
      <c r="M337" s="14">
        <v>1221</v>
      </c>
      <c r="N337" s="12">
        <v>3</v>
      </c>
      <c r="O337" s="12" t="s">
        <v>1304</v>
      </c>
      <c r="P337" s="12">
        <v>4.8259054605120298E-4</v>
      </c>
      <c r="Q337" s="12">
        <v>1.80536321384356E-3</v>
      </c>
      <c r="R337" s="12">
        <v>0.114415322580645</v>
      </c>
      <c r="S337" s="14">
        <v>27</v>
      </c>
      <c r="T337" s="12">
        <v>0.13093234634214301</v>
      </c>
      <c r="U337" s="14">
        <v>1202</v>
      </c>
      <c r="V337" s="14">
        <v>1</v>
      </c>
      <c r="W337" s="12">
        <v>5.4999999999999997E-3</v>
      </c>
      <c r="X337" s="12">
        <v>0.13643234634214299</v>
      </c>
      <c r="Y337" s="14">
        <v>1202</v>
      </c>
      <c r="Z337" s="14">
        <v>27</v>
      </c>
      <c r="AA337" s="12" t="s">
        <v>2367</v>
      </c>
    </row>
    <row r="338" spans="1:27" ht="14.25" x14ac:dyDescent="0.45">
      <c r="A338" s="12" t="s">
        <v>1308</v>
      </c>
      <c r="B338" s="12" t="s">
        <v>1971</v>
      </c>
      <c r="C338" s="12" t="s">
        <v>1972</v>
      </c>
      <c r="D338" s="12" t="s">
        <v>1997</v>
      </c>
      <c r="E338" s="20">
        <v>35093</v>
      </c>
      <c r="F338" s="20">
        <v>44361</v>
      </c>
      <c r="G338" s="12">
        <v>3.58</v>
      </c>
      <c r="H338" s="12">
        <v>6.6666666666666696</v>
      </c>
      <c r="I338" s="13">
        <v>0.53700000000000003</v>
      </c>
      <c r="J338" s="12" t="s">
        <v>1308</v>
      </c>
      <c r="K338" s="14">
        <v>1027</v>
      </c>
      <c r="L338" s="14">
        <v>1492</v>
      </c>
      <c r="M338" s="14">
        <v>1162</v>
      </c>
      <c r="N338" s="12">
        <v>3.58</v>
      </c>
      <c r="O338" s="12" t="s">
        <v>1308</v>
      </c>
      <c r="P338" s="12">
        <v>5.7589138495443501E-4</v>
      </c>
      <c r="Q338" s="12">
        <v>2.4452441156035099E-3</v>
      </c>
      <c r="R338" s="12">
        <v>0.100806451612903</v>
      </c>
      <c r="S338" s="14">
        <v>26</v>
      </c>
      <c r="T338" s="12">
        <v>0.17442368416101101</v>
      </c>
      <c r="U338" s="14">
        <v>1102</v>
      </c>
      <c r="V338" s="14">
        <v>2</v>
      </c>
      <c r="W338" s="12">
        <v>5.5999999999999999E-3</v>
      </c>
      <c r="X338" s="12">
        <v>0.180023684161011</v>
      </c>
      <c r="Y338" s="14">
        <v>1102</v>
      </c>
      <c r="Z338" s="14">
        <v>26</v>
      </c>
      <c r="AA338" s="12" t="s">
        <v>2367</v>
      </c>
    </row>
    <row r="339" spans="1:27" ht="14.25" x14ac:dyDescent="0.45">
      <c r="A339" s="12" t="s">
        <v>1311</v>
      </c>
      <c r="B339" s="12" t="s">
        <v>1971</v>
      </c>
      <c r="C339" s="12" t="s">
        <v>1972</v>
      </c>
      <c r="D339" s="12" t="s">
        <v>1997</v>
      </c>
      <c r="E339" s="20">
        <v>34570</v>
      </c>
      <c r="F339" s="20">
        <v>44335</v>
      </c>
      <c r="G339" s="12">
        <v>0.16</v>
      </c>
      <c r="H339" s="12">
        <v>7.5333333333333297</v>
      </c>
      <c r="I339" s="13">
        <v>2.12389380530973E-2</v>
      </c>
      <c r="J339" s="12" t="s">
        <v>1311</v>
      </c>
      <c r="K339" s="14">
        <v>1680</v>
      </c>
      <c r="L339" s="14">
        <v>1332</v>
      </c>
      <c r="M339" s="14">
        <v>1801</v>
      </c>
      <c r="N339" s="12">
        <v>0.16</v>
      </c>
      <c r="O339" s="12" t="s">
        <v>1311</v>
      </c>
      <c r="P339" s="12">
        <v>2.5738162456064101E-5</v>
      </c>
      <c r="Q339" s="12">
        <v>9.6712082487902798E-5</v>
      </c>
      <c r="R339" s="12">
        <v>0.113911290322581</v>
      </c>
      <c r="S339" s="14">
        <v>28</v>
      </c>
      <c r="T339" s="12">
        <v>7.0096862475963299E-3</v>
      </c>
      <c r="U339" s="14">
        <v>1789</v>
      </c>
      <c r="V339" s="14">
        <v>1</v>
      </c>
      <c r="W339" s="12">
        <v>5.4999999999999997E-3</v>
      </c>
      <c r="X339" s="12">
        <v>1.25096862475963E-2</v>
      </c>
      <c r="Y339" s="14">
        <v>1790</v>
      </c>
      <c r="Z339" s="14">
        <v>27</v>
      </c>
      <c r="AA339" s="12" t="s">
        <v>2367</v>
      </c>
    </row>
    <row r="340" spans="1:27" ht="14.25" x14ac:dyDescent="0.45">
      <c r="A340" s="12" t="s">
        <v>1317</v>
      </c>
      <c r="B340" s="12" t="s">
        <v>1971</v>
      </c>
      <c r="C340" s="12" t="s">
        <v>1972</v>
      </c>
      <c r="D340" s="12" t="s">
        <v>2070</v>
      </c>
      <c r="E340" s="20">
        <v>33576</v>
      </c>
      <c r="F340" s="20">
        <v>44161</v>
      </c>
      <c r="G340" s="12">
        <v>12.55</v>
      </c>
      <c r="H340" s="12">
        <v>13.3333333333333</v>
      </c>
      <c r="I340" s="13">
        <v>0.94125000000000003</v>
      </c>
      <c r="J340" s="12" t="s">
        <v>1317</v>
      </c>
      <c r="K340" s="14">
        <v>844</v>
      </c>
      <c r="L340" s="14">
        <v>648</v>
      </c>
      <c r="M340" s="14">
        <v>801</v>
      </c>
      <c r="N340" s="12">
        <v>12.55</v>
      </c>
      <c r="O340" s="12" t="s">
        <v>1317</v>
      </c>
      <c r="P340" s="12">
        <v>2.0188371176475301E-3</v>
      </c>
      <c r="Q340" s="12">
        <v>4.2860074931318597E-3</v>
      </c>
      <c r="R340" s="12">
        <v>0.20161290322580599</v>
      </c>
      <c r="S340" s="14">
        <v>31</v>
      </c>
      <c r="T340" s="12">
        <v>0.34358186023252302</v>
      </c>
      <c r="U340" s="14">
        <v>876</v>
      </c>
      <c r="V340" s="14">
        <v>3</v>
      </c>
      <c r="W340" s="12">
        <v>5.7000000000000002E-3</v>
      </c>
      <c r="X340" s="12">
        <v>0.349281860232523</v>
      </c>
      <c r="Y340" s="14">
        <v>876</v>
      </c>
      <c r="Z340" s="14">
        <v>30</v>
      </c>
      <c r="AA340" s="12" t="s">
        <v>2367</v>
      </c>
    </row>
    <row r="341" spans="1:27" ht="14.25" x14ac:dyDescent="0.45">
      <c r="A341" s="12" t="s">
        <v>1321</v>
      </c>
      <c r="B341" s="12" t="s">
        <v>1971</v>
      </c>
      <c r="C341" s="12" t="s">
        <v>1972</v>
      </c>
      <c r="D341" s="12" t="s">
        <v>1997</v>
      </c>
      <c r="E341" s="20">
        <v>35248</v>
      </c>
      <c r="F341" s="20">
        <v>44371</v>
      </c>
      <c r="G341" s="12">
        <v>3.54</v>
      </c>
      <c r="H341" s="12">
        <v>6.3333333333333304</v>
      </c>
      <c r="I341" s="13">
        <v>0.55894736842105297</v>
      </c>
      <c r="J341" s="12" t="s">
        <v>1321</v>
      </c>
      <c r="K341" s="14">
        <v>1017</v>
      </c>
      <c r="L341" s="14">
        <v>1557</v>
      </c>
      <c r="M341" s="14">
        <v>1167</v>
      </c>
      <c r="N341" s="12">
        <v>3.54</v>
      </c>
      <c r="O341" s="12" t="s">
        <v>1321</v>
      </c>
      <c r="P341" s="12">
        <v>5.6945684434041896E-4</v>
      </c>
      <c r="Q341" s="12">
        <v>2.5451820550533499E-3</v>
      </c>
      <c r="R341" s="12">
        <v>9.5766129032257993E-2</v>
      </c>
      <c r="S341" s="14">
        <v>26</v>
      </c>
      <c r="T341" s="12">
        <v>0.1804285101036</v>
      </c>
      <c r="U341" s="14">
        <v>1080</v>
      </c>
      <c r="V341" s="14">
        <v>1</v>
      </c>
      <c r="W341" s="12">
        <v>5.4999999999999997E-3</v>
      </c>
      <c r="X341" s="12">
        <v>0.18592851010360001</v>
      </c>
      <c r="Y341" s="14">
        <v>1081</v>
      </c>
      <c r="Z341" s="14">
        <v>26</v>
      </c>
      <c r="AA341" s="12" t="s">
        <v>2367</v>
      </c>
    </row>
    <row r="342" spans="1:27" ht="14.25" x14ac:dyDescent="0.45">
      <c r="A342" s="12" t="s">
        <v>1323</v>
      </c>
      <c r="B342" s="12" t="s">
        <v>1971</v>
      </c>
      <c r="C342" s="12" t="s">
        <v>1972</v>
      </c>
      <c r="D342" s="12" t="s">
        <v>1975</v>
      </c>
      <c r="E342" s="20">
        <v>35601</v>
      </c>
      <c r="F342" s="20">
        <v>44371</v>
      </c>
      <c r="G342" s="12">
        <v>3.92</v>
      </c>
      <c r="H342" s="12">
        <v>6.3333333333333304</v>
      </c>
      <c r="I342" s="13">
        <v>0.61894736842105302</v>
      </c>
      <c r="J342" s="12" t="s">
        <v>1323</v>
      </c>
      <c r="K342" s="14">
        <v>983</v>
      </c>
      <c r="L342" s="14">
        <v>1557</v>
      </c>
      <c r="M342" s="14">
        <v>1123</v>
      </c>
      <c r="N342" s="12">
        <v>3.92</v>
      </c>
      <c r="O342" s="12" t="s">
        <v>1323</v>
      </c>
      <c r="P342" s="12">
        <v>6.3058498017357198E-4</v>
      </c>
      <c r="Q342" s="12">
        <v>2.81839368808167E-3</v>
      </c>
      <c r="R342" s="12">
        <v>9.5766129032257993E-2</v>
      </c>
      <c r="S342" s="14">
        <v>25</v>
      </c>
      <c r="T342" s="12">
        <v>0.199796542261614</v>
      </c>
      <c r="U342" s="14">
        <v>1045</v>
      </c>
      <c r="V342" s="14">
        <v>1</v>
      </c>
      <c r="W342" s="12">
        <v>5.4999999999999997E-3</v>
      </c>
      <c r="X342" s="12">
        <v>0.20529654226161401</v>
      </c>
      <c r="Y342" s="14">
        <v>1045</v>
      </c>
      <c r="Z342" s="14">
        <v>25</v>
      </c>
      <c r="AA342" s="12" t="s">
        <v>2367</v>
      </c>
    </row>
    <row r="343" spans="1:27" ht="14.25" x14ac:dyDescent="0.45">
      <c r="A343" s="12" t="s">
        <v>1326</v>
      </c>
      <c r="B343" s="12" t="s">
        <v>1971</v>
      </c>
      <c r="C343" s="12" t="s">
        <v>1972</v>
      </c>
      <c r="D343" s="12" t="s">
        <v>1973</v>
      </c>
      <c r="E343" s="20">
        <v>32972</v>
      </c>
      <c r="F343" s="20">
        <v>44336</v>
      </c>
      <c r="G343" s="12">
        <v>3.82</v>
      </c>
      <c r="H343" s="12">
        <v>7.5</v>
      </c>
      <c r="I343" s="13">
        <v>0.50933333333333297</v>
      </c>
      <c r="J343" s="12" t="s">
        <v>1326</v>
      </c>
      <c r="K343" s="14">
        <v>1042</v>
      </c>
      <c r="L343" s="14">
        <v>1377</v>
      </c>
      <c r="M343" s="14">
        <v>1137</v>
      </c>
      <c r="N343" s="12">
        <v>3.82</v>
      </c>
      <c r="O343" s="12" t="s">
        <v>1326</v>
      </c>
      <c r="P343" s="12">
        <v>6.1449862863853098E-4</v>
      </c>
      <c r="Q343" s="12">
        <v>2.3192631959293398E-3</v>
      </c>
      <c r="R343" s="12">
        <v>0.113407258064516</v>
      </c>
      <c r="S343" s="14">
        <v>32</v>
      </c>
      <c r="T343" s="12">
        <v>0.16799764831952901</v>
      </c>
      <c r="U343" s="14">
        <v>1114</v>
      </c>
      <c r="V343" s="14">
        <v>2</v>
      </c>
      <c r="W343" s="12">
        <v>5.5999999999999999E-3</v>
      </c>
      <c r="X343" s="12">
        <v>0.17359764831952901</v>
      </c>
      <c r="Y343" s="14">
        <v>1114</v>
      </c>
      <c r="Z343" s="14">
        <v>32</v>
      </c>
      <c r="AA343" s="12" t="s">
        <v>2367</v>
      </c>
    </row>
    <row r="344" spans="1:27" ht="14.25" x14ac:dyDescent="0.45">
      <c r="A344" s="12" t="s">
        <v>1328</v>
      </c>
      <c r="B344" s="12" t="s">
        <v>1971</v>
      </c>
      <c r="C344" s="12" t="s">
        <v>1972</v>
      </c>
      <c r="D344" s="12" t="s">
        <v>1997</v>
      </c>
      <c r="E344" s="20">
        <v>33772</v>
      </c>
      <c r="F344" s="20">
        <v>44371</v>
      </c>
      <c r="G344" s="12">
        <v>2.42</v>
      </c>
      <c r="H344" s="12">
        <v>6.3333333333333304</v>
      </c>
      <c r="I344" s="13">
        <v>0.382105263157895</v>
      </c>
      <c r="J344" s="12" t="s">
        <v>1328</v>
      </c>
      <c r="K344" s="14">
        <v>1157</v>
      </c>
      <c r="L344" s="14">
        <v>1557</v>
      </c>
      <c r="M344" s="14">
        <v>1290</v>
      </c>
      <c r="N344" s="12">
        <v>2.42</v>
      </c>
      <c r="O344" s="12" t="s">
        <v>1328</v>
      </c>
      <c r="P344" s="12">
        <v>3.8928970714796997E-4</v>
      </c>
      <c r="Q344" s="12">
        <v>1.73992671560144E-3</v>
      </c>
      <c r="R344" s="12">
        <v>9.5766129032257993E-2</v>
      </c>
      <c r="S344" s="14">
        <v>30</v>
      </c>
      <c r="T344" s="12">
        <v>0.12334378374313899</v>
      </c>
      <c r="U344" s="14">
        <v>1219</v>
      </c>
      <c r="V344" s="14">
        <v>1</v>
      </c>
      <c r="W344" s="12">
        <v>5.4999999999999997E-3</v>
      </c>
      <c r="X344" s="12">
        <v>0.12884378374313901</v>
      </c>
      <c r="Y344" s="14">
        <v>1219</v>
      </c>
      <c r="Z344" s="14">
        <v>30</v>
      </c>
      <c r="AA344" s="12" t="s">
        <v>2367</v>
      </c>
    </row>
    <row r="345" spans="1:27" ht="14.25" x14ac:dyDescent="0.45">
      <c r="A345" s="12" t="s">
        <v>1331</v>
      </c>
      <c r="B345" s="12" t="s">
        <v>1971</v>
      </c>
      <c r="C345" s="12" t="s">
        <v>1972</v>
      </c>
      <c r="D345" s="12" t="s">
        <v>1993</v>
      </c>
      <c r="E345" s="20">
        <v>34184</v>
      </c>
      <c r="F345" s="20">
        <v>44336</v>
      </c>
      <c r="G345" s="12">
        <v>0.23</v>
      </c>
      <c r="H345" s="12">
        <v>7.5</v>
      </c>
      <c r="I345" s="13">
        <v>3.06666666666667E-2</v>
      </c>
      <c r="J345" s="12" t="s">
        <v>1331</v>
      </c>
      <c r="K345" s="14">
        <v>1655</v>
      </c>
      <c r="L345" s="14">
        <v>1377</v>
      </c>
      <c r="M345" s="14">
        <v>1769</v>
      </c>
      <c r="N345" s="12">
        <v>0.23</v>
      </c>
      <c r="O345" s="12" t="s">
        <v>1331</v>
      </c>
      <c r="P345" s="12">
        <v>3.6998608530592203E-5</v>
      </c>
      <c r="Q345" s="12">
        <v>1.3964150132558901E-4</v>
      </c>
      <c r="R345" s="12">
        <v>0.113407258064516</v>
      </c>
      <c r="S345" s="14">
        <v>29</v>
      </c>
      <c r="T345" s="12">
        <v>1.0115041652746499E-2</v>
      </c>
      <c r="U345" s="14">
        <v>1760</v>
      </c>
      <c r="V345" s="14">
        <v>1</v>
      </c>
      <c r="W345" s="12">
        <v>5.4999999999999997E-3</v>
      </c>
      <c r="X345" s="12">
        <v>1.5615041652746501E-2</v>
      </c>
      <c r="Y345" s="14">
        <v>1760</v>
      </c>
      <c r="Z345" s="14">
        <v>28</v>
      </c>
      <c r="AA345" s="12" t="s">
        <v>2367</v>
      </c>
    </row>
    <row r="346" spans="1:27" ht="14.25" x14ac:dyDescent="0.45">
      <c r="A346" s="12" t="s">
        <v>1338</v>
      </c>
      <c r="B346" s="12" t="s">
        <v>1971</v>
      </c>
      <c r="C346" s="12" t="s">
        <v>1972</v>
      </c>
      <c r="D346" s="12" t="s">
        <v>1997</v>
      </c>
      <c r="E346" s="20">
        <v>34913</v>
      </c>
      <c r="F346" s="20">
        <v>44371</v>
      </c>
      <c r="G346" s="12">
        <v>3</v>
      </c>
      <c r="H346" s="12">
        <v>6.3333333333333304</v>
      </c>
      <c r="I346" s="13">
        <v>0.47368421052631599</v>
      </c>
      <c r="J346" s="12" t="s">
        <v>1338</v>
      </c>
      <c r="K346" s="14">
        <v>1074</v>
      </c>
      <c r="L346" s="14">
        <v>1557</v>
      </c>
      <c r="M346" s="14">
        <v>1221</v>
      </c>
      <c r="N346" s="12">
        <v>3</v>
      </c>
      <c r="O346" s="12" t="s">
        <v>1338</v>
      </c>
      <c r="P346" s="12">
        <v>4.8259054605120298E-4</v>
      </c>
      <c r="Q346" s="12">
        <v>2.1569339449604599E-3</v>
      </c>
      <c r="R346" s="12">
        <v>9.5766129032257993E-2</v>
      </c>
      <c r="S346" s="14">
        <v>27</v>
      </c>
      <c r="T346" s="12">
        <v>0.15290551703694899</v>
      </c>
      <c r="U346" s="14">
        <v>1149</v>
      </c>
      <c r="V346" s="14">
        <v>1</v>
      </c>
      <c r="W346" s="12">
        <v>5.4999999999999997E-3</v>
      </c>
      <c r="X346" s="12">
        <v>0.158405517036949</v>
      </c>
      <c r="Y346" s="14">
        <v>1149</v>
      </c>
      <c r="Z346" s="14">
        <v>26</v>
      </c>
      <c r="AA346" s="12" t="s">
        <v>2367</v>
      </c>
    </row>
    <row r="347" spans="1:27" ht="14.25" x14ac:dyDescent="0.45">
      <c r="A347" s="12" t="s">
        <v>1349</v>
      </c>
      <c r="B347" s="12" t="s">
        <v>1971</v>
      </c>
      <c r="C347" s="12" t="s">
        <v>1972</v>
      </c>
      <c r="D347" s="12" t="s">
        <v>2241</v>
      </c>
      <c r="E347" s="20">
        <v>35441</v>
      </c>
      <c r="F347" s="20">
        <v>44334</v>
      </c>
      <c r="G347" s="12">
        <v>5</v>
      </c>
      <c r="H347" s="12">
        <v>7.56666666666667</v>
      </c>
      <c r="I347" s="13">
        <v>0.66079295154185003</v>
      </c>
      <c r="J347" s="12" t="s">
        <v>1349</v>
      </c>
      <c r="K347" s="14">
        <v>957</v>
      </c>
      <c r="L347" s="14">
        <v>1269</v>
      </c>
      <c r="M347" s="14">
        <v>1034</v>
      </c>
      <c r="N347" s="12">
        <v>5</v>
      </c>
      <c r="O347" s="12" t="s">
        <v>1349</v>
      </c>
      <c r="P347" s="12">
        <v>8.0431757675200502E-4</v>
      </c>
      <c r="Q347" s="12">
        <v>3.0089386897392701E-3</v>
      </c>
      <c r="R347" s="12">
        <v>0.114415322580645</v>
      </c>
      <c r="S347" s="14">
        <v>25</v>
      </c>
      <c r="T347" s="12">
        <v>0.218220577236904</v>
      </c>
      <c r="U347" s="14">
        <v>1012</v>
      </c>
      <c r="V347" s="14">
        <v>1</v>
      </c>
      <c r="W347" s="12">
        <v>5.4999999999999997E-3</v>
      </c>
      <c r="X347" s="12">
        <v>0.223720577236904</v>
      </c>
      <c r="Y347" s="14">
        <v>1014</v>
      </c>
      <c r="Z347" s="14">
        <v>25</v>
      </c>
      <c r="AA347" s="12" t="s">
        <v>2367</v>
      </c>
    </row>
    <row r="348" spans="1:27" ht="14.25" x14ac:dyDescent="0.45">
      <c r="A348" s="12" t="s">
        <v>1350</v>
      </c>
      <c r="B348" s="12" t="s">
        <v>1971</v>
      </c>
      <c r="C348" s="12" t="s">
        <v>1972</v>
      </c>
      <c r="D348" s="12" t="s">
        <v>1982</v>
      </c>
      <c r="E348" s="20">
        <v>35350</v>
      </c>
      <c r="F348" s="20">
        <v>43503</v>
      </c>
      <c r="G348" s="12">
        <v>66.400000000000006</v>
      </c>
      <c r="H348" s="12">
        <v>35.266666666666701</v>
      </c>
      <c r="I348" s="13">
        <v>1.8827977315690001</v>
      </c>
      <c r="J348" s="12" t="s">
        <v>1350</v>
      </c>
      <c r="K348" s="14">
        <v>675</v>
      </c>
      <c r="L348" s="14">
        <v>225</v>
      </c>
      <c r="M348" s="14">
        <v>435</v>
      </c>
      <c r="N348" s="12">
        <v>66.400000000000006</v>
      </c>
      <c r="O348" s="12" t="s">
        <v>1350</v>
      </c>
      <c r="P348" s="12">
        <v>1.06813374192666E-2</v>
      </c>
      <c r="Q348" s="12">
        <v>8.5733707150665497E-3</v>
      </c>
      <c r="R348" s="12">
        <v>0.53326612903225801</v>
      </c>
      <c r="S348" s="14">
        <v>26</v>
      </c>
      <c r="T348" s="12">
        <v>0.93638582291415795</v>
      </c>
      <c r="U348" s="14">
        <v>583</v>
      </c>
      <c r="V348" s="14">
        <v>1</v>
      </c>
      <c r="W348" s="12">
        <v>5.4999999999999997E-3</v>
      </c>
      <c r="X348" s="12">
        <v>0.94188582291415701</v>
      </c>
      <c r="Y348" s="14">
        <v>584</v>
      </c>
      <c r="Z348" s="14">
        <v>25</v>
      </c>
      <c r="AA348" s="12" t="s">
        <v>2367</v>
      </c>
    </row>
    <row r="349" spans="1:27" ht="14.25" x14ac:dyDescent="0.45">
      <c r="A349" s="12" t="s">
        <v>1351</v>
      </c>
      <c r="B349" s="12" t="s">
        <v>1971</v>
      </c>
      <c r="C349" s="12" t="s">
        <v>1972</v>
      </c>
      <c r="D349" s="12" t="s">
        <v>1997</v>
      </c>
      <c r="E349" s="20">
        <v>32257</v>
      </c>
      <c r="F349" s="20">
        <v>44334</v>
      </c>
      <c r="G349" s="12">
        <v>7</v>
      </c>
      <c r="H349" s="12">
        <v>7.56666666666667</v>
      </c>
      <c r="I349" s="13">
        <v>0.92511013215858995</v>
      </c>
      <c r="J349" s="12" t="s">
        <v>1351</v>
      </c>
      <c r="K349" s="14">
        <v>847</v>
      </c>
      <c r="L349" s="14">
        <v>1269</v>
      </c>
      <c r="M349" s="14">
        <v>922</v>
      </c>
      <c r="N349" s="12">
        <v>7</v>
      </c>
      <c r="O349" s="12" t="s">
        <v>1351</v>
      </c>
      <c r="P349" s="12">
        <v>1.1260446074528099E-3</v>
      </c>
      <c r="Q349" s="12">
        <v>4.2125141656349802E-3</v>
      </c>
      <c r="R349" s="12">
        <v>0.114415322580645</v>
      </c>
      <c r="S349" s="14">
        <v>34</v>
      </c>
      <c r="T349" s="12">
        <v>0.30550880813166598</v>
      </c>
      <c r="U349" s="14">
        <v>912</v>
      </c>
      <c r="V349" s="14">
        <v>2</v>
      </c>
      <c r="W349" s="12">
        <v>5.5999999999999999E-3</v>
      </c>
      <c r="X349" s="12">
        <v>0.31110880813166603</v>
      </c>
      <c r="Y349" s="14">
        <v>912</v>
      </c>
      <c r="Z349" s="14">
        <v>34</v>
      </c>
      <c r="AA349" s="12" t="s">
        <v>2367</v>
      </c>
    </row>
    <row r="350" spans="1:27" ht="14.25" x14ac:dyDescent="0.45">
      <c r="A350" s="12" t="s">
        <v>1361</v>
      </c>
      <c r="B350" s="12" t="s">
        <v>1971</v>
      </c>
      <c r="C350" s="12" t="s">
        <v>1972</v>
      </c>
      <c r="D350" s="12" t="s">
        <v>1993</v>
      </c>
      <c r="E350" s="20">
        <v>33906</v>
      </c>
      <c r="F350" s="20">
        <v>44373</v>
      </c>
      <c r="G350" s="12">
        <v>6.74</v>
      </c>
      <c r="H350" s="12">
        <v>6.2666666666666702</v>
      </c>
      <c r="I350" s="13">
        <v>1.07553191489362</v>
      </c>
      <c r="J350" s="12" t="s">
        <v>1361</v>
      </c>
      <c r="K350" s="14">
        <v>801</v>
      </c>
      <c r="L350" s="14">
        <v>1629</v>
      </c>
      <c r="M350" s="14">
        <v>933</v>
      </c>
      <c r="N350" s="12">
        <v>6.74</v>
      </c>
      <c r="O350" s="12" t="s">
        <v>1361</v>
      </c>
      <c r="P350" s="12">
        <v>1.0842200934617001E-3</v>
      </c>
      <c r="Q350" s="12">
        <v>4.8974638473694501E-3</v>
      </c>
      <c r="R350" s="12">
        <v>9.4758064516129004E-2</v>
      </c>
      <c r="S350" s="14">
        <v>30</v>
      </c>
      <c r="T350" s="12">
        <v>0.34674974396540498</v>
      </c>
      <c r="U350" s="14">
        <v>873</v>
      </c>
      <c r="V350" s="14">
        <v>1</v>
      </c>
      <c r="W350" s="12">
        <v>5.4999999999999997E-3</v>
      </c>
      <c r="X350" s="12">
        <v>0.35224974396540498</v>
      </c>
      <c r="Y350" s="14">
        <v>873</v>
      </c>
      <c r="Z350" s="14">
        <v>29</v>
      </c>
      <c r="AA350" s="12" t="s">
        <v>2367</v>
      </c>
    </row>
    <row r="351" spans="1:27" ht="14.25" x14ac:dyDescent="0.45">
      <c r="A351" s="12" t="s">
        <v>1362</v>
      </c>
      <c r="B351" s="12" t="s">
        <v>1971</v>
      </c>
      <c r="C351" s="12" t="s">
        <v>1972</v>
      </c>
      <c r="D351" s="12" t="s">
        <v>2167</v>
      </c>
      <c r="E351" s="20">
        <v>32212</v>
      </c>
      <c r="F351" s="20">
        <v>44371</v>
      </c>
      <c r="G351" s="12">
        <v>3.85</v>
      </c>
      <c r="H351" s="12">
        <v>6.3333333333333304</v>
      </c>
      <c r="I351" s="13">
        <v>0.60789473684210504</v>
      </c>
      <c r="J351" s="12" t="s">
        <v>1362</v>
      </c>
      <c r="K351" s="14">
        <v>989</v>
      </c>
      <c r="L351" s="14">
        <v>1557</v>
      </c>
      <c r="M351" s="14">
        <v>1128</v>
      </c>
      <c r="N351" s="12">
        <v>3.85</v>
      </c>
      <c r="O351" s="12" t="s">
        <v>1362</v>
      </c>
      <c r="P351" s="12">
        <v>6.1932453409904405E-4</v>
      </c>
      <c r="Q351" s="12">
        <v>2.76806522936593E-3</v>
      </c>
      <c r="R351" s="12">
        <v>9.5766129032257993E-2</v>
      </c>
      <c r="S351" s="14">
        <v>34</v>
      </c>
      <c r="T351" s="12">
        <v>0.19622874686408501</v>
      </c>
      <c r="U351" s="14">
        <v>1058</v>
      </c>
      <c r="V351" s="14">
        <v>2</v>
      </c>
      <c r="W351" s="12">
        <v>5.5999999999999999E-3</v>
      </c>
      <c r="X351" s="12">
        <v>0.201828746864085</v>
      </c>
      <c r="Y351" s="14">
        <v>1059</v>
      </c>
      <c r="Z351" s="14">
        <v>34</v>
      </c>
      <c r="AA351" s="12" t="s">
        <v>2367</v>
      </c>
    </row>
    <row r="352" spans="1:27" ht="14.25" x14ac:dyDescent="0.45">
      <c r="A352" s="12" t="s">
        <v>1374</v>
      </c>
      <c r="B352" s="12" t="s">
        <v>1971</v>
      </c>
      <c r="C352" s="12" t="s">
        <v>1972</v>
      </c>
      <c r="D352" s="12" t="s">
        <v>1993</v>
      </c>
      <c r="E352" s="20">
        <v>35297</v>
      </c>
      <c r="F352" s="20">
        <v>44335</v>
      </c>
      <c r="G352" s="12">
        <v>0.01</v>
      </c>
      <c r="H352" s="12">
        <v>7.5333333333333297</v>
      </c>
      <c r="I352" s="13">
        <v>1.3274336283185799E-3</v>
      </c>
      <c r="J352" s="12" t="s">
        <v>1374</v>
      </c>
      <c r="K352" s="14">
        <v>1821</v>
      </c>
      <c r="L352" s="14">
        <v>1332</v>
      </c>
      <c r="M352" s="14">
        <v>1944</v>
      </c>
      <c r="N352" s="12">
        <v>0.01</v>
      </c>
      <c r="O352" s="12" t="s">
        <v>1374</v>
      </c>
      <c r="P352" s="12">
        <v>1.6086351535040101E-6</v>
      </c>
      <c r="Q352" s="12">
        <v>6.04450515549393E-6</v>
      </c>
      <c r="R352" s="12">
        <v>0.113911290322581</v>
      </c>
      <c r="S352" s="14">
        <v>26</v>
      </c>
      <c r="T352" s="12">
        <v>4.38105390474771E-4</v>
      </c>
      <c r="U352" s="14">
        <v>1938</v>
      </c>
      <c r="V352" s="14">
        <v>1</v>
      </c>
      <c r="W352" s="12">
        <v>5.4999999999999997E-3</v>
      </c>
      <c r="X352" s="12">
        <v>5.9381053904747697E-3</v>
      </c>
      <c r="Y352" s="14">
        <v>1938</v>
      </c>
      <c r="Z352" s="14">
        <v>25</v>
      </c>
      <c r="AA352" s="12" t="s">
        <v>2367</v>
      </c>
    </row>
    <row r="353" spans="1:27" ht="14.25" x14ac:dyDescent="0.45">
      <c r="A353" s="12" t="s">
        <v>1376</v>
      </c>
      <c r="B353" s="12" t="s">
        <v>1971</v>
      </c>
      <c r="C353" s="12" t="s">
        <v>1972</v>
      </c>
      <c r="D353" s="12" t="s">
        <v>1995</v>
      </c>
      <c r="E353" s="20">
        <v>32809</v>
      </c>
      <c r="F353" s="20">
        <v>44370</v>
      </c>
      <c r="G353" s="12">
        <v>3.92</v>
      </c>
      <c r="H353" s="12">
        <v>6.3666666666666698</v>
      </c>
      <c r="I353" s="13">
        <v>0.61570680628272301</v>
      </c>
      <c r="J353" s="12" t="s">
        <v>1376</v>
      </c>
      <c r="K353" s="14">
        <v>985</v>
      </c>
      <c r="L353" s="14">
        <v>1504</v>
      </c>
      <c r="M353" s="14">
        <v>1123</v>
      </c>
      <c r="N353" s="12">
        <v>3.92</v>
      </c>
      <c r="O353" s="12" t="s">
        <v>1376</v>
      </c>
      <c r="P353" s="12">
        <v>6.3058498017357198E-4</v>
      </c>
      <c r="Q353" s="12">
        <v>2.8036377001859599E-3</v>
      </c>
      <c r="R353" s="12">
        <v>9.6270161290322606E-2</v>
      </c>
      <c r="S353" s="14">
        <v>33</v>
      </c>
      <c r="T353" s="12">
        <v>0.198874293018131</v>
      </c>
      <c r="U353" s="14">
        <v>1048</v>
      </c>
      <c r="V353" s="14">
        <v>1</v>
      </c>
      <c r="W353" s="12">
        <v>5.4999999999999997E-3</v>
      </c>
      <c r="X353" s="12">
        <v>0.20437429301813101</v>
      </c>
      <c r="Y353" s="14">
        <v>1049</v>
      </c>
      <c r="Z353" s="14">
        <v>32</v>
      </c>
      <c r="AA353" s="12" t="s">
        <v>2367</v>
      </c>
    </row>
    <row r="354" spans="1:27" ht="14.25" x14ac:dyDescent="0.45">
      <c r="A354" s="12" t="s">
        <v>1379</v>
      </c>
      <c r="B354" s="12" t="s">
        <v>1971</v>
      </c>
      <c r="C354" s="12" t="s">
        <v>1972</v>
      </c>
      <c r="D354" s="12" t="s">
        <v>1997</v>
      </c>
      <c r="E354" s="20">
        <v>34240</v>
      </c>
      <c r="F354" s="20">
        <v>44373</v>
      </c>
      <c r="G354" s="12">
        <v>6.82</v>
      </c>
      <c r="H354" s="12">
        <v>6.2666666666666702</v>
      </c>
      <c r="I354" s="13">
        <v>1.08829787234043</v>
      </c>
      <c r="J354" s="12" t="s">
        <v>1379</v>
      </c>
      <c r="K354" s="14">
        <v>798</v>
      </c>
      <c r="L354" s="14">
        <v>1629</v>
      </c>
      <c r="M354" s="14">
        <v>929</v>
      </c>
      <c r="N354" s="12">
        <v>6.82</v>
      </c>
      <c r="O354" s="12" t="s">
        <v>1379</v>
      </c>
      <c r="P354" s="12">
        <v>1.09708917468973E-3</v>
      </c>
      <c r="Q354" s="12">
        <v>4.9555939820563298E-3</v>
      </c>
      <c r="R354" s="12">
        <v>9.4758064516129004E-2</v>
      </c>
      <c r="S354" s="14">
        <v>29</v>
      </c>
      <c r="T354" s="12">
        <v>0.350865467929386</v>
      </c>
      <c r="U354" s="14">
        <v>871</v>
      </c>
      <c r="V354" s="14">
        <v>2</v>
      </c>
      <c r="W354" s="12">
        <v>5.5999999999999999E-3</v>
      </c>
      <c r="X354" s="12">
        <v>0.35646546792938599</v>
      </c>
      <c r="Y354" s="14">
        <v>871</v>
      </c>
      <c r="Z354" s="14">
        <v>28</v>
      </c>
      <c r="AA354" s="12" t="s">
        <v>2367</v>
      </c>
    </row>
    <row r="355" spans="1:27" ht="14.25" x14ac:dyDescent="0.45">
      <c r="A355" s="12" t="s">
        <v>1382</v>
      </c>
      <c r="B355" s="12" t="s">
        <v>1971</v>
      </c>
      <c r="C355" s="12" t="s">
        <v>1972</v>
      </c>
      <c r="D355" s="12" t="s">
        <v>1982</v>
      </c>
      <c r="E355" s="20">
        <v>35547</v>
      </c>
      <c r="F355" s="20">
        <v>44335</v>
      </c>
      <c r="G355" s="12">
        <v>11.59</v>
      </c>
      <c r="H355" s="12">
        <v>7.5333333333333297</v>
      </c>
      <c r="I355" s="13">
        <v>1.5384955752212399</v>
      </c>
      <c r="J355" s="12" t="s">
        <v>1382</v>
      </c>
      <c r="K355" s="14">
        <v>728</v>
      </c>
      <c r="L355" s="14">
        <v>1332</v>
      </c>
      <c r="M355" s="14">
        <v>817</v>
      </c>
      <c r="N355" s="12">
        <v>11.59</v>
      </c>
      <c r="O355" s="12" t="s">
        <v>1382</v>
      </c>
      <c r="P355" s="12">
        <v>1.8644081429111501E-3</v>
      </c>
      <c r="Q355" s="12">
        <v>7.0055814752174603E-3</v>
      </c>
      <c r="R355" s="12">
        <v>0.113911290322581</v>
      </c>
      <c r="S355" s="14">
        <v>25</v>
      </c>
      <c r="T355" s="12">
        <v>0.507764147560259</v>
      </c>
      <c r="U355" s="14">
        <v>781</v>
      </c>
      <c r="V355" s="14">
        <v>2</v>
      </c>
      <c r="W355" s="12">
        <v>5.5999999999999999E-3</v>
      </c>
      <c r="X355" s="12">
        <v>0.51336414756025905</v>
      </c>
      <c r="Y355" s="14">
        <v>781</v>
      </c>
      <c r="Z355" s="14">
        <v>25</v>
      </c>
      <c r="AA355" s="12" t="s">
        <v>2367</v>
      </c>
    </row>
    <row r="356" spans="1:27" ht="14.25" x14ac:dyDescent="0.45">
      <c r="A356" s="12" t="s">
        <v>1391</v>
      </c>
      <c r="B356" s="12" t="s">
        <v>1971</v>
      </c>
      <c r="C356" s="12" t="s">
        <v>1972</v>
      </c>
      <c r="D356" s="12" t="s">
        <v>2072</v>
      </c>
      <c r="E356" s="20">
        <v>35583</v>
      </c>
      <c r="F356" s="20">
        <v>44370</v>
      </c>
      <c r="G356" s="12">
        <v>0.56999999999999995</v>
      </c>
      <c r="H356" s="12">
        <v>6.3666666666666698</v>
      </c>
      <c r="I356" s="13">
        <v>8.9528795811518305E-2</v>
      </c>
      <c r="J356" s="12" t="s">
        <v>1391</v>
      </c>
      <c r="K356" s="14">
        <v>1525</v>
      </c>
      <c r="L356" s="14">
        <v>1504</v>
      </c>
      <c r="M356" s="14">
        <v>1663</v>
      </c>
      <c r="N356" s="12">
        <v>0.56999999999999995</v>
      </c>
      <c r="O356" s="12" t="s">
        <v>1391</v>
      </c>
      <c r="P356" s="12">
        <v>9.1692203749728504E-5</v>
      </c>
      <c r="Q356" s="12">
        <v>4.0767180844540699E-4</v>
      </c>
      <c r="R356" s="12">
        <v>9.6270161290322606E-2</v>
      </c>
      <c r="S356" s="14">
        <v>25</v>
      </c>
      <c r="T356" s="12">
        <v>2.8917945668452801E-2</v>
      </c>
      <c r="U356" s="14">
        <v>1632</v>
      </c>
      <c r="V356" s="14">
        <v>1</v>
      </c>
      <c r="W356" s="12">
        <v>5.4999999999999997E-3</v>
      </c>
      <c r="X356" s="12">
        <v>3.4417945668452798E-2</v>
      </c>
      <c r="Y356" s="14">
        <v>1632</v>
      </c>
      <c r="Z356" s="14">
        <v>25</v>
      </c>
      <c r="AA356" s="12" t="s">
        <v>2367</v>
      </c>
    </row>
    <row r="357" spans="1:27" ht="14.25" x14ac:dyDescent="0.45">
      <c r="A357" s="12" t="s">
        <v>1402</v>
      </c>
      <c r="B357" s="12" t="s">
        <v>1971</v>
      </c>
      <c r="C357" s="12" t="s">
        <v>1972</v>
      </c>
      <c r="D357" s="12" t="s">
        <v>1990</v>
      </c>
      <c r="E357" s="20">
        <v>33593</v>
      </c>
      <c r="F357" s="20">
        <v>44369</v>
      </c>
      <c r="G357" s="12">
        <v>2.65</v>
      </c>
      <c r="H357" s="12">
        <v>6.4</v>
      </c>
      <c r="I357" s="13">
        <v>0.4140625</v>
      </c>
      <c r="J357" s="12" t="s">
        <v>1402</v>
      </c>
      <c r="K357" s="14">
        <v>1127</v>
      </c>
      <c r="L357" s="14">
        <v>1500</v>
      </c>
      <c r="M357" s="14">
        <v>1263</v>
      </c>
      <c r="N357" s="12">
        <v>2.65</v>
      </c>
      <c r="O357" s="12" t="s">
        <v>1402</v>
      </c>
      <c r="P357" s="12">
        <v>4.2628831567856199E-4</v>
      </c>
      <c r="Q357" s="12">
        <v>1.8854448633465199E-3</v>
      </c>
      <c r="R357" s="12">
        <v>9.6774193548387094E-2</v>
      </c>
      <c r="S357" s="14">
        <v>31</v>
      </c>
      <c r="T357" s="12">
        <v>0.13382611579710299</v>
      </c>
      <c r="U357" s="14">
        <v>1198</v>
      </c>
      <c r="V357" s="14">
        <v>2</v>
      </c>
      <c r="W357" s="12">
        <v>5.5999999999999999E-3</v>
      </c>
      <c r="X357" s="12">
        <v>0.13942611579710301</v>
      </c>
      <c r="Y357" s="14">
        <v>1198</v>
      </c>
      <c r="Z357" s="14">
        <v>30</v>
      </c>
      <c r="AA357" s="12" t="s">
        <v>2367</v>
      </c>
    </row>
    <row r="358" spans="1:27" ht="14.25" x14ac:dyDescent="0.45">
      <c r="A358" s="12" t="s">
        <v>1408</v>
      </c>
      <c r="B358" s="12" t="s">
        <v>1971</v>
      </c>
      <c r="C358" s="12" t="s">
        <v>1972</v>
      </c>
      <c r="D358" s="12" t="s">
        <v>1997</v>
      </c>
      <c r="E358" s="20">
        <v>34207</v>
      </c>
      <c r="F358" s="20">
        <v>44370</v>
      </c>
      <c r="G358" s="12">
        <v>4.3099999999999996</v>
      </c>
      <c r="H358" s="12">
        <v>6.3666666666666698</v>
      </c>
      <c r="I358" s="13">
        <v>0.67696335078533998</v>
      </c>
      <c r="J358" s="12" t="s">
        <v>1408</v>
      </c>
      <c r="K358" s="14">
        <v>944</v>
      </c>
      <c r="L358" s="14">
        <v>1504</v>
      </c>
      <c r="M358" s="14">
        <v>1084</v>
      </c>
      <c r="N358" s="12">
        <v>4.3099999999999996</v>
      </c>
      <c r="O358" s="12" t="s">
        <v>1408</v>
      </c>
      <c r="P358" s="12">
        <v>6.9332175116022798E-4</v>
      </c>
      <c r="Q358" s="12">
        <v>3.0825710428065002E-3</v>
      </c>
      <c r="R358" s="12">
        <v>9.6270161290322606E-2</v>
      </c>
      <c r="S358" s="14">
        <v>29</v>
      </c>
      <c r="T358" s="12">
        <v>0.21866025584391499</v>
      </c>
      <c r="U358" s="14">
        <v>1011</v>
      </c>
      <c r="V358" s="14">
        <v>1</v>
      </c>
      <c r="W358" s="12">
        <v>5.4999999999999997E-3</v>
      </c>
      <c r="X358" s="12">
        <v>0.224160255843915</v>
      </c>
      <c r="Y358" s="14">
        <v>1011</v>
      </c>
      <c r="Z358" s="14">
        <v>28</v>
      </c>
      <c r="AA358" s="12" t="s">
        <v>2367</v>
      </c>
    </row>
    <row r="359" spans="1:27" ht="14.25" x14ac:dyDescent="0.45">
      <c r="A359" s="12" t="s">
        <v>1415</v>
      </c>
      <c r="B359" s="12" t="s">
        <v>1971</v>
      </c>
      <c r="C359" s="12" t="s">
        <v>1972</v>
      </c>
      <c r="D359" s="12" t="s">
        <v>1990</v>
      </c>
      <c r="E359" s="20">
        <v>33614</v>
      </c>
      <c r="F359" s="20">
        <v>44336</v>
      </c>
      <c r="G359" s="12">
        <v>5.45</v>
      </c>
      <c r="H359" s="12">
        <v>7.5</v>
      </c>
      <c r="I359" s="13">
        <v>0.72666666666666702</v>
      </c>
      <c r="J359" s="12" t="s">
        <v>1415</v>
      </c>
      <c r="K359" s="14">
        <v>922</v>
      </c>
      <c r="L359" s="14">
        <v>1377</v>
      </c>
      <c r="M359" s="14">
        <v>1002</v>
      </c>
      <c r="N359" s="12">
        <v>5.45</v>
      </c>
      <c r="O359" s="12" t="s">
        <v>1415</v>
      </c>
      <c r="P359" s="12">
        <v>8.7670615865968499E-4</v>
      </c>
      <c r="Q359" s="12">
        <v>3.3088964444541601E-3</v>
      </c>
      <c r="R359" s="12">
        <v>0.113407258064516</v>
      </c>
      <c r="S359" s="14">
        <v>30</v>
      </c>
      <c r="T359" s="12">
        <v>0.23968250872812299</v>
      </c>
      <c r="U359" s="14">
        <v>983</v>
      </c>
      <c r="V359" s="14">
        <v>1</v>
      </c>
      <c r="W359" s="12">
        <v>5.4999999999999997E-3</v>
      </c>
      <c r="X359" s="12">
        <v>0.245182508728123</v>
      </c>
      <c r="Y359" s="14">
        <v>983</v>
      </c>
      <c r="Z359" s="14">
        <v>30</v>
      </c>
      <c r="AA359" s="12" t="s">
        <v>2367</v>
      </c>
    </row>
    <row r="360" spans="1:27" ht="14.25" x14ac:dyDescent="0.45">
      <c r="A360" s="12" t="s">
        <v>1417</v>
      </c>
      <c r="B360" s="12" t="s">
        <v>1971</v>
      </c>
      <c r="C360" s="12" t="s">
        <v>1972</v>
      </c>
      <c r="D360" s="12" t="s">
        <v>1978</v>
      </c>
      <c r="E360" s="20">
        <v>33950</v>
      </c>
      <c r="F360" s="20">
        <v>44370</v>
      </c>
      <c r="G360" s="12">
        <v>3</v>
      </c>
      <c r="H360" s="12">
        <v>6.3666666666666698</v>
      </c>
      <c r="I360" s="13">
        <v>0.471204188481675</v>
      </c>
      <c r="J360" s="12" t="s">
        <v>1417</v>
      </c>
      <c r="K360" s="14">
        <v>1076</v>
      </c>
      <c r="L360" s="14">
        <v>1504</v>
      </c>
      <c r="M360" s="14">
        <v>1221</v>
      </c>
      <c r="N360" s="12">
        <v>3</v>
      </c>
      <c r="O360" s="12" t="s">
        <v>1417</v>
      </c>
      <c r="P360" s="12">
        <v>4.8259054605120298E-4</v>
      </c>
      <c r="Q360" s="12">
        <v>2.1456410970810899E-3</v>
      </c>
      <c r="R360" s="12">
        <v>9.6270161290322606E-2</v>
      </c>
      <c r="S360" s="14">
        <v>30</v>
      </c>
      <c r="T360" s="12">
        <v>0.15219971404448801</v>
      </c>
      <c r="U360" s="14">
        <v>1150</v>
      </c>
      <c r="V360" s="14">
        <v>1</v>
      </c>
      <c r="W360" s="12">
        <v>5.4999999999999997E-3</v>
      </c>
      <c r="X360" s="12">
        <v>0.15769971404448799</v>
      </c>
      <c r="Y360" s="14">
        <v>1150</v>
      </c>
      <c r="Z360" s="14">
        <v>29</v>
      </c>
      <c r="AA360" s="12" t="s">
        <v>2367</v>
      </c>
    </row>
    <row r="361" spans="1:27" ht="14.25" x14ac:dyDescent="0.45">
      <c r="A361" s="12" t="s">
        <v>1418</v>
      </c>
      <c r="B361" s="12" t="s">
        <v>1971</v>
      </c>
      <c r="C361" s="12" t="s">
        <v>1972</v>
      </c>
      <c r="D361" s="12" t="s">
        <v>2088</v>
      </c>
      <c r="E361" s="20">
        <v>34992</v>
      </c>
      <c r="F361" s="20">
        <v>44336</v>
      </c>
      <c r="G361" s="12">
        <v>14.26</v>
      </c>
      <c r="H361" s="12">
        <v>7.5</v>
      </c>
      <c r="I361" s="13">
        <v>1.90133333333333</v>
      </c>
      <c r="J361" s="12" t="s">
        <v>1418</v>
      </c>
      <c r="K361" s="14">
        <v>672</v>
      </c>
      <c r="L361" s="14">
        <v>1377</v>
      </c>
      <c r="M361" s="14">
        <v>778</v>
      </c>
      <c r="N361" s="12">
        <v>14.26</v>
      </c>
      <c r="O361" s="12" t="s">
        <v>1418</v>
      </c>
      <c r="P361" s="12">
        <v>2.2939137288967202E-3</v>
      </c>
      <c r="Q361" s="12">
        <v>8.6577730821864908E-3</v>
      </c>
      <c r="R361" s="12">
        <v>0.113407258064516</v>
      </c>
      <c r="S361" s="14">
        <v>27</v>
      </c>
      <c r="T361" s="12">
        <v>0.62713258247028303</v>
      </c>
      <c r="U361" s="14">
        <v>741</v>
      </c>
      <c r="V361" s="14">
        <v>1</v>
      </c>
      <c r="W361" s="12">
        <v>5.4999999999999997E-3</v>
      </c>
      <c r="X361" s="12">
        <v>0.63263258247028298</v>
      </c>
      <c r="Y361" s="14">
        <v>741</v>
      </c>
      <c r="Z361" s="14">
        <v>26</v>
      </c>
      <c r="AA361" s="12" t="s">
        <v>2367</v>
      </c>
    </row>
    <row r="362" spans="1:27" ht="14.25" x14ac:dyDescent="0.45">
      <c r="A362" s="12" t="s">
        <v>1420</v>
      </c>
      <c r="B362" s="12" t="s">
        <v>1971</v>
      </c>
      <c r="C362" s="12" t="s">
        <v>1972</v>
      </c>
      <c r="D362" s="12" t="s">
        <v>1993</v>
      </c>
      <c r="E362" s="20">
        <v>35550</v>
      </c>
      <c r="F362" s="20">
        <v>44335</v>
      </c>
      <c r="G362" s="12">
        <v>7.11</v>
      </c>
      <c r="H362" s="12">
        <v>7.5333333333333297</v>
      </c>
      <c r="I362" s="13">
        <v>0.94380530973451304</v>
      </c>
      <c r="J362" s="12" t="s">
        <v>1420</v>
      </c>
      <c r="K362" s="14">
        <v>842</v>
      </c>
      <c r="L362" s="14">
        <v>1332</v>
      </c>
      <c r="M362" s="14">
        <v>918</v>
      </c>
      <c r="N362" s="12">
        <v>7.11</v>
      </c>
      <c r="O362" s="12" t="s">
        <v>1420</v>
      </c>
      <c r="P362" s="12">
        <v>1.14373959414135E-3</v>
      </c>
      <c r="Q362" s="12">
        <v>4.2976431655561802E-3</v>
      </c>
      <c r="R362" s="12">
        <v>0.113911290322581</v>
      </c>
      <c r="S362" s="14">
        <v>25</v>
      </c>
      <c r="T362" s="12">
        <v>0.311492932627562</v>
      </c>
      <c r="U362" s="14">
        <v>905</v>
      </c>
      <c r="V362" s="14">
        <v>3</v>
      </c>
      <c r="W362" s="12">
        <v>5.7000000000000002E-3</v>
      </c>
      <c r="X362" s="12">
        <v>0.31719293262756199</v>
      </c>
      <c r="Y362" s="14">
        <v>905</v>
      </c>
      <c r="Z362" s="14">
        <v>25</v>
      </c>
      <c r="AA362" s="12" t="s">
        <v>2367</v>
      </c>
    </row>
    <row r="363" spans="1:27" ht="14.25" x14ac:dyDescent="0.45">
      <c r="A363" s="12" t="s">
        <v>1422</v>
      </c>
      <c r="B363" s="12" t="s">
        <v>1971</v>
      </c>
      <c r="C363" s="12" t="s">
        <v>1972</v>
      </c>
      <c r="D363" s="12" t="s">
        <v>2012</v>
      </c>
      <c r="E363" s="20">
        <v>34920</v>
      </c>
      <c r="F363" s="20">
        <v>44334</v>
      </c>
      <c r="G363" s="12">
        <v>3.35</v>
      </c>
      <c r="H363" s="12">
        <v>7.56666666666667</v>
      </c>
      <c r="I363" s="13">
        <v>0.44273127753303998</v>
      </c>
      <c r="J363" s="12" t="s">
        <v>1422</v>
      </c>
      <c r="K363" s="14">
        <v>1106</v>
      </c>
      <c r="L363" s="14">
        <v>1269</v>
      </c>
      <c r="M363" s="14">
        <v>1188</v>
      </c>
      <c r="N363" s="12">
        <v>3.35</v>
      </c>
      <c r="O363" s="12" t="s">
        <v>1422</v>
      </c>
      <c r="P363" s="12">
        <v>5.3889277642384299E-4</v>
      </c>
      <c r="Q363" s="12">
        <v>2.0159889221253099E-3</v>
      </c>
      <c r="R363" s="12">
        <v>0.114415322580645</v>
      </c>
      <c r="S363" s="14">
        <v>27</v>
      </c>
      <c r="T363" s="12">
        <v>0.146207786748726</v>
      </c>
      <c r="U363" s="14">
        <v>1168</v>
      </c>
      <c r="V363" s="14">
        <v>1</v>
      </c>
      <c r="W363" s="12">
        <v>5.4999999999999997E-3</v>
      </c>
      <c r="X363" s="12">
        <v>0.15170778674872601</v>
      </c>
      <c r="Y363" s="14">
        <v>1168</v>
      </c>
      <c r="Z363" s="14">
        <v>26</v>
      </c>
      <c r="AA363" s="12" t="s">
        <v>2367</v>
      </c>
    </row>
    <row r="364" spans="1:27" ht="14.25" x14ac:dyDescent="0.45">
      <c r="A364" s="12" t="s">
        <v>1426</v>
      </c>
      <c r="B364" s="12" t="s">
        <v>1971</v>
      </c>
      <c r="C364" s="12" t="s">
        <v>1972</v>
      </c>
      <c r="D364" s="12" t="s">
        <v>1975</v>
      </c>
      <c r="E364" s="20">
        <v>33570</v>
      </c>
      <c r="F364" s="20">
        <v>44370</v>
      </c>
      <c r="G364" s="12">
        <v>8.25</v>
      </c>
      <c r="H364" s="12">
        <v>6.3666666666666698</v>
      </c>
      <c r="I364" s="13">
        <v>1.2958115183246099</v>
      </c>
      <c r="J364" s="12" t="s">
        <v>1426</v>
      </c>
      <c r="K364" s="14">
        <v>753</v>
      </c>
      <c r="L364" s="14">
        <v>1504</v>
      </c>
      <c r="M364" s="14">
        <v>885</v>
      </c>
      <c r="N364" s="12">
        <v>8.25</v>
      </c>
      <c r="O364" s="12" t="s">
        <v>1426</v>
      </c>
      <c r="P364" s="12">
        <v>1.3271240016408099E-3</v>
      </c>
      <c r="Q364" s="12">
        <v>5.9005130169729999E-3</v>
      </c>
      <c r="R364" s="12">
        <v>9.6270161290322606E-2</v>
      </c>
      <c r="S364" s="14">
        <v>31</v>
      </c>
      <c r="T364" s="12">
        <v>0.41854921362234299</v>
      </c>
      <c r="U364" s="14">
        <v>814</v>
      </c>
      <c r="V364" s="14">
        <v>1</v>
      </c>
      <c r="W364" s="12">
        <v>5.4999999999999997E-3</v>
      </c>
      <c r="X364" s="12">
        <v>0.42404921362234299</v>
      </c>
      <c r="Y364" s="14">
        <v>814</v>
      </c>
      <c r="Z364" s="14">
        <v>30</v>
      </c>
      <c r="AA364" s="12" t="s">
        <v>2367</v>
      </c>
    </row>
    <row r="365" spans="1:27" ht="14.25" x14ac:dyDescent="0.45">
      <c r="A365" s="12" t="s">
        <v>1430</v>
      </c>
      <c r="B365" s="12" t="s">
        <v>1971</v>
      </c>
      <c r="C365" s="12" t="s">
        <v>1972</v>
      </c>
      <c r="D365" s="12" t="s">
        <v>1997</v>
      </c>
      <c r="E365" s="20">
        <v>33174</v>
      </c>
      <c r="F365" s="20">
        <v>44368</v>
      </c>
      <c r="G365" s="12">
        <v>3</v>
      </c>
      <c r="H365" s="12">
        <v>6.43333333333333</v>
      </c>
      <c r="I365" s="13">
        <v>0.466321243523316</v>
      </c>
      <c r="J365" s="12" t="s">
        <v>1430</v>
      </c>
      <c r="K365" s="14">
        <v>1085</v>
      </c>
      <c r="L365" s="14">
        <v>1497</v>
      </c>
      <c r="M365" s="14">
        <v>1221</v>
      </c>
      <c r="N365" s="12">
        <v>3</v>
      </c>
      <c r="O365" s="12" t="s">
        <v>1430</v>
      </c>
      <c r="P365" s="12">
        <v>4.8259054605120298E-4</v>
      </c>
      <c r="Q365" s="12">
        <v>2.1234064743134102E-3</v>
      </c>
      <c r="R365" s="12">
        <v>9.7278225806451596E-2</v>
      </c>
      <c r="S365" s="14">
        <v>32</v>
      </c>
      <c r="T365" s="12">
        <v>0.150810050121508</v>
      </c>
      <c r="U365" s="14">
        <v>1157</v>
      </c>
      <c r="V365" s="14">
        <v>1</v>
      </c>
      <c r="W365" s="12">
        <v>5.4999999999999997E-3</v>
      </c>
      <c r="X365" s="12">
        <v>0.156310050121508</v>
      </c>
      <c r="Y365" s="14">
        <v>1157</v>
      </c>
      <c r="Z365" s="14">
        <v>31</v>
      </c>
      <c r="AA365" s="12" t="s">
        <v>2367</v>
      </c>
    </row>
    <row r="366" spans="1:27" ht="14.25" x14ac:dyDescent="0.45">
      <c r="A366" s="12" t="s">
        <v>1439</v>
      </c>
      <c r="B366" s="12" t="s">
        <v>1971</v>
      </c>
      <c r="C366" s="12" t="s">
        <v>1972</v>
      </c>
      <c r="D366" s="12" t="s">
        <v>2007</v>
      </c>
      <c r="E366" s="20">
        <v>34025</v>
      </c>
      <c r="F366" s="20">
        <v>44307</v>
      </c>
      <c r="G366" s="12">
        <v>0.12</v>
      </c>
      <c r="H366" s="12">
        <v>8.4666666666666703</v>
      </c>
      <c r="I366" s="13">
        <v>1.41732283464567E-2</v>
      </c>
      <c r="J366" s="12" t="s">
        <v>1439</v>
      </c>
      <c r="K366" s="14">
        <v>1715</v>
      </c>
      <c r="L366" s="14">
        <v>1215</v>
      </c>
      <c r="M366" s="14">
        <v>1818</v>
      </c>
      <c r="N366" s="12">
        <v>0.12</v>
      </c>
      <c r="O366" s="12" t="s">
        <v>1439</v>
      </c>
      <c r="P366" s="12">
        <v>1.9303621842048101E-5</v>
      </c>
      <c r="Q366" s="12">
        <v>6.4538181030313106E-5</v>
      </c>
      <c r="R366" s="12">
        <v>0.12802419354838701</v>
      </c>
      <c r="S366" s="14">
        <v>29</v>
      </c>
      <c r="T366" s="12">
        <v>4.7575221334713704E-3</v>
      </c>
      <c r="U366" s="14">
        <v>1822</v>
      </c>
      <c r="V366" s="14">
        <v>1</v>
      </c>
      <c r="W366" s="12">
        <v>5.4999999999999997E-3</v>
      </c>
      <c r="X366" s="12">
        <v>1.02575221334714E-2</v>
      </c>
      <c r="Y366" s="14">
        <v>1822</v>
      </c>
      <c r="Z366" s="14">
        <v>29</v>
      </c>
      <c r="AA366" s="12" t="s">
        <v>2367</v>
      </c>
    </row>
    <row r="367" spans="1:27" ht="14.25" x14ac:dyDescent="0.45">
      <c r="A367" s="12" t="s">
        <v>1441</v>
      </c>
      <c r="B367" s="12" t="s">
        <v>1971</v>
      </c>
      <c r="C367" s="12" t="s">
        <v>1972</v>
      </c>
      <c r="D367" s="12" t="s">
        <v>1973</v>
      </c>
      <c r="E367" s="20">
        <v>34359</v>
      </c>
      <c r="F367" s="20">
        <v>44370</v>
      </c>
      <c r="G367" s="12">
        <v>4.71</v>
      </c>
      <c r="H367" s="12">
        <v>6.3666666666666698</v>
      </c>
      <c r="I367" s="13">
        <v>0.73979057591622999</v>
      </c>
      <c r="J367" s="12" t="s">
        <v>1441</v>
      </c>
      <c r="K367" s="14">
        <v>917</v>
      </c>
      <c r="L367" s="14">
        <v>1504</v>
      </c>
      <c r="M367" s="14">
        <v>1054</v>
      </c>
      <c r="N367" s="12">
        <v>4.71</v>
      </c>
      <c r="O367" s="12" t="s">
        <v>1441</v>
      </c>
      <c r="P367" s="12">
        <v>7.5766715730038795E-4</v>
      </c>
      <c r="Q367" s="12">
        <v>3.3686565224173102E-3</v>
      </c>
      <c r="R367" s="12">
        <v>9.6270161290322606E-2</v>
      </c>
      <c r="S367" s="14">
        <v>28</v>
      </c>
      <c r="T367" s="12">
        <v>0.238953551049847</v>
      </c>
      <c r="U367" s="14">
        <v>984</v>
      </c>
      <c r="V367" s="14">
        <v>1</v>
      </c>
      <c r="W367" s="12">
        <v>5.4999999999999997E-3</v>
      </c>
      <c r="X367" s="12">
        <v>0.24445355104984701</v>
      </c>
      <c r="Y367" s="14">
        <v>984</v>
      </c>
      <c r="Z367" s="14">
        <v>28</v>
      </c>
      <c r="AA367" s="12" t="s">
        <v>2367</v>
      </c>
    </row>
    <row r="368" spans="1:27" ht="14.25" x14ac:dyDescent="0.45">
      <c r="A368" s="12" t="s">
        <v>1444</v>
      </c>
      <c r="B368" s="12" t="s">
        <v>1971</v>
      </c>
      <c r="C368" s="12" t="s">
        <v>1972</v>
      </c>
      <c r="D368" s="12" t="s">
        <v>1990</v>
      </c>
      <c r="E368" s="20">
        <v>34546</v>
      </c>
      <c r="F368" s="20">
        <v>44371</v>
      </c>
      <c r="G368" s="12">
        <v>0.99</v>
      </c>
      <c r="H368" s="12">
        <v>6.3333333333333304</v>
      </c>
      <c r="I368" s="13">
        <v>0.15631578947368399</v>
      </c>
      <c r="J368" s="12" t="s">
        <v>1444</v>
      </c>
      <c r="K368" s="14">
        <v>1402</v>
      </c>
      <c r="L368" s="14">
        <v>1557</v>
      </c>
      <c r="M368" s="14">
        <v>1562</v>
      </c>
      <c r="N368" s="12">
        <v>0.99</v>
      </c>
      <c r="O368" s="12" t="s">
        <v>1444</v>
      </c>
      <c r="P368" s="12">
        <v>1.5925488019689701E-4</v>
      </c>
      <c r="Q368" s="12">
        <v>7.1178820183695295E-4</v>
      </c>
      <c r="R368" s="12">
        <v>9.5766129032257993E-2</v>
      </c>
      <c r="S368" s="14">
        <v>28</v>
      </c>
      <c r="T368" s="12">
        <v>5.0458820622193201E-2</v>
      </c>
      <c r="U368" s="14">
        <v>1516</v>
      </c>
      <c r="V368" s="14">
        <v>1</v>
      </c>
      <c r="W368" s="12">
        <v>5.4999999999999997E-3</v>
      </c>
      <c r="X368" s="12">
        <v>5.5958820622193199E-2</v>
      </c>
      <c r="Y368" s="14">
        <v>1518</v>
      </c>
      <c r="Z368" s="14">
        <v>27</v>
      </c>
      <c r="AA368" s="12" t="s">
        <v>2367</v>
      </c>
    </row>
    <row r="369" spans="1:27" ht="14.25" x14ac:dyDescent="0.45">
      <c r="A369" s="12" t="s">
        <v>1445</v>
      </c>
      <c r="B369" s="12" t="s">
        <v>1971</v>
      </c>
      <c r="C369" s="12" t="s">
        <v>1972</v>
      </c>
      <c r="D369" s="12" t="s">
        <v>1995</v>
      </c>
      <c r="E369" s="20">
        <v>32110</v>
      </c>
      <c r="F369" s="20">
        <v>44109</v>
      </c>
      <c r="G369" s="12">
        <v>4.0199999999999996</v>
      </c>
      <c r="H369" s="12">
        <v>15.0666666666667</v>
      </c>
      <c r="I369" s="13">
        <v>0.266814159292035</v>
      </c>
      <c r="J369" s="12" t="s">
        <v>1445</v>
      </c>
      <c r="K369" s="14">
        <v>1258</v>
      </c>
      <c r="L369" s="14">
        <v>501</v>
      </c>
      <c r="M369" s="14">
        <v>1118</v>
      </c>
      <c r="N369" s="12">
        <v>4.0199999999999996</v>
      </c>
      <c r="O369" s="12" t="s">
        <v>1445</v>
      </c>
      <c r="P369" s="12">
        <v>6.46671331708612E-4</v>
      </c>
      <c r="Q369" s="12">
        <v>1.21494553625428E-3</v>
      </c>
      <c r="R369" s="12">
        <v>0.227822580645161</v>
      </c>
      <c r="S369" s="14">
        <v>35</v>
      </c>
      <c r="T369" s="12">
        <v>0.100184270954965</v>
      </c>
      <c r="U369" s="14">
        <v>1291</v>
      </c>
      <c r="V369" s="14">
        <v>2</v>
      </c>
      <c r="W369" s="12">
        <v>5.5999999999999999E-3</v>
      </c>
      <c r="X369" s="12">
        <v>0.105784270954965</v>
      </c>
      <c r="Y369" s="14">
        <v>1291</v>
      </c>
      <c r="Z369" s="14">
        <v>34</v>
      </c>
      <c r="AA369" s="12" t="s">
        <v>2367</v>
      </c>
    </row>
    <row r="370" spans="1:27" ht="14.25" x14ac:dyDescent="0.45">
      <c r="A370" s="12" t="s">
        <v>1451</v>
      </c>
      <c r="B370" s="12" t="s">
        <v>1971</v>
      </c>
      <c r="C370" s="12" t="s">
        <v>1972</v>
      </c>
      <c r="D370" s="12" t="s">
        <v>1990</v>
      </c>
      <c r="E370" s="20">
        <v>33658</v>
      </c>
      <c r="F370" s="20">
        <v>44267</v>
      </c>
      <c r="G370" s="12">
        <v>1.77</v>
      </c>
      <c r="H370" s="12">
        <v>9.8000000000000007</v>
      </c>
      <c r="I370" s="13">
        <v>0.18061224489795899</v>
      </c>
      <c r="J370" s="12" t="s">
        <v>1451</v>
      </c>
      <c r="K370" s="14">
        <v>1369</v>
      </c>
      <c r="L370" s="14">
        <v>989</v>
      </c>
      <c r="M370" s="14">
        <v>1444</v>
      </c>
      <c r="N370" s="12">
        <v>1.77</v>
      </c>
      <c r="O370" s="12" t="s">
        <v>1451</v>
      </c>
      <c r="P370" s="12">
        <v>2.8472842217021002E-4</v>
      </c>
      <c r="Q370" s="12">
        <v>8.22422772891388E-4</v>
      </c>
      <c r="R370" s="12">
        <v>0.148185483870968</v>
      </c>
      <c r="S370" s="14">
        <v>30</v>
      </c>
      <c r="T370" s="12">
        <v>6.20787391370946E-2</v>
      </c>
      <c r="U370" s="14">
        <v>1473</v>
      </c>
      <c r="V370" s="14">
        <v>1</v>
      </c>
      <c r="W370" s="12">
        <v>5.4999999999999997E-3</v>
      </c>
      <c r="X370" s="12">
        <v>6.7578739137094598E-2</v>
      </c>
      <c r="Y370" s="14">
        <v>1473</v>
      </c>
      <c r="Z370" s="14">
        <v>30</v>
      </c>
      <c r="AA370" s="12" t="s">
        <v>2367</v>
      </c>
    </row>
    <row r="371" spans="1:27" ht="14.25" x14ac:dyDescent="0.45">
      <c r="A371" s="12" t="s">
        <v>1460</v>
      </c>
      <c r="B371" s="12" t="s">
        <v>1971</v>
      </c>
      <c r="C371" s="12" t="s">
        <v>1972</v>
      </c>
      <c r="D371" s="12" t="s">
        <v>1997</v>
      </c>
      <c r="E371" s="20">
        <v>34798</v>
      </c>
      <c r="F371" s="20">
        <v>44337</v>
      </c>
      <c r="G371" s="12">
        <v>2.57</v>
      </c>
      <c r="H371" s="12">
        <v>7.4666666666666703</v>
      </c>
      <c r="I371" s="13">
        <v>0.34419642857142901</v>
      </c>
      <c r="J371" s="12" t="s">
        <v>1460</v>
      </c>
      <c r="K371" s="14">
        <v>1193</v>
      </c>
      <c r="L371" s="14">
        <v>1428</v>
      </c>
      <c r="M371" s="14">
        <v>1267</v>
      </c>
      <c r="N371" s="12">
        <v>2.57</v>
      </c>
      <c r="O371" s="12" t="s">
        <v>1460</v>
      </c>
      <c r="P371" s="12">
        <v>4.1341923445053E-4</v>
      </c>
      <c r="Q371" s="12">
        <v>1.5673078055419599E-3</v>
      </c>
      <c r="R371" s="12">
        <v>0.112903225806452</v>
      </c>
      <c r="S371" s="14">
        <v>27</v>
      </c>
      <c r="T371" s="12">
        <v>0.11345995913826699</v>
      </c>
      <c r="U371" s="14">
        <v>1250</v>
      </c>
      <c r="V371" s="14">
        <v>4</v>
      </c>
      <c r="W371" s="12">
        <v>5.7999999999999996E-3</v>
      </c>
      <c r="X371" s="12">
        <v>0.11925995913826699</v>
      </c>
      <c r="Y371" s="14">
        <v>1249</v>
      </c>
      <c r="Z371" s="14">
        <v>27</v>
      </c>
      <c r="AA371" s="12" t="s">
        <v>2367</v>
      </c>
    </row>
    <row r="372" spans="1:27" ht="14.25" x14ac:dyDescent="0.45">
      <c r="A372" s="12" t="s">
        <v>1462</v>
      </c>
      <c r="B372" s="12" t="s">
        <v>1971</v>
      </c>
      <c r="C372" s="12" t="s">
        <v>1972</v>
      </c>
      <c r="D372" s="12" t="s">
        <v>2026</v>
      </c>
      <c r="E372" s="20">
        <v>34399</v>
      </c>
      <c r="F372" s="20">
        <v>44335</v>
      </c>
      <c r="G372" s="12">
        <v>4.9800000000000004</v>
      </c>
      <c r="H372" s="12">
        <v>7.5333333333333297</v>
      </c>
      <c r="I372" s="13">
        <v>0.66106194690265496</v>
      </c>
      <c r="J372" s="12" t="s">
        <v>1462</v>
      </c>
      <c r="K372" s="14">
        <v>956</v>
      </c>
      <c r="L372" s="14">
        <v>1332</v>
      </c>
      <c r="M372" s="14">
        <v>1037</v>
      </c>
      <c r="N372" s="12">
        <v>4.9800000000000004</v>
      </c>
      <c r="O372" s="12" t="s">
        <v>1462</v>
      </c>
      <c r="P372" s="12">
        <v>8.0110030644499699E-4</v>
      </c>
      <c r="Q372" s="12">
        <v>3.0101635674359799E-3</v>
      </c>
      <c r="R372" s="12">
        <v>0.113911290322581</v>
      </c>
      <c r="S372" s="14">
        <v>28</v>
      </c>
      <c r="T372" s="12">
        <v>0.218176484456436</v>
      </c>
      <c r="U372" s="14">
        <v>1013</v>
      </c>
      <c r="V372" s="14">
        <v>2</v>
      </c>
      <c r="W372" s="12">
        <v>5.5999999999999999E-3</v>
      </c>
      <c r="X372" s="12">
        <v>0.223776484456436</v>
      </c>
      <c r="Y372" s="14">
        <v>1012</v>
      </c>
      <c r="Z372" s="14">
        <v>28</v>
      </c>
      <c r="AA372" s="12" t="s">
        <v>2367</v>
      </c>
    </row>
    <row r="373" spans="1:27" ht="14.25" x14ac:dyDescent="0.45">
      <c r="A373" s="12" t="s">
        <v>1464</v>
      </c>
      <c r="B373" s="12" t="s">
        <v>1971</v>
      </c>
      <c r="C373" s="12" t="s">
        <v>1972</v>
      </c>
      <c r="D373" s="12" t="s">
        <v>2072</v>
      </c>
      <c r="E373" s="20">
        <v>34563</v>
      </c>
      <c r="F373" s="20">
        <v>44373</v>
      </c>
      <c r="G373" s="12">
        <v>3.49</v>
      </c>
      <c r="H373" s="12">
        <v>6.2666666666666702</v>
      </c>
      <c r="I373" s="13">
        <v>0.55691489361702096</v>
      </c>
      <c r="J373" s="12" t="s">
        <v>1464</v>
      </c>
      <c r="K373" s="14">
        <v>1019</v>
      </c>
      <c r="L373" s="14">
        <v>1629</v>
      </c>
      <c r="M373" s="14">
        <v>1177</v>
      </c>
      <c r="N373" s="12">
        <v>3.49</v>
      </c>
      <c r="O373" s="12" t="s">
        <v>1464</v>
      </c>
      <c r="P373" s="12">
        <v>5.6141366857289895E-4</v>
      </c>
      <c r="Q373" s="12">
        <v>2.5359271257150398E-3</v>
      </c>
      <c r="R373" s="12">
        <v>9.4758064516129004E-2</v>
      </c>
      <c r="S373" s="14">
        <v>28</v>
      </c>
      <c r="T373" s="12">
        <v>0.17954845792867399</v>
      </c>
      <c r="U373" s="14">
        <v>1087</v>
      </c>
      <c r="V373" s="14">
        <v>2</v>
      </c>
      <c r="W373" s="12">
        <v>5.5999999999999999E-3</v>
      </c>
      <c r="X373" s="12">
        <v>0.18514845792867399</v>
      </c>
      <c r="Y373" s="14">
        <v>1087</v>
      </c>
      <c r="Z373" s="14">
        <v>27</v>
      </c>
      <c r="AA373" s="12" t="s">
        <v>2367</v>
      </c>
    </row>
    <row r="374" spans="1:27" ht="14.25" x14ac:dyDescent="0.45">
      <c r="A374" s="12" t="s">
        <v>1474</v>
      </c>
      <c r="B374" s="12" t="s">
        <v>1971</v>
      </c>
      <c r="C374" s="12" t="s">
        <v>1972</v>
      </c>
      <c r="D374" s="12" t="s">
        <v>1995</v>
      </c>
      <c r="E374" s="20">
        <v>33417</v>
      </c>
      <c r="F374" s="20">
        <v>44334</v>
      </c>
      <c r="G374" s="12">
        <v>0.27</v>
      </c>
      <c r="H374" s="12">
        <v>7.56666666666667</v>
      </c>
      <c r="I374" s="13">
        <v>3.5682819383259901E-2</v>
      </c>
      <c r="J374" s="12" t="s">
        <v>1474</v>
      </c>
      <c r="K374" s="14">
        <v>1641</v>
      </c>
      <c r="L374" s="14">
        <v>1269</v>
      </c>
      <c r="M374" s="14">
        <v>1747</v>
      </c>
      <c r="N374" s="12">
        <v>0.27</v>
      </c>
      <c r="O374" s="12" t="s">
        <v>1474</v>
      </c>
      <c r="P374" s="12">
        <v>4.3433149144608199E-5</v>
      </c>
      <c r="Q374" s="12">
        <v>1.6248268924592E-4</v>
      </c>
      <c r="R374" s="12">
        <v>0.114415322580645</v>
      </c>
      <c r="S374" s="14">
        <v>31</v>
      </c>
      <c r="T374" s="12">
        <v>1.1783911170792799E-2</v>
      </c>
      <c r="U374" s="14">
        <v>1745</v>
      </c>
      <c r="V374" s="14">
        <v>1</v>
      </c>
      <c r="W374" s="12">
        <v>5.4999999999999997E-3</v>
      </c>
      <c r="X374" s="12">
        <v>1.7283911170792799E-2</v>
      </c>
      <c r="Y374" s="14">
        <v>1745</v>
      </c>
      <c r="Z374" s="14">
        <v>31</v>
      </c>
      <c r="AA374" s="12" t="s">
        <v>2367</v>
      </c>
    </row>
    <row r="375" spans="1:27" ht="14.25" x14ac:dyDescent="0.45">
      <c r="A375" s="12" t="s">
        <v>1475</v>
      </c>
      <c r="B375" s="12" t="s">
        <v>1971</v>
      </c>
      <c r="C375" s="12" t="s">
        <v>1972</v>
      </c>
      <c r="D375" s="12" t="s">
        <v>1997</v>
      </c>
      <c r="E375" s="20">
        <v>32705</v>
      </c>
      <c r="F375" s="20">
        <v>44391</v>
      </c>
      <c r="G375" s="12">
        <v>42.17</v>
      </c>
      <c r="H375" s="12">
        <v>5.6666666666666696</v>
      </c>
      <c r="I375" s="13">
        <v>7.44176470588235</v>
      </c>
      <c r="J375" s="12" t="s">
        <v>1475</v>
      </c>
      <c r="K375" s="14">
        <v>367</v>
      </c>
      <c r="L375" s="14">
        <v>1669</v>
      </c>
      <c r="M375" s="14">
        <v>506</v>
      </c>
      <c r="N375" s="12">
        <v>42.17</v>
      </c>
      <c r="O375" s="12" t="s">
        <v>1475</v>
      </c>
      <c r="P375" s="12">
        <v>6.7836144423264102E-3</v>
      </c>
      <c r="Q375" s="12">
        <v>3.38862781317779E-2</v>
      </c>
      <c r="R375" s="12">
        <v>8.5685483870967694E-2</v>
      </c>
      <c r="S375" s="14">
        <v>33</v>
      </c>
      <c r="T375" s="12">
        <v>2.3722779248233601</v>
      </c>
      <c r="U375" s="14">
        <v>411</v>
      </c>
      <c r="V375" s="14">
        <v>5</v>
      </c>
      <c r="W375" s="12">
        <v>5.8999999999999999E-3</v>
      </c>
      <c r="X375" s="12">
        <v>2.3781779248233601</v>
      </c>
      <c r="Y375" s="14">
        <v>411</v>
      </c>
      <c r="Z375" s="14">
        <v>32</v>
      </c>
      <c r="AA375" s="12" t="s">
        <v>2367</v>
      </c>
    </row>
    <row r="376" spans="1:27" ht="14.25" x14ac:dyDescent="0.45">
      <c r="A376" s="12" t="s">
        <v>1476</v>
      </c>
      <c r="B376" s="12" t="s">
        <v>1971</v>
      </c>
      <c r="C376" s="12" t="s">
        <v>1972</v>
      </c>
      <c r="D376" s="12" t="s">
        <v>2070</v>
      </c>
      <c r="E376" s="20">
        <v>32749</v>
      </c>
      <c r="F376" s="20">
        <v>44382</v>
      </c>
      <c r="G376" s="12">
        <v>25.67</v>
      </c>
      <c r="H376" s="12">
        <v>5.9666666666666703</v>
      </c>
      <c r="I376" s="13">
        <v>4.3022346368715096</v>
      </c>
      <c r="J376" s="12" t="s">
        <v>1476</v>
      </c>
      <c r="K376" s="14">
        <v>481</v>
      </c>
      <c r="L376" s="14">
        <v>1646</v>
      </c>
      <c r="M376" s="14">
        <v>679</v>
      </c>
      <c r="N376" s="12">
        <v>25.67</v>
      </c>
      <c r="O376" s="12" t="s">
        <v>1476</v>
      </c>
      <c r="P376" s="12">
        <v>4.1293664390447899E-3</v>
      </c>
      <c r="Q376" s="12">
        <v>1.9590342513511501E-2</v>
      </c>
      <c r="R376" s="12">
        <v>9.0221774193548404E-2</v>
      </c>
      <c r="S376" s="14">
        <v>33</v>
      </c>
      <c r="T376" s="12">
        <v>1.37924764855865</v>
      </c>
      <c r="U376" s="14">
        <v>512</v>
      </c>
      <c r="V376" s="14">
        <v>4</v>
      </c>
      <c r="W376" s="12">
        <v>5.7999999999999996E-3</v>
      </c>
      <c r="X376" s="12">
        <v>1.38504764855865</v>
      </c>
      <c r="Y376" s="14">
        <v>512</v>
      </c>
      <c r="Z376" s="14">
        <v>32</v>
      </c>
      <c r="AA376" s="12" t="s">
        <v>2367</v>
      </c>
    </row>
    <row r="377" spans="1:27" ht="14.25" x14ac:dyDescent="0.45">
      <c r="A377" s="12" t="s">
        <v>1477</v>
      </c>
      <c r="B377" s="12" t="s">
        <v>1971</v>
      </c>
      <c r="C377" s="12" t="s">
        <v>1972</v>
      </c>
      <c r="D377" s="12" t="s">
        <v>2007</v>
      </c>
      <c r="E377" s="20">
        <v>35604</v>
      </c>
      <c r="F377" s="20">
        <v>44337</v>
      </c>
      <c r="G377" s="12">
        <v>0.08</v>
      </c>
      <c r="H377" s="12">
        <v>7.4666666666666703</v>
      </c>
      <c r="I377" s="13">
        <v>1.0714285714285701E-2</v>
      </c>
      <c r="J377" s="12" t="s">
        <v>1477</v>
      </c>
      <c r="K377" s="14">
        <v>1741</v>
      </c>
      <c r="L377" s="14">
        <v>1428</v>
      </c>
      <c r="M377" s="14">
        <v>1849</v>
      </c>
      <c r="N377" s="12">
        <v>0.08</v>
      </c>
      <c r="O377" s="12" t="s">
        <v>1477</v>
      </c>
      <c r="P377" s="12">
        <v>1.2869081228032099E-5</v>
      </c>
      <c r="Q377" s="12">
        <v>4.8787791612201E-5</v>
      </c>
      <c r="R377" s="12">
        <v>0.112903225806452</v>
      </c>
      <c r="S377" s="14">
        <v>25</v>
      </c>
      <c r="T377" s="12">
        <v>3.5318275218137601E-3</v>
      </c>
      <c r="U377" s="14">
        <v>1847</v>
      </c>
      <c r="V377" s="14">
        <v>1</v>
      </c>
      <c r="W377" s="12">
        <v>5.4999999999999997E-3</v>
      </c>
      <c r="X377" s="12">
        <v>9.0318275218137702E-3</v>
      </c>
      <c r="Y377" s="14">
        <v>1847</v>
      </c>
      <c r="Z377" s="14">
        <v>25</v>
      </c>
      <c r="AA377" s="12" t="s">
        <v>2367</v>
      </c>
    </row>
    <row r="378" spans="1:27" ht="14.25" x14ac:dyDescent="0.45">
      <c r="A378" s="12" t="s">
        <v>1478</v>
      </c>
      <c r="B378" s="12" t="s">
        <v>1971</v>
      </c>
      <c r="C378" s="12" t="s">
        <v>1972</v>
      </c>
      <c r="D378" s="12" t="s">
        <v>1997</v>
      </c>
      <c r="E378" s="20">
        <v>32713</v>
      </c>
      <c r="F378" s="20">
        <v>44337</v>
      </c>
      <c r="G378" s="12">
        <v>1.23</v>
      </c>
      <c r="H378" s="12">
        <v>7.4666666666666703</v>
      </c>
      <c r="I378" s="13">
        <v>0.16473214285714299</v>
      </c>
      <c r="J378" s="12" t="s">
        <v>1478</v>
      </c>
      <c r="K378" s="14">
        <v>1392</v>
      </c>
      <c r="L378" s="14">
        <v>1428</v>
      </c>
      <c r="M378" s="14">
        <v>1516</v>
      </c>
      <c r="N378" s="12">
        <v>1.23</v>
      </c>
      <c r="O378" s="12" t="s">
        <v>1478</v>
      </c>
      <c r="P378" s="12">
        <v>1.9786212388099301E-4</v>
      </c>
      <c r="Q378" s="12">
        <v>7.5011229603758999E-4</v>
      </c>
      <c r="R378" s="12">
        <v>0.112903225806452</v>
      </c>
      <c r="S378" s="14">
        <v>33</v>
      </c>
      <c r="T378" s="12">
        <v>5.4301848147886599E-2</v>
      </c>
      <c r="U378" s="14">
        <v>1501</v>
      </c>
      <c r="V378" s="14">
        <v>1</v>
      </c>
      <c r="W378" s="12">
        <v>5.4999999999999997E-3</v>
      </c>
      <c r="X378" s="12">
        <v>5.9801848147886597E-2</v>
      </c>
      <c r="Y378" s="14">
        <v>1501</v>
      </c>
      <c r="Z378" s="14">
        <v>32</v>
      </c>
      <c r="AA378" s="12" t="s">
        <v>2367</v>
      </c>
    </row>
    <row r="379" spans="1:27" ht="14.25" x14ac:dyDescent="0.45">
      <c r="A379" s="12" t="s">
        <v>1479</v>
      </c>
      <c r="B379" s="12" t="s">
        <v>1971</v>
      </c>
      <c r="C379" s="12" t="s">
        <v>1972</v>
      </c>
      <c r="D379" s="12" t="s">
        <v>1975</v>
      </c>
      <c r="E379" s="20">
        <v>32225</v>
      </c>
      <c r="F379" s="20">
        <v>44372</v>
      </c>
      <c r="G379" s="12">
        <v>2.25</v>
      </c>
      <c r="H379" s="12">
        <v>6.3</v>
      </c>
      <c r="I379" s="13">
        <v>0.35714285714285698</v>
      </c>
      <c r="J379" s="12" t="s">
        <v>1479</v>
      </c>
      <c r="K379" s="14">
        <v>1180</v>
      </c>
      <c r="L379" s="14">
        <v>1606</v>
      </c>
      <c r="M379" s="14">
        <v>1314</v>
      </c>
      <c r="N379" s="12">
        <v>2.25</v>
      </c>
      <c r="O379" s="12" t="s">
        <v>1479</v>
      </c>
      <c r="P379" s="12">
        <v>3.6194290953840198E-4</v>
      </c>
      <c r="Q379" s="12">
        <v>1.6262597204066999E-3</v>
      </c>
      <c r="R379" s="12">
        <v>9.5262096774193505E-2</v>
      </c>
      <c r="S379" s="14">
        <v>34</v>
      </c>
      <c r="T379" s="12">
        <v>0.115214091633109</v>
      </c>
      <c r="U379" s="14">
        <v>1242</v>
      </c>
      <c r="V379" s="14">
        <v>1</v>
      </c>
      <c r="W379" s="12">
        <v>5.4999999999999997E-3</v>
      </c>
      <c r="X379" s="12">
        <v>0.12071409163310901</v>
      </c>
      <c r="Y379" s="14">
        <v>1243</v>
      </c>
      <c r="Z379" s="14">
        <v>34</v>
      </c>
      <c r="AA379" s="12" t="s">
        <v>2367</v>
      </c>
    </row>
    <row r="380" spans="1:27" ht="14.25" x14ac:dyDescent="0.45">
      <c r="A380" s="12" t="s">
        <v>1487</v>
      </c>
      <c r="B380" s="12" t="s">
        <v>1971</v>
      </c>
      <c r="C380" s="12" t="s">
        <v>1972</v>
      </c>
      <c r="D380" s="12" t="s">
        <v>2007</v>
      </c>
      <c r="E380" s="20">
        <v>34428</v>
      </c>
      <c r="F380" s="20">
        <v>44370</v>
      </c>
      <c r="G380" s="12">
        <v>2.48</v>
      </c>
      <c r="H380" s="12">
        <v>6.3666666666666698</v>
      </c>
      <c r="I380" s="13">
        <v>0.389528795811518</v>
      </c>
      <c r="J380" s="12" t="s">
        <v>1487</v>
      </c>
      <c r="K380" s="14">
        <v>1150</v>
      </c>
      <c r="L380" s="14">
        <v>1504</v>
      </c>
      <c r="M380" s="14">
        <v>1278</v>
      </c>
      <c r="N380" s="12">
        <v>2.48</v>
      </c>
      <c r="O380" s="12" t="s">
        <v>1487</v>
      </c>
      <c r="P380" s="12">
        <v>3.98941518068994E-4</v>
      </c>
      <c r="Q380" s="12">
        <v>1.7737299735870299E-3</v>
      </c>
      <c r="R380" s="12">
        <v>9.6270161290322606E-2</v>
      </c>
      <c r="S380" s="14">
        <v>28</v>
      </c>
      <c r="T380" s="12">
        <v>0.125818430276777</v>
      </c>
      <c r="U380" s="14">
        <v>1214</v>
      </c>
      <c r="V380" s="14">
        <v>2</v>
      </c>
      <c r="W380" s="12">
        <v>5.5999999999999999E-3</v>
      </c>
      <c r="X380" s="12">
        <v>0.13141843027677699</v>
      </c>
      <c r="Y380" s="14">
        <v>1214</v>
      </c>
      <c r="Z380" s="14">
        <v>28</v>
      </c>
      <c r="AA380" s="12" t="s">
        <v>2367</v>
      </c>
    </row>
    <row r="381" spans="1:27" ht="14.25" x14ac:dyDescent="0.45">
      <c r="A381" s="12" t="s">
        <v>1489</v>
      </c>
      <c r="B381" s="12" t="s">
        <v>1971</v>
      </c>
      <c r="C381" s="12" t="s">
        <v>1972</v>
      </c>
      <c r="D381" s="12" t="s">
        <v>1990</v>
      </c>
      <c r="E381" s="20">
        <v>34293</v>
      </c>
      <c r="F381" s="20">
        <v>44327</v>
      </c>
      <c r="G381" s="12">
        <v>0.03</v>
      </c>
      <c r="H381" s="12">
        <v>7.8</v>
      </c>
      <c r="I381" s="13">
        <v>3.8461538461538498E-3</v>
      </c>
      <c r="J381" s="12" t="s">
        <v>1489</v>
      </c>
      <c r="K381" s="14">
        <v>1788</v>
      </c>
      <c r="L381" s="14">
        <v>1252</v>
      </c>
      <c r="M381" s="14">
        <v>1895</v>
      </c>
      <c r="N381" s="12">
        <v>0.03</v>
      </c>
      <c r="O381" s="12" t="s">
        <v>1489</v>
      </c>
      <c r="P381" s="12">
        <v>4.8259054605120303E-6</v>
      </c>
      <c r="Q381" s="12">
        <v>1.7513566219764499E-5</v>
      </c>
      <c r="R381" s="12">
        <v>0.117943548387097</v>
      </c>
      <c r="S381" s="14">
        <v>29</v>
      </c>
      <c r="T381" s="12">
        <v>1.2755693435044799E-3</v>
      </c>
      <c r="U381" s="14">
        <v>1897</v>
      </c>
      <c r="V381" s="14">
        <v>1</v>
      </c>
      <c r="W381" s="12">
        <v>5.4999999999999997E-3</v>
      </c>
      <c r="X381" s="12">
        <v>6.7755693435044796E-3</v>
      </c>
      <c r="Y381" s="14">
        <v>1897</v>
      </c>
      <c r="Z381" s="14">
        <v>28</v>
      </c>
      <c r="AA381" s="12" t="s">
        <v>2367</v>
      </c>
    </row>
    <row r="382" spans="1:27" ht="14.25" x14ac:dyDescent="0.45">
      <c r="A382" s="12" t="s">
        <v>1494</v>
      </c>
      <c r="B382" s="12" t="s">
        <v>1971</v>
      </c>
      <c r="C382" s="12" t="s">
        <v>1972</v>
      </c>
      <c r="D382" s="12" t="s">
        <v>2012</v>
      </c>
      <c r="E382" s="20">
        <v>32962</v>
      </c>
      <c r="F382" s="20">
        <v>44335</v>
      </c>
      <c r="G382" s="12">
        <v>0.72</v>
      </c>
      <c r="H382" s="12">
        <v>7.5333333333333297</v>
      </c>
      <c r="I382" s="13">
        <v>9.5575221238938093E-2</v>
      </c>
      <c r="J382" s="12" t="s">
        <v>1494</v>
      </c>
      <c r="K382" s="14">
        <v>1505</v>
      </c>
      <c r="L382" s="14">
        <v>1332</v>
      </c>
      <c r="M382" s="14">
        <v>1618</v>
      </c>
      <c r="N382" s="12">
        <v>0.72</v>
      </c>
      <c r="O382" s="12" t="s">
        <v>1494</v>
      </c>
      <c r="P382" s="12">
        <v>1.15821731052289E-4</v>
      </c>
      <c r="Q382" s="12">
        <v>4.3520437119556302E-4</v>
      </c>
      <c r="R382" s="12">
        <v>0.113911290322581</v>
      </c>
      <c r="S382" s="14">
        <v>32</v>
      </c>
      <c r="T382" s="12">
        <v>3.15435881141835E-2</v>
      </c>
      <c r="U382" s="14">
        <v>1610</v>
      </c>
      <c r="V382" s="14">
        <v>1</v>
      </c>
      <c r="W382" s="12">
        <v>5.4999999999999997E-3</v>
      </c>
      <c r="X382" s="12">
        <v>3.7043588114183498E-2</v>
      </c>
      <c r="Y382" s="14">
        <v>1611</v>
      </c>
      <c r="Z382" s="14">
        <v>32</v>
      </c>
      <c r="AA382" s="12" t="s">
        <v>2367</v>
      </c>
    </row>
    <row r="383" spans="1:27" ht="14.25" x14ac:dyDescent="0.45">
      <c r="A383" s="12" t="s">
        <v>1496</v>
      </c>
      <c r="B383" s="12" t="s">
        <v>1971</v>
      </c>
      <c r="C383" s="12" t="s">
        <v>1972</v>
      </c>
      <c r="D383" s="12" t="s">
        <v>1993</v>
      </c>
      <c r="E383" s="20">
        <v>33026</v>
      </c>
      <c r="F383" s="20">
        <v>44321</v>
      </c>
      <c r="G383" s="12">
        <v>1.89</v>
      </c>
      <c r="H383" s="12">
        <v>8</v>
      </c>
      <c r="I383" s="13">
        <v>0.23624999999999999</v>
      </c>
      <c r="J383" s="12" t="s">
        <v>1496</v>
      </c>
      <c r="K383" s="14">
        <v>1294</v>
      </c>
      <c r="L383" s="14">
        <v>1238</v>
      </c>
      <c r="M383" s="14">
        <v>1427</v>
      </c>
      <c r="N383" s="12">
        <v>1.89</v>
      </c>
      <c r="O383" s="12" t="s">
        <v>1496</v>
      </c>
      <c r="P383" s="12">
        <v>3.0403204401225801E-4</v>
      </c>
      <c r="Q383" s="12">
        <v>1.07577080504903E-3</v>
      </c>
      <c r="R383" s="12">
        <v>0.120967741935484</v>
      </c>
      <c r="S383" s="14">
        <v>32</v>
      </c>
      <c r="T383" s="12">
        <v>7.8636876966024102E-2</v>
      </c>
      <c r="U383" s="14">
        <v>1372</v>
      </c>
      <c r="V383" s="14">
        <v>1</v>
      </c>
      <c r="W383" s="12">
        <v>5.4999999999999997E-3</v>
      </c>
      <c r="X383" s="12">
        <v>8.4136876966024093E-2</v>
      </c>
      <c r="Y383" s="14">
        <v>1372</v>
      </c>
      <c r="Z383" s="14">
        <v>32</v>
      </c>
      <c r="AA383" s="12" t="s">
        <v>2367</v>
      </c>
    </row>
    <row r="384" spans="1:27" ht="14.25" x14ac:dyDescent="0.45">
      <c r="A384" s="12" t="s">
        <v>1497</v>
      </c>
      <c r="B384" s="12" t="s">
        <v>1971</v>
      </c>
      <c r="C384" s="12" t="s">
        <v>1972</v>
      </c>
      <c r="D384" s="12" t="s">
        <v>1990</v>
      </c>
      <c r="E384" s="20">
        <v>34657</v>
      </c>
      <c r="F384" s="20">
        <v>44348</v>
      </c>
      <c r="G384" s="12">
        <v>0.78</v>
      </c>
      <c r="H384" s="12">
        <v>7.1</v>
      </c>
      <c r="I384" s="13">
        <v>0.109859154929577</v>
      </c>
      <c r="J384" s="12" t="s">
        <v>1497</v>
      </c>
      <c r="K384" s="14">
        <v>1467</v>
      </c>
      <c r="L384" s="14">
        <v>1475</v>
      </c>
      <c r="M384" s="14">
        <v>1603</v>
      </c>
      <c r="N384" s="12">
        <v>0.78</v>
      </c>
      <c r="O384" s="12" t="s">
        <v>1497</v>
      </c>
      <c r="P384" s="12">
        <v>1.2547354197331301E-4</v>
      </c>
      <c r="Q384" s="12">
        <v>5.00246652023695E-4</v>
      </c>
      <c r="R384" s="12">
        <v>0.10735887096774201</v>
      </c>
      <c r="S384" s="14">
        <v>28</v>
      </c>
      <c r="T384" s="12">
        <v>3.5970673575480103E-2</v>
      </c>
      <c r="U384" s="14">
        <v>1578</v>
      </c>
      <c r="V384" s="14">
        <v>1</v>
      </c>
      <c r="W384" s="12">
        <v>5.4999999999999997E-3</v>
      </c>
      <c r="X384" s="12">
        <v>4.1470673575480101E-2</v>
      </c>
      <c r="Y384" s="14">
        <v>1578</v>
      </c>
      <c r="Z384" s="14">
        <v>27</v>
      </c>
      <c r="AA384" s="12" t="s">
        <v>2367</v>
      </c>
    </row>
    <row r="385" spans="1:27" ht="14.25" x14ac:dyDescent="0.45">
      <c r="A385" s="12" t="s">
        <v>1501</v>
      </c>
      <c r="B385" s="12" t="s">
        <v>1971</v>
      </c>
      <c r="C385" s="12" t="s">
        <v>1972</v>
      </c>
      <c r="D385" s="12" t="s">
        <v>1997</v>
      </c>
      <c r="E385" s="20">
        <v>33234</v>
      </c>
      <c r="F385" s="20">
        <v>44382</v>
      </c>
      <c r="G385" s="12">
        <v>2.61</v>
      </c>
      <c r="H385" s="12">
        <v>5.9666666666666703</v>
      </c>
      <c r="I385" s="13">
        <v>0.43743016759776499</v>
      </c>
      <c r="J385" s="12" t="s">
        <v>1501</v>
      </c>
      <c r="K385" s="14">
        <v>1110</v>
      </c>
      <c r="L385" s="14">
        <v>1646</v>
      </c>
      <c r="M385" s="14">
        <v>1264</v>
      </c>
      <c r="N385" s="12">
        <v>2.61</v>
      </c>
      <c r="O385" s="12" t="s">
        <v>1501</v>
      </c>
      <c r="P385" s="12">
        <v>4.19853775064546E-4</v>
      </c>
      <c r="Q385" s="12">
        <v>1.9918501737539898E-3</v>
      </c>
      <c r="R385" s="12">
        <v>9.0221774193548404E-2</v>
      </c>
      <c r="S385" s="14">
        <v>32</v>
      </c>
      <c r="T385" s="12">
        <v>0.14023515242454501</v>
      </c>
      <c r="U385" s="14">
        <v>1184</v>
      </c>
      <c r="V385" s="14">
        <v>1</v>
      </c>
      <c r="W385" s="12">
        <v>5.4999999999999997E-3</v>
      </c>
      <c r="X385" s="12">
        <v>0.14573515242454499</v>
      </c>
      <c r="Y385" s="14">
        <v>1184</v>
      </c>
      <c r="Z385" s="14">
        <v>31</v>
      </c>
      <c r="AA385" s="12" t="s">
        <v>2367</v>
      </c>
    </row>
    <row r="386" spans="1:27" ht="14.25" x14ac:dyDescent="0.45">
      <c r="A386" s="12" t="s">
        <v>1502</v>
      </c>
      <c r="B386" s="12" t="s">
        <v>1971</v>
      </c>
      <c r="C386" s="12" t="s">
        <v>1972</v>
      </c>
      <c r="D386" s="12" t="s">
        <v>1978</v>
      </c>
      <c r="E386" s="20">
        <v>34554</v>
      </c>
      <c r="F386" s="20">
        <v>44371</v>
      </c>
      <c r="G386" s="12">
        <v>0.44</v>
      </c>
      <c r="H386" s="12">
        <v>6.3333333333333304</v>
      </c>
      <c r="I386" s="13">
        <v>6.9473684210526299E-2</v>
      </c>
      <c r="J386" s="12" t="s">
        <v>1502</v>
      </c>
      <c r="K386" s="14">
        <v>1564</v>
      </c>
      <c r="L386" s="14">
        <v>1557</v>
      </c>
      <c r="M386" s="14">
        <v>1702</v>
      </c>
      <c r="N386" s="12">
        <v>0.44</v>
      </c>
      <c r="O386" s="12" t="s">
        <v>1502</v>
      </c>
      <c r="P386" s="12">
        <v>7.0779946754176393E-5</v>
      </c>
      <c r="Q386" s="12">
        <v>3.1635031192753498E-4</v>
      </c>
      <c r="R386" s="12">
        <v>9.5766129032257993E-2</v>
      </c>
      <c r="S386" s="14">
        <v>28</v>
      </c>
      <c r="T386" s="12">
        <v>2.2426142498752501E-2</v>
      </c>
      <c r="U386" s="14">
        <v>1672</v>
      </c>
      <c r="V386" s="14">
        <v>1</v>
      </c>
      <c r="W386" s="12">
        <v>5.4999999999999997E-3</v>
      </c>
      <c r="X386" s="12">
        <v>2.7926142498752499E-2</v>
      </c>
      <c r="Y386" s="14">
        <v>1672</v>
      </c>
      <c r="Z386" s="14">
        <v>27</v>
      </c>
      <c r="AA386" s="12" t="s">
        <v>2367</v>
      </c>
    </row>
    <row r="387" spans="1:27" ht="14.25" x14ac:dyDescent="0.45">
      <c r="A387" s="12" t="s">
        <v>1506</v>
      </c>
      <c r="B387" s="12" t="s">
        <v>1971</v>
      </c>
      <c r="C387" s="12" t="s">
        <v>1972</v>
      </c>
      <c r="D387" s="12" t="s">
        <v>1993</v>
      </c>
      <c r="E387" s="20">
        <v>35384</v>
      </c>
      <c r="F387" s="20">
        <v>44337</v>
      </c>
      <c r="G387" s="12">
        <v>2.66</v>
      </c>
      <c r="H387" s="12">
        <v>7.4666666666666703</v>
      </c>
      <c r="I387" s="13">
        <v>0.35625000000000001</v>
      </c>
      <c r="J387" s="12" t="s">
        <v>1506</v>
      </c>
      <c r="K387" s="14">
        <v>1181</v>
      </c>
      <c r="L387" s="14">
        <v>1428</v>
      </c>
      <c r="M387" s="14">
        <v>1260</v>
      </c>
      <c r="N387" s="12">
        <v>2.66</v>
      </c>
      <c r="O387" s="12" t="s">
        <v>1506</v>
      </c>
      <c r="P387" s="12">
        <v>4.2789695083206601E-4</v>
      </c>
      <c r="Q387" s="12">
        <v>1.6221940711056799E-3</v>
      </c>
      <c r="R387" s="12">
        <v>0.112903225806452</v>
      </c>
      <c r="S387" s="14">
        <v>26</v>
      </c>
      <c r="T387" s="12">
        <v>0.11743326510030801</v>
      </c>
      <c r="U387" s="14">
        <v>1236</v>
      </c>
      <c r="V387" s="14">
        <v>1</v>
      </c>
      <c r="W387" s="12">
        <v>5.4999999999999997E-3</v>
      </c>
      <c r="X387" s="12">
        <v>0.122933265100308</v>
      </c>
      <c r="Y387" s="14">
        <v>1236</v>
      </c>
      <c r="Z387" s="14">
        <v>25</v>
      </c>
      <c r="AA387" s="12" t="s">
        <v>2367</v>
      </c>
    </row>
    <row r="388" spans="1:27" ht="14.25" x14ac:dyDescent="0.45">
      <c r="A388" s="12" t="s">
        <v>1511</v>
      </c>
      <c r="B388" s="12" t="s">
        <v>1971</v>
      </c>
      <c r="C388" s="12" t="s">
        <v>1972</v>
      </c>
      <c r="D388" s="12" t="s">
        <v>1983</v>
      </c>
      <c r="E388" s="20">
        <v>32919</v>
      </c>
      <c r="F388" s="20">
        <v>44337</v>
      </c>
      <c r="G388" s="12">
        <v>0.54</v>
      </c>
      <c r="H388" s="12">
        <v>7.4666666666666703</v>
      </c>
      <c r="I388" s="13">
        <v>7.2321428571428606E-2</v>
      </c>
      <c r="J388" s="12" t="s">
        <v>1511</v>
      </c>
      <c r="K388" s="14">
        <v>1558</v>
      </c>
      <c r="L388" s="14">
        <v>1428</v>
      </c>
      <c r="M388" s="14">
        <v>1669</v>
      </c>
      <c r="N388" s="12">
        <v>0.54</v>
      </c>
      <c r="O388" s="12" t="s">
        <v>1511</v>
      </c>
      <c r="P388" s="12">
        <v>8.6866298289216506E-5</v>
      </c>
      <c r="Q388" s="12">
        <v>3.2931759338235701E-4</v>
      </c>
      <c r="R388" s="12">
        <v>0.112903225806452</v>
      </c>
      <c r="S388" s="14">
        <v>32</v>
      </c>
      <c r="T388" s="12">
        <v>2.3839835772242898E-2</v>
      </c>
      <c r="U388" s="14">
        <v>1657</v>
      </c>
      <c r="V388" s="14">
        <v>2</v>
      </c>
      <c r="W388" s="12">
        <v>5.5999999999999999E-3</v>
      </c>
      <c r="X388" s="12">
        <v>2.9439835772242899E-2</v>
      </c>
      <c r="Y388" s="14">
        <v>1657</v>
      </c>
      <c r="Z388" s="14">
        <v>32</v>
      </c>
      <c r="AA388" s="12" t="s">
        <v>2367</v>
      </c>
    </row>
    <row r="389" spans="1:27" ht="14.25" x14ac:dyDescent="0.45">
      <c r="A389" s="12" t="s">
        <v>1519</v>
      </c>
      <c r="B389" s="12" t="s">
        <v>1971</v>
      </c>
      <c r="C389" s="12" t="s">
        <v>1972</v>
      </c>
      <c r="D389" s="12" t="s">
        <v>2007</v>
      </c>
      <c r="E389" s="20">
        <v>35591</v>
      </c>
      <c r="F389" s="20">
        <v>44336</v>
      </c>
      <c r="G389" s="12">
        <v>17.72</v>
      </c>
      <c r="H389" s="12">
        <v>7.5</v>
      </c>
      <c r="I389" s="13">
        <v>2.3626666666666698</v>
      </c>
      <c r="J389" s="12" t="s">
        <v>1519</v>
      </c>
      <c r="K389" s="14">
        <v>609</v>
      </c>
      <c r="L389" s="14">
        <v>1377</v>
      </c>
      <c r="M389" s="14">
        <v>740</v>
      </c>
      <c r="N389" s="12">
        <v>17.72</v>
      </c>
      <c r="O389" s="12" t="s">
        <v>1519</v>
      </c>
      <c r="P389" s="12">
        <v>2.8505014920091002E-3</v>
      </c>
      <c r="Q389" s="12">
        <v>1.0758466971693199E-2</v>
      </c>
      <c r="R389" s="12">
        <v>0.113407258064516</v>
      </c>
      <c r="S389" s="14">
        <v>25</v>
      </c>
      <c r="T389" s="12">
        <v>0.77929799168116498</v>
      </c>
      <c r="U389" s="14">
        <v>688</v>
      </c>
      <c r="V389" s="14">
        <v>1</v>
      </c>
      <c r="W389" s="12">
        <v>5.4999999999999997E-3</v>
      </c>
      <c r="X389" s="12">
        <v>0.78479799168116504</v>
      </c>
      <c r="Y389" s="14">
        <v>688</v>
      </c>
      <c r="Z389" s="14">
        <v>25</v>
      </c>
      <c r="AA389" s="12" t="s">
        <v>2367</v>
      </c>
    </row>
    <row r="390" spans="1:27" ht="14.25" x14ac:dyDescent="0.45">
      <c r="A390" s="12" t="s">
        <v>1522</v>
      </c>
      <c r="B390" s="12" t="s">
        <v>1971</v>
      </c>
      <c r="C390" s="12" t="s">
        <v>1972</v>
      </c>
      <c r="D390" s="12" t="s">
        <v>2088</v>
      </c>
      <c r="E390" s="20">
        <v>33860</v>
      </c>
      <c r="F390" s="20">
        <v>44337</v>
      </c>
      <c r="G390" s="12">
        <v>3.71</v>
      </c>
      <c r="H390" s="12">
        <v>7.4666666666666703</v>
      </c>
      <c r="I390" s="13">
        <v>0.49687500000000001</v>
      </c>
      <c r="J390" s="12" t="s">
        <v>1522</v>
      </c>
      <c r="K390" s="14">
        <v>1052</v>
      </c>
      <c r="L390" s="14">
        <v>1428</v>
      </c>
      <c r="M390" s="14">
        <v>1146</v>
      </c>
      <c r="N390" s="12">
        <v>3.71</v>
      </c>
      <c r="O390" s="12" t="s">
        <v>1522</v>
      </c>
      <c r="P390" s="12">
        <v>5.9680364194998701E-4</v>
      </c>
      <c r="Q390" s="12">
        <v>2.2625338360158201E-3</v>
      </c>
      <c r="R390" s="12">
        <v>0.112903225806452</v>
      </c>
      <c r="S390" s="14">
        <v>30</v>
      </c>
      <c r="T390" s="12">
        <v>0.16378850132411299</v>
      </c>
      <c r="U390" s="14">
        <v>1123</v>
      </c>
      <c r="V390" s="14">
        <v>4</v>
      </c>
      <c r="W390" s="12">
        <v>5.7999999999999996E-3</v>
      </c>
      <c r="X390" s="12">
        <v>0.16958850132411299</v>
      </c>
      <c r="Y390" s="14">
        <v>1122</v>
      </c>
      <c r="Z390" s="14">
        <v>29</v>
      </c>
      <c r="AA390" s="12" t="s">
        <v>2367</v>
      </c>
    </row>
    <row r="391" spans="1:27" ht="14.25" x14ac:dyDescent="0.45">
      <c r="A391" s="12" t="s">
        <v>1523</v>
      </c>
      <c r="B391" s="12" t="s">
        <v>1971</v>
      </c>
      <c r="C391" s="12" t="s">
        <v>1972</v>
      </c>
      <c r="D391" s="12" t="s">
        <v>2072</v>
      </c>
      <c r="E391" s="20">
        <v>34531</v>
      </c>
      <c r="F391" s="20">
        <v>44336</v>
      </c>
      <c r="G391" s="12">
        <v>0.02</v>
      </c>
      <c r="H391" s="12">
        <v>7.5</v>
      </c>
      <c r="I391" s="13">
        <v>2.66666666666667E-3</v>
      </c>
      <c r="J391" s="12" t="s">
        <v>1523</v>
      </c>
      <c r="K391" s="14">
        <v>1801</v>
      </c>
      <c r="L391" s="14">
        <v>1377</v>
      </c>
      <c r="M391" s="14">
        <v>1922</v>
      </c>
      <c r="N391" s="12">
        <v>0.02</v>
      </c>
      <c r="O391" s="12" t="s">
        <v>1523</v>
      </c>
      <c r="P391" s="12">
        <v>3.2172703070080202E-6</v>
      </c>
      <c r="Q391" s="12">
        <v>1.21427392457034E-5</v>
      </c>
      <c r="R391" s="12">
        <v>0.113407258064516</v>
      </c>
      <c r="S391" s="14">
        <v>28</v>
      </c>
      <c r="T391" s="12">
        <v>8.7956883936926003E-4</v>
      </c>
      <c r="U391" s="14">
        <v>1915</v>
      </c>
      <c r="V391" s="14">
        <v>1</v>
      </c>
      <c r="W391" s="12">
        <v>5.4999999999999997E-3</v>
      </c>
      <c r="X391" s="12">
        <v>6.3795688393692603E-3</v>
      </c>
      <c r="Y391" s="14">
        <v>1916</v>
      </c>
      <c r="Z391" s="14">
        <v>27</v>
      </c>
      <c r="AA391" s="12" t="s">
        <v>2367</v>
      </c>
    </row>
    <row r="392" spans="1:27" ht="14.25" x14ac:dyDescent="0.45">
      <c r="A392" s="12" t="s">
        <v>1524</v>
      </c>
      <c r="B392" s="12" t="s">
        <v>1971</v>
      </c>
      <c r="C392" s="12" t="s">
        <v>1972</v>
      </c>
      <c r="D392" s="12" t="s">
        <v>1983</v>
      </c>
      <c r="E392" s="20">
        <v>33724</v>
      </c>
      <c r="F392" s="20">
        <v>44396</v>
      </c>
      <c r="G392" s="12">
        <v>1.74</v>
      </c>
      <c r="H392" s="12">
        <v>5.5</v>
      </c>
      <c r="I392" s="13">
        <v>0.31636363636363601</v>
      </c>
      <c r="J392" s="12" t="s">
        <v>1524</v>
      </c>
      <c r="K392" s="14">
        <v>1211</v>
      </c>
      <c r="L392" s="14">
        <v>1678</v>
      </c>
      <c r="M392" s="14">
        <v>1450</v>
      </c>
      <c r="N392" s="12">
        <v>1.74</v>
      </c>
      <c r="O392" s="12" t="s">
        <v>1524</v>
      </c>
      <c r="P392" s="12">
        <v>2.7990251670969798E-4</v>
      </c>
      <c r="Q392" s="12">
        <v>1.4405704286948101E-3</v>
      </c>
      <c r="R392" s="12">
        <v>8.3165322580645198E-2</v>
      </c>
      <c r="S392" s="14">
        <v>30</v>
      </c>
      <c r="T392" s="12">
        <v>0.100531996170039</v>
      </c>
      <c r="U392" s="14">
        <v>1289</v>
      </c>
      <c r="V392" s="14">
        <v>1</v>
      </c>
      <c r="W392" s="12">
        <v>5.4999999999999997E-3</v>
      </c>
      <c r="X392" s="12">
        <v>0.106031996170039</v>
      </c>
      <c r="Y392" s="14">
        <v>1289</v>
      </c>
      <c r="Z392" s="14">
        <v>30</v>
      </c>
      <c r="AA392" s="12" t="s">
        <v>2367</v>
      </c>
    </row>
    <row r="393" spans="1:27" ht="14.25" x14ac:dyDescent="0.45">
      <c r="A393" s="12" t="s">
        <v>1525</v>
      </c>
      <c r="B393" s="12" t="s">
        <v>1971</v>
      </c>
      <c r="C393" s="12" t="s">
        <v>1972</v>
      </c>
      <c r="D393" s="12" t="s">
        <v>1973</v>
      </c>
      <c r="E393" s="20">
        <v>33031</v>
      </c>
      <c r="F393" s="20">
        <v>44370</v>
      </c>
      <c r="G393" s="12">
        <v>76.58</v>
      </c>
      <c r="H393" s="12">
        <v>6.3666666666666698</v>
      </c>
      <c r="I393" s="13">
        <v>12.0282722513089</v>
      </c>
      <c r="J393" s="12" t="s">
        <v>1525</v>
      </c>
      <c r="K393" s="14">
        <v>244</v>
      </c>
      <c r="L393" s="14">
        <v>1504</v>
      </c>
      <c r="M393" s="14">
        <v>413</v>
      </c>
      <c r="N393" s="12">
        <v>76.58</v>
      </c>
      <c r="O393" s="12" t="s">
        <v>1525</v>
      </c>
      <c r="P393" s="12">
        <v>1.23189280055337E-2</v>
      </c>
      <c r="Q393" s="12">
        <v>5.4771065071490002E-2</v>
      </c>
      <c r="R393" s="12">
        <v>9.6270161290322606E-2</v>
      </c>
      <c r="S393" s="14">
        <v>32</v>
      </c>
      <c r="T393" s="12">
        <v>3.8851513671756401</v>
      </c>
      <c r="U393" s="14">
        <v>317</v>
      </c>
      <c r="V393" s="14">
        <v>4</v>
      </c>
      <c r="W393" s="12">
        <v>5.7999999999999996E-3</v>
      </c>
      <c r="X393" s="12">
        <v>3.8909513671756399</v>
      </c>
      <c r="Y393" s="14">
        <v>317</v>
      </c>
      <c r="Z393" s="14">
        <v>32</v>
      </c>
      <c r="AA393" s="12" t="s">
        <v>2367</v>
      </c>
    </row>
    <row r="394" spans="1:27" ht="14.25" x14ac:dyDescent="0.45">
      <c r="A394" s="12" t="s">
        <v>1531</v>
      </c>
      <c r="B394" s="12" t="s">
        <v>1971</v>
      </c>
      <c r="C394" s="12" t="s">
        <v>1972</v>
      </c>
      <c r="D394" s="12" t="s">
        <v>2026</v>
      </c>
      <c r="E394" s="20">
        <v>33927</v>
      </c>
      <c r="F394" s="20">
        <v>44334</v>
      </c>
      <c r="G394" s="12">
        <v>0.03</v>
      </c>
      <c r="H394" s="12">
        <v>7.56666666666667</v>
      </c>
      <c r="I394" s="13">
        <v>3.9647577092510999E-3</v>
      </c>
      <c r="J394" s="12" t="s">
        <v>1531</v>
      </c>
      <c r="K394" s="14">
        <v>1787</v>
      </c>
      <c r="L394" s="14">
        <v>1269</v>
      </c>
      <c r="M394" s="14">
        <v>1895</v>
      </c>
      <c r="N394" s="12">
        <v>0.03</v>
      </c>
      <c r="O394" s="12" t="s">
        <v>1531</v>
      </c>
      <c r="P394" s="12">
        <v>4.8259054605120303E-6</v>
      </c>
      <c r="Q394" s="12">
        <v>1.8053632138435599E-5</v>
      </c>
      <c r="R394" s="12">
        <v>0.114415322580645</v>
      </c>
      <c r="S394" s="14">
        <v>30</v>
      </c>
      <c r="T394" s="12">
        <v>1.30932346342143E-3</v>
      </c>
      <c r="U394" s="14">
        <v>1894</v>
      </c>
      <c r="V394" s="14">
        <v>1</v>
      </c>
      <c r="W394" s="12">
        <v>5.4999999999999997E-3</v>
      </c>
      <c r="X394" s="12">
        <v>6.8093234634214296E-3</v>
      </c>
      <c r="Y394" s="14">
        <v>1895</v>
      </c>
      <c r="Z394" s="14">
        <v>29</v>
      </c>
      <c r="AA394" s="12" t="s">
        <v>2367</v>
      </c>
    </row>
    <row r="395" spans="1:27" ht="14.25" x14ac:dyDescent="0.45">
      <c r="A395" s="12" t="s">
        <v>1534</v>
      </c>
      <c r="B395" s="12" t="s">
        <v>1971</v>
      </c>
      <c r="C395" s="12" t="s">
        <v>1972</v>
      </c>
      <c r="D395" s="12" t="s">
        <v>1997</v>
      </c>
      <c r="E395" s="20">
        <v>35506</v>
      </c>
      <c r="F395" s="20">
        <v>44337</v>
      </c>
      <c r="G395" s="12">
        <v>0.23</v>
      </c>
      <c r="H395" s="12">
        <v>7.4666666666666703</v>
      </c>
      <c r="I395" s="13">
        <v>3.0803571428571399E-2</v>
      </c>
      <c r="J395" s="12" t="s">
        <v>1534</v>
      </c>
      <c r="K395" s="14">
        <v>1653</v>
      </c>
      <c r="L395" s="14">
        <v>1428</v>
      </c>
      <c r="M395" s="14">
        <v>1769</v>
      </c>
      <c r="N395" s="12">
        <v>0.23</v>
      </c>
      <c r="O395" s="12" t="s">
        <v>1534</v>
      </c>
      <c r="P395" s="12">
        <v>3.6998608530592203E-5</v>
      </c>
      <c r="Q395" s="12">
        <v>1.4026490088507799E-4</v>
      </c>
      <c r="R395" s="12">
        <v>0.112903225806452</v>
      </c>
      <c r="S395" s="14">
        <v>25</v>
      </c>
      <c r="T395" s="12">
        <v>1.01540041252146E-2</v>
      </c>
      <c r="U395" s="14">
        <v>1759</v>
      </c>
      <c r="V395" s="14">
        <v>2</v>
      </c>
      <c r="W395" s="12">
        <v>5.5999999999999999E-3</v>
      </c>
      <c r="X395" s="12">
        <v>1.5754004125214601E-2</v>
      </c>
      <c r="Y395" s="14">
        <v>1758</v>
      </c>
      <c r="Z395" s="14">
        <v>25</v>
      </c>
      <c r="AA395" s="12" t="s">
        <v>2367</v>
      </c>
    </row>
    <row r="396" spans="1:27" ht="14.25" x14ac:dyDescent="0.45">
      <c r="A396" s="12" t="s">
        <v>1537</v>
      </c>
      <c r="B396" s="12" t="s">
        <v>1971</v>
      </c>
      <c r="C396" s="12" t="s">
        <v>1972</v>
      </c>
      <c r="D396" s="12" t="s">
        <v>1987</v>
      </c>
      <c r="E396" s="20">
        <v>33534</v>
      </c>
      <c r="F396" s="20">
        <v>44125</v>
      </c>
      <c r="G396" s="12">
        <v>298.75</v>
      </c>
      <c r="H396" s="12">
        <v>14.533333333333299</v>
      </c>
      <c r="I396" s="13">
        <v>20.556192660550501</v>
      </c>
      <c r="J396" s="12" t="s">
        <v>1537</v>
      </c>
      <c r="K396" s="14">
        <v>130</v>
      </c>
      <c r="L396" s="14">
        <v>564</v>
      </c>
      <c r="M396" s="14">
        <v>224</v>
      </c>
      <c r="N396" s="12">
        <v>298.75</v>
      </c>
      <c r="O396" s="12" t="s">
        <v>1537</v>
      </c>
      <c r="P396" s="12">
        <v>4.8057975210932302E-2</v>
      </c>
      <c r="Q396" s="12">
        <v>9.3603182760564493E-2</v>
      </c>
      <c r="R396" s="12">
        <v>0.219758064516129</v>
      </c>
      <c r="S396" s="14">
        <v>31</v>
      </c>
      <c r="T396" s="12">
        <v>7.6523729929452404</v>
      </c>
      <c r="U396" s="14">
        <v>165</v>
      </c>
      <c r="V396" s="14">
        <v>5</v>
      </c>
      <c r="W396" s="12">
        <v>5.8999999999999999E-3</v>
      </c>
      <c r="X396" s="12">
        <v>7.65827299294524</v>
      </c>
      <c r="Y396" s="14">
        <v>165</v>
      </c>
      <c r="Z396" s="14">
        <v>30</v>
      </c>
      <c r="AA396" s="12" t="s">
        <v>2367</v>
      </c>
    </row>
    <row r="397" spans="1:27" ht="14.25" x14ac:dyDescent="0.45">
      <c r="A397" s="12" t="s">
        <v>1540</v>
      </c>
      <c r="B397" s="12" t="s">
        <v>1971</v>
      </c>
      <c r="C397" s="12" t="s">
        <v>1972</v>
      </c>
      <c r="D397" s="12" t="s">
        <v>2020</v>
      </c>
      <c r="E397" s="20">
        <v>32741</v>
      </c>
      <c r="F397" s="20">
        <v>44334</v>
      </c>
      <c r="G397" s="12">
        <v>1.74</v>
      </c>
      <c r="H397" s="12">
        <v>7.56666666666667</v>
      </c>
      <c r="I397" s="13">
        <v>0.229955947136564</v>
      </c>
      <c r="J397" s="12" t="s">
        <v>1540</v>
      </c>
      <c r="K397" s="14">
        <v>1305</v>
      </c>
      <c r="L397" s="14">
        <v>1269</v>
      </c>
      <c r="M397" s="14">
        <v>1450</v>
      </c>
      <c r="N397" s="12">
        <v>1.74</v>
      </c>
      <c r="O397" s="12" t="s">
        <v>1540</v>
      </c>
      <c r="P397" s="12">
        <v>2.7990251670969798E-4</v>
      </c>
      <c r="Q397" s="12">
        <v>1.0471106640292699E-3</v>
      </c>
      <c r="R397" s="12">
        <v>0.114415322580645</v>
      </c>
      <c r="S397" s="14">
        <v>33</v>
      </c>
      <c r="T397" s="12">
        <v>7.5940760878442704E-2</v>
      </c>
      <c r="U397" s="14">
        <v>1397</v>
      </c>
      <c r="V397" s="14">
        <v>1</v>
      </c>
      <c r="W397" s="12">
        <v>5.4999999999999997E-3</v>
      </c>
      <c r="X397" s="12">
        <v>8.1440760878442695E-2</v>
      </c>
      <c r="Y397" s="14">
        <v>1397</v>
      </c>
      <c r="Z397" s="14">
        <v>32</v>
      </c>
      <c r="AA397" s="12" t="s">
        <v>2367</v>
      </c>
    </row>
    <row r="398" spans="1:27" ht="14.25" x14ac:dyDescent="0.45">
      <c r="A398" s="12" t="s">
        <v>1552</v>
      </c>
      <c r="B398" s="12" t="s">
        <v>1971</v>
      </c>
      <c r="C398" s="12" t="s">
        <v>1972</v>
      </c>
      <c r="D398" s="12" t="s">
        <v>2026</v>
      </c>
      <c r="E398" s="20">
        <v>32590</v>
      </c>
      <c r="F398" s="20">
        <v>44370</v>
      </c>
      <c r="G398" s="12">
        <v>0.36</v>
      </c>
      <c r="H398" s="12">
        <v>6.3666666666666698</v>
      </c>
      <c r="I398" s="13">
        <v>5.6544502617801001E-2</v>
      </c>
      <c r="J398" s="12" t="s">
        <v>1552</v>
      </c>
      <c r="K398" s="14">
        <v>1588</v>
      </c>
      <c r="L398" s="14">
        <v>1504</v>
      </c>
      <c r="M398" s="14">
        <v>1719</v>
      </c>
      <c r="N398" s="12">
        <v>0.36</v>
      </c>
      <c r="O398" s="12" t="s">
        <v>1552</v>
      </c>
      <c r="P398" s="12">
        <v>5.7910865526144299E-5</v>
      </c>
      <c r="Q398" s="12">
        <v>2.5747693164973102E-4</v>
      </c>
      <c r="R398" s="12">
        <v>9.6270161290322606E-2</v>
      </c>
      <c r="S398" s="14">
        <v>33</v>
      </c>
      <c r="T398" s="12">
        <v>1.8263965685338598E-2</v>
      </c>
      <c r="U398" s="14">
        <v>1696</v>
      </c>
      <c r="V398" s="14">
        <v>1</v>
      </c>
      <c r="W398" s="12">
        <v>5.4999999999999997E-3</v>
      </c>
      <c r="X398" s="12">
        <v>2.37639656853386E-2</v>
      </c>
      <c r="Y398" s="14">
        <v>1697</v>
      </c>
      <c r="Z398" s="14">
        <v>33</v>
      </c>
      <c r="AA398" s="12" t="s">
        <v>2367</v>
      </c>
    </row>
    <row r="399" spans="1:27" ht="14.25" x14ac:dyDescent="0.45">
      <c r="A399" s="12" t="s">
        <v>1557</v>
      </c>
      <c r="B399" s="12" t="s">
        <v>1971</v>
      </c>
      <c r="C399" s="12" t="s">
        <v>1972</v>
      </c>
      <c r="D399" s="12" t="s">
        <v>1993</v>
      </c>
      <c r="E399" s="20">
        <v>35377</v>
      </c>
      <c r="F399" s="20">
        <v>44410</v>
      </c>
      <c r="G399" s="12">
        <v>868.56</v>
      </c>
      <c r="H399" s="12">
        <v>5.0333333333333297</v>
      </c>
      <c r="I399" s="13">
        <v>172.56158940397299</v>
      </c>
      <c r="J399" s="12" t="s">
        <v>1557</v>
      </c>
      <c r="K399" s="14">
        <v>5</v>
      </c>
      <c r="L399" s="14">
        <v>1727</v>
      </c>
      <c r="M399" s="14">
        <v>67</v>
      </c>
      <c r="N399" s="12">
        <v>868.56</v>
      </c>
      <c r="O399" s="12" t="s">
        <v>1557</v>
      </c>
      <c r="P399" s="12">
        <v>0.13971961489274401</v>
      </c>
      <c r="Q399" s="12">
        <v>0.78576389398371604</v>
      </c>
      <c r="R399" s="12">
        <v>7.6108870967741896E-2</v>
      </c>
      <c r="S399" s="14">
        <v>26</v>
      </c>
      <c r="T399" s="12">
        <v>54.349728932460202</v>
      </c>
      <c r="U399" s="14">
        <v>8</v>
      </c>
      <c r="V399" s="14">
        <v>10</v>
      </c>
      <c r="W399" s="12">
        <v>6.4000000000000003E-3</v>
      </c>
      <c r="X399" s="12">
        <v>54.356128932460201</v>
      </c>
      <c r="Y399" s="14">
        <v>8</v>
      </c>
      <c r="Z399" s="14">
        <v>25</v>
      </c>
      <c r="AA399" s="12" t="s">
        <v>2367</v>
      </c>
    </row>
    <row r="400" spans="1:27" ht="14.25" x14ac:dyDescent="0.45">
      <c r="A400" s="12" t="s">
        <v>1560</v>
      </c>
      <c r="B400" s="12" t="s">
        <v>1971</v>
      </c>
      <c r="C400" s="12" t="s">
        <v>1972</v>
      </c>
      <c r="D400" s="12" t="s">
        <v>1993</v>
      </c>
      <c r="E400" s="20">
        <v>34724</v>
      </c>
      <c r="F400" s="20">
        <v>44426</v>
      </c>
      <c r="G400" s="12">
        <v>0.28999999999999998</v>
      </c>
      <c r="H400" s="12">
        <v>4.5</v>
      </c>
      <c r="I400" s="13">
        <v>6.4444444444444401E-2</v>
      </c>
      <c r="J400" s="12" t="s">
        <v>1560</v>
      </c>
      <c r="K400" s="14">
        <v>1575</v>
      </c>
      <c r="L400" s="14">
        <v>1839</v>
      </c>
      <c r="M400" s="14">
        <v>1740</v>
      </c>
      <c r="N400" s="12">
        <v>0.28999999999999998</v>
      </c>
      <c r="O400" s="12" t="s">
        <v>1560</v>
      </c>
      <c r="P400" s="12">
        <v>4.6650419451616299E-5</v>
      </c>
      <c r="Q400" s="12">
        <v>2.9344953177116398E-4</v>
      </c>
      <c r="R400" s="12">
        <v>6.80443548387097E-2</v>
      </c>
      <c r="S400" s="14">
        <v>27</v>
      </c>
      <c r="T400" s="12">
        <v>2.0089986465133401E-2</v>
      </c>
      <c r="U400" s="14">
        <v>1685</v>
      </c>
      <c r="V400" s="14">
        <v>1</v>
      </c>
      <c r="W400" s="12">
        <v>5.4999999999999997E-3</v>
      </c>
      <c r="X400" s="12">
        <v>2.5589986465133399E-2</v>
      </c>
      <c r="Y400" s="14">
        <v>1685</v>
      </c>
      <c r="Z400" s="14">
        <v>27</v>
      </c>
      <c r="AA400" s="12" t="s">
        <v>2367</v>
      </c>
    </row>
    <row r="401" spans="1:27" ht="14.25" x14ac:dyDescent="0.45">
      <c r="A401" s="12" t="s">
        <v>1562</v>
      </c>
      <c r="B401" s="12" t="s">
        <v>1971</v>
      </c>
      <c r="C401" s="12" t="s">
        <v>1972</v>
      </c>
      <c r="D401" s="12" t="s">
        <v>1997</v>
      </c>
      <c r="E401" s="20">
        <v>35524</v>
      </c>
      <c r="F401" s="20">
        <v>44417</v>
      </c>
      <c r="G401" s="12">
        <v>958.27</v>
      </c>
      <c r="H401" s="12">
        <v>4.8</v>
      </c>
      <c r="I401" s="13">
        <v>199.63958333333301</v>
      </c>
      <c r="J401" s="12" t="s">
        <v>1562</v>
      </c>
      <c r="K401" s="14">
        <v>4</v>
      </c>
      <c r="L401" s="14">
        <v>1757</v>
      </c>
      <c r="M401" s="14">
        <v>54</v>
      </c>
      <c r="N401" s="12">
        <v>958.27</v>
      </c>
      <c r="O401" s="12" t="s">
        <v>1562</v>
      </c>
      <c r="P401" s="12">
        <v>0.154150680854829</v>
      </c>
      <c r="Q401" s="12">
        <v>0.90906427632657505</v>
      </c>
      <c r="R401" s="12">
        <v>7.25806451612903E-2</v>
      </c>
      <c r="S401" s="14">
        <v>25</v>
      </c>
      <c r="T401" s="12">
        <v>62.597167802466998</v>
      </c>
      <c r="U401" s="14">
        <v>4</v>
      </c>
      <c r="V401" s="14">
        <v>10</v>
      </c>
      <c r="W401" s="12">
        <v>6.4000000000000003E-3</v>
      </c>
      <c r="X401" s="12">
        <v>62.603567802466998</v>
      </c>
      <c r="Y401" s="14">
        <v>4</v>
      </c>
      <c r="Z401" s="14">
        <v>25</v>
      </c>
      <c r="AA401" s="12" t="s">
        <v>2367</v>
      </c>
    </row>
    <row r="402" spans="1:27" ht="14.25" x14ac:dyDescent="0.45">
      <c r="A402" s="12" t="s">
        <v>1567</v>
      </c>
      <c r="B402" s="12" t="s">
        <v>1971</v>
      </c>
      <c r="C402" s="12" t="s">
        <v>1972</v>
      </c>
      <c r="D402" s="12" t="s">
        <v>2088</v>
      </c>
      <c r="E402" s="20">
        <v>35403</v>
      </c>
      <c r="F402" s="20">
        <v>44405</v>
      </c>
      <c r="G402" s="12">
        <v>1.38</v>
      </c>
      <c r="H402" s="12">
        <v>5.2</v>
      </c>
      <c r="I402" s="13">
        <v>0.265384615384615</v>
      </c>
      <c r="J402" s="12" t="s">
        <v>1567</v>
      </c>
      <c r="K402" s="14">
        <v>1260</v>
      </c>
      <c r="L402" s="14">
        <v>1707</v>
      </c>
      <c r="M402" s="14">
        <v>1491</v>
      </c>
      <c r="N402" s="12">
        <v>1.38</v>
      </c>
      <c r="O402" s="12" t="s">
        <v>1567</v>
      </c>
      <c r="P402" s="12">
        <v>2.2199165118355301E-4</v>
      </c>
      <c r="Q402" s="12">
        <v>1.20843606916375E-3</v>
      </c>
      <c r="R402" s="12">
        <v>7.8629032258064502E-2</v>
      </c>
      <c r="S402" s="14">
        <v>26</v>
      </c>
      <c r="T402" s="12">
        <v>8.3851941242117506E-2</v>
      </c>
      <c r="U402" s="14">
        <v>1342</v>
      </c>
      <c r="V402" s="14">
        <v>1</v>
      </c>
      <c r="W402" s="12">
        <v>5.4999999999999997E-3</v>
      </c>
      <c r="X402" s="12">
        <v>8.9351941242117497E-2</v>
      </c>
      <c r="Y402" s="14">
        <v>1343</v>
      </c>
      <c r="Z402" s="14">
        <v>25</v>
      </c>
      <c r="AA402" s="12" t="s">
        <v>2367</v>
      </c>
    </row>
    <row r="403" spans="1:27" ht="14.25" x14ac:dyDescent="0.45">
      <c r="A403" s="12" t="s">
        <v>1569</v>
      </c>
      <c r="B403" s="12" t="s">
        <v>1971</v>
      </c>
      <c r="C403" s="12" t="s">
        <v>1972</v>
      </c>
      <c r="D403" s="12" t="s">
        <v>2088</v>
      </c>
      <c r="E403" s="20">
        <v>35480</v>
      </c>
      <c r="F403" s="20">
        <v>44411</v>
      </c>
      <c r="G403" s="12">
        <v>1.35</v>
      </c>
      <c r="H403" s="12">
        <v>5</v>
      </c>
      <c r="I403" s="13">
        <v>0.27</v>
      </c>
      <c r="J403" s="12" t="s">
        <v>1569</v>
      </c>
      <c r="K403" s="14">
        <v>1256</v>
      </c>
      <c r="L403" s="14">
        <v>1738</v>
      </c>
      <c r="M403" s="14">
        <v>1497</v>
      </c>
      <c r="N403" s="12">
        <v>1.35</v>
      </c>
      <c r="O403" s="12" t="s">
        <v>1569</v>
      </c>
      <c r="P403" s="12">
        <v>2.17165745723041E-4</v>
      </c>
      <c r="Q403" s="12">
        <v>1.22945234862746E-3</v>
      </c>
      <c r="R403" s="12">
        <v>7.5604838709677394E-2</v>
      </c>
      <c r="S403" s="14">
        <v>25</v>
      </c>
      <c r="T403" s="12">
        <v>8.4984487253830607E-2</v>
      </c>
      <c r="U403" s="14">
        <v>1338</v>
      </c>
      <c r="V403" s="14">
        <v>1</v>
      </c>
      <c r="W403" s="12">
        <v>5.4999999999999997E-3</v>
      </c>
      <c r="X403" s="12">
        <v>9.0484487253830598E-2</v>
      </c>
      <c r="Y403" s="14">
        <v>1338</v>
      </c>
      <c r="Z403" s="14">
        <v>25</v>
      </c>
      <c r="AA403" s="12" t="s">
        <v>2367</v>
      </c>
    </row>
    <row r="404" spans="1:27" ht="14.25" x14ac:dyDescent="0.45">
      <c r="A404" s="12" t="s">
        <v>1573</v>
      </c>
      <c r="B404" s="12" t="s">
        <v>1971</v>
      </c>
      <c r="C404" s="12" t="s">
        <v>1972</v>
      </c>
      <c r="D404" s="12" t="s">
        <v>2072</v>
      </c>
      <c r="E404" s="20">
        <v>32032</v>
      </c>
      <c r="F404" s="20">
        <v>44370</v>
      </c>
      <c r="G404" s="12">
        <v>5.07</v>
      </c>
      <c r="H404" s="12">
        <v>6.3666666666666698</v>
      </c>
      <c r="I404" s="13">
        <v>0.79633507853403196</v>
      </c>
      <c r="J404" s="12" t="s">
        <v>1573</v>
      </c>
      <c r="K404" s="14">
        <v>890</v>
      </c>
      <c r="L404" s="14">
        <v>1504</v>
      </c>
      <c r="M404" s="14">
        <v>1030</v>
      </c>
      <c r="N404" s="12">
        <v>5.07</v>
      </c>
      <c r="O404" s="12" t="s">
        <v>1573</v>
      </c>
      <c r="P404" s="12">
        <v>8.1557802282653305E-4</v>
      </c>
      <c r="Q404" s="12">
        <v>3.6261334540670402E-3</v>
      </c>
      <c r="R404" s="12">
        <v>9.6270161290322606E-2</v>
      </c>
      <c r="S404" s="14">
        <v>35</v>
      </c>
      <c r="T404" s="12">
        <v>0.257217516735185</v>
      </c>
      <c r="U404" s="14">
        <v>961</v>
      </c>
      <c r="V404" s="14">
        <v>2</v>
      </c>
      <c r="W404" s="12">
        <v>5.5999999999999999E-3</v>
      </c>
      <c r="X404" s="12">
        <v>0.262817516735185</v>
      </c>
      <c r="Y404" s="14">
        <v>961</v>
      </c>
      <c r="Z404" s="14">
        <v>34</v>
      </c>
      <c r="AA404" s="12" t="s">
        <v>2367</v>
      </c>
    </row>
    <row r="405" spans="1:27" ht="14.25" x14ac:dyDescent="0.45">
      <c r="A405" s="12" t="s">
        <v>1586</v>
      </c>
      <c r="B405" s="12" t="s">
        <v>1971</v>
      </c>
      <c r="C405" s="12" t="s">
        <v>1972</v>
      </c>
      <c r="D405" s="12" t="s">
        <v>1975</v>
      </c>
      <c r="E405" s="20">
        <v>34923</v>
      </c>
      <c r="F405" s="20">
        <v>44403</v>
      </c>
      <c r="G405" s="12">
        <v>0.49</v>
      </c>
      <c r="H405" s="12">
        <v>5.2666666666666702</v>
      </c>
      <c r="I405" s="13">
        <v>9.30379746835443E-2</v>
      </c>
      <c r="J405" s="12" t="s">
        <v>1586</v>
      </c>
      <c r="K405" s="14">
        <v>1514</v>
      </c>
      <c r="L405" s="14">
        <v>1692</v>
      </c>
      <c r="M405" s="14">
        <v>1692</v>
      </c>
      <c r="N405" s="12">
        <v>0.49</v>
      </c>
      <c r="O405" s="12" t="s">
        <v>1586</v>
      </c>
      <c r="P405" s="12">
        <v>7.8823122521696402E-5</v>
      </c>
      <c r="Q405" s="12">
        <v>4.2365094994898598E-4</v>
      </c>
      <c r="R405" s="12">
        <v>7.9637096774193505E-2</v>
      </c>
      <c r="S405" s="14">
        <v>27</v>
      </c>
      <c r="T405" s="12">
        <v>2.9434051466375202E-2</v>
      </c>
      <c r="U405" s="14">
        <v>1627</v>
      </c>
      <c r="V405" s="14">
        <v>1</v>
      </c>
      <c r="W405" s="12">
        <v>5.4999999999999997E-3</v>
      </c>
      <c r="X405" s="12">
        <v>3.4934051466375203E-2</v>
      </c>
      <c r="Y405" s="14">
        <v>1628</v>
      </c>
      <c r="Z405" s="14">
        <v>26</v>
      </c>
      <c r="AA405" s="12" t="s">
        <v>2367</v>
      </c>
    </row>
    <row r="406" spans="1:27" ht="14.25" x14ac:dyDescent="0.45">
      <c r="A406" s="12" t="s">
        <v>1587</v>
      </c>
      <c r="B406" s="12" t="s">
        <v>1971</v>
      </c>
      <c r="C406" s="12" t="s">
        <v>1972</v>
      </c>
      <c r="D406" s="12" t="s">
        <v>1997</v>
      </c>
      <c r="E406" s="20">
        <v>34442</v>
      </c>
      <c r="F406" s="20">
        <v>44424</v>
      </c>
      <c r="G406" s="12">
        <v>0.05</v>
      </c>
      <c r="H406" s="12">
        <v>4.56666666666667</v>
      </c>
      <c r="I406" s="13">
        <v>1.09489051094891E-2</v>
      </c>
      <c r="J406" s="12" t="s">
        <v>1587</v>
      </c>
      <c r="K406" s="14">
        <v>1738</v>
      </c>
      <c r="L406" s="14">
        <v>1809</v>
      </c>
      <c r="M406" s="14">
        <v>1878</v>
      </c>
      <c r="N406" s="12">
        <v>0.05</v>
      </c>
      <c r="O406" s="12" t="s">
        <v>1587</v>
      </c>
      <c r="P406" s="12">
        <v>8.0431757675200496E-6</v>
      </c>
      <c r="Q406" s="12">
        <v>4.9856137413927999E-5</v>
      </c>
      <c r="R406" s="12">
        <v>6.9052419354838704E-2</v>
      </c>
      <c r="S406" s="14">
        <v>28</v>
      </c>
      <c r="T406" s="12">
        <v>3.4176276796525E-3</v>
      </c>
      <c r="U406" s="14">
        <v>1850</v>
      </c>
      <c r="V406" s="14">
        <v>1</v>
      </c>
      <c r="W406" s="12">
        <v>5.4999999999999997E-3</v>
      </c>
      <c r="X406" s="12">
        <v>8.9176276796525001E-3</v>
      </c>
      <c r="Y406" s="14">
        <v>1850</v>
      </c>
      <c r="Z406" s="14">
        <v>28</v>
      </c>
      <c r="AA406" s="12" t="s">
        <v>2367</v>
      </c>
    </row>
    <row r="407" spans="1:27" ht="14.25" x14ac:dyDescent="0.45">
      <c r="A407" s="12" t="s">
        <v>1588</v>
      </c>
      <c r="B407" s="12" t="s">
        <v>1971</v>
      </c>
      <c r="C407" s="12" t="s">
        <v>1972</v>
      </c>
      <c r="D407" s="12" t="s">
        <v>1978</v>
      </c>
      <c r="E407" s="20">
        <v>34227</v>
      </c>
      <c r="F407" s="20">
        <v>44411</v>
      </c>
      <c r="G407" s="12">
        <v>0.56999999999999995</v>
      </c>
      <c r="H407" s="12">
        <v>5</v>
      </c>
      <c r="I407" s="13">
        <v>0.114</v>
      </c>
      <c r="J407" s="12" t="s">
        <v>1588</v>
      </c>
      <c r="K407" s="14">
        <v>1458</v>
      </c>
      <c r="L407" s="14">
        <v>1738</v>
      </c>
      <c r="M407" s="14">
        <v>1663</v>
      </c>
      <c r="N407" s="12">
        <v>0.56999999999999995</v>
      </c>
      <c r="O407" s="12" t="s">
        <v>1588</v>
      </c>
      <c r="P407" s="12">
        <v>9.1692203749728504E-5</v>
      </c>
      <c r="Q407" s="12">
        <v>5.1910210275381795E-4</v>
      </c>
      <c r="R407" s="12">
        <v>7.5604838709677394E-2</v>
      </c>
      <c r="S407" s="14">
        <v>29</v>
      </c>
      <c r="T407" s="12">
        <v>3.5882339062728502E-2</v>
      </c>
      <c r="U407" s="14">
        <v>1579</v>
      </c>
      <c r="V407" s="14">
        <v>1</v>
      </c>
      <c r="W407" s="12">
        <v>5.4999999999999997E-3</v>
      </c>
      <c r="X407" s="12">
        <v>4.13823390627285E-2</v>
      </c>
      <c r="Y407" s="14">
        <v>1579</v>
      </c>
      <c r="Z407" s="14">
        <v>28</v>
      </c>
      <c r="AA407" s="12" t="s">
        <v>2367</v>
      </c>
    </row>
    <row r="408" spans="1:27" ht="14.25" x14ac:dyDescent="0.45">
      <c r="A408" s="12" t="s">
        <v>1597</v>
      </c>
      <c r="B408" s="12" t="s">
        <v>1971</v>
      </c>
      <c r="C408" s="12" t="s">
        <v>1972</v>
      </c>
      <c r="D408" s="12" t="s">
        <v>1997</v>
      </c>
      <c r="E408" s="20">
        <v>34816</v>
      </c>
      <c r="F408" s="20">
        <v>44411</v>
      </c>
      <c r="G408" s="12">
        <v>0.92</v>
      </c>
      <c r="H408" s="12">
        <v>5</v>
      </c>
      <c r="I408" s="13">
        <v>0.184</v>
      </c>
      <c r="J408" s="12" t="s">
        <v>1597</v>
      </c>
      <c r="K408" s="14">
        <v>1363</v>
      </c>
      <c r="L408" s="14">
        <v>1738</v>
      </c>
      <c r="M408" s="14">
        <v>1575</v>
      </c>
      <c r="N408" s="12">
        <v>0.92</v>
      </c>
      <c r="O408" s="12" t="s">
        <v>1597</v>
      </c>
      <c r="P408" s="12">
        <v>1.47994434122369E-4</v>
      </c>
      <c r="Q408" s="12">
        <v>8.3784900795353095E-4</v>
      </c>
      <c r="R408" s="12">
        <v>7.5604838709677394E-2</v>
      </c>
      <c r="S408" s="14">
        <v>27</v>
      </c>
      <c r="T408" s="12">
        <v>5.7915354276684497E-2</v>
      </c>
      <c r="U408" s="14">
        <v>1489</v>
      </c>
      <c r="V408" s="14">
        <v>1</v>
      </c>
      <c r="W408" s="12">
        <v>5.4999999999999997E-3</v>
      </c>
      <c r="X408" s="12">
        <v>6.3415354276684502E-2</v>
      </c>
      <c r="Y408" s="14">
        <v>1489</v>
      </c>
      <c r="Z408" s="14">
        <v>27</v>
      </c>
      <c r="AA408" s="12" t="s">
        <v>2367</v>
      </c>
    </row>
    <row r="409" spans="1:27" ht="14.25" x14ac:dyDescent="0.45">
      <c r="A409" s="12" t="s">
        <v>1604</v>
      </c>
      <c r="B409" s="12" t="s">
        <v>1971</v>
      </c>
      <c r="C409" s="12" t="s">
        <v>1972</v>
      </c>
      <c r="D409" s="12" t="s">
        <v>2026</v>
      </c>
      <c r="E409" s="20">
        <v>33159</v>
      </c>
      <c r="F409" s="20">
        <v>44371</v>
      </c>
      <c r="G409" s="12">
        <v>0.05</v>
      </c>
      <c r="H409" s="12">
        <v>6.3333333333333304</v>
      </c>
      <c r="I409" s="13">
        <v>7.8947368421052599E-3</v>
      </c>
      <c r="J409" s="12" t="s">
        <v>1604</v>
      </c>
      <c r="K409" s="14">
        <v>1757</v>
      </c>
      <c r="L409" s="14">
        <v>1557</v>
      </c>
      <c r="M409" s="14">
        <v>1878</v>
      </c>
      <c r="N409" s="12">
        <v>0.05</v>
      </c>
      <c r="O409" s="12" t="s">
        <v>1604</v>
      </c>
      <c r="P409" s="12">
        <v>8.0431757675200496E-6</v>
      </c>
      <c r="Q409" s="12">
        <v>3.5948899082674401E-5</v>
      </c>
      <c r="R409" s="12">
        <v>9.5766129032257993E-2</v>
      </c>
      <c r="S409" s="14">
        <v>32</v>
      </c>
      <c r="T409" s="12">
        <v>2.5484252839491502E-3</v>
      </c>
      <c r="U409" s="14">
        <v>1866</v>
      </c>
      <c r="V409" s="14">
        <v>1</v>
      </c>
      <c r="W409" s="12">
        <v>5.4999999999999997E-3</v>
      </c>
      <c r="X409" s="12">
        <v>8.0484252839491503E-3</v>
      </c>
      <c r="Y409" s="14">
        <v>1866</v>
      </c>
      <c r="Z409" s="14">
        <v>31</v>
      </c>
      <c r="AA409" s="12" t="s">
        <v>2367</v>
      </c>
    </row>
    <row r="410" spans="1:27" ht="14.25" x14ac:dyDescent="0.45">
      <c r="A410" s="12" t="s">
        <v>1615</v>
      </c>
      <c r="B410" s="12" t="s">
        <v>1971</v>
      </c>
      <c r="C410" s="12" t="s">
        <v>1972</v>
      </c>
      <c r="D410" s="12" t="s">
        <v>1995</v>
      </c>
      <c r="E410" s="20">
        <v>33971</v>
      </c>
      <c r="F410" s="20">
        <v>44417</v>
      </c>
      <c r="G410" s="12">
        <v>0.27</v>
      </c>
      <c r="H410" s="12">
        <v>4.8</v>
      </c>
      <c r="I410" s="13">
        <v>5.6250000000000001E-2</v>
      </c>
      <c r="J410" s="12" t="s">
        <v>1615</v>
      </c>
      <c r="K410" s="14">
        <v>1591</v>
      </c>
      <c r="L410" s="14">
        <v>1757</v>
      </c>
      <c r="M410" s="14">
        <v>1747</v>
      </c>
      <c r="N410" s="12">
        <v>0.27</v>
      </c>
      <c r="O410" s="12" t="s">
        <v>1615</v>
      </c>
      <c r="P410" s="12">
        <v>4.3433149144608199E-5</v>
      </c>
      <c r="Q410" s="12">
        <v>2.5613590596405502E-4</v>
      </c>
      <c r="R410" s="12">
        <v>7.25806451612903E-2</v>
      </c>
      <c r="S410" s="14">
        <v>29</v>
      </c>
      <c r="T410" s="12">
        <v>1.76372372156763E-2</v>
      </c>
      <c r="U410" s="14">
        <v>1698</v>
      </c>
      <c r="V410" s="14">
        <v>1</v>
      </c>
      <c r="W410" s="12">
        <v>5.4999999999999997E-3</v>
      </c>
      <c r="X410" s="12">
        <v>2.3137237215676301E-2</v>
      </c>
      <c r="Y410" s="14">
        <v>1698</v>
      </c>
      <c r="Z410" s="14">
        <v>29</v>
      </c>
      <c r="AA410" s="12" t="s">
        <v>2367</v>
      </c>
    </row>
    <row r="411" spans="1:27" ht="14.25" x14ac:dyDescent="0.45">
      <c r="A411" s="12" t="s">
        <v>1622</v>
      </c>
      <c r="B411" s="12" t="s">
        <v>1971</v>
      </c>
      <c r="C411" s="12" t="s">
        <v>1972</v>
      </c>
      <c r="D411" s="12" t="s">
        <v>2072</v>
      </c>
      <c r="E411" s="20">
        <v>32685</v>
      </c>
      <c r="F411" s="20">
        <v>44424</v>
      </c>
      <c r="G411" s="12">
        <v>0.41</v>
      </c>
      <c r="H411" s="12">
        <v>4.56666666666667</v>
      </c>
      <c r="I411" s="13">
        <v>8.9781021897810204E-2</v>
      </c>
      <c r="J411" s="12" t="s">
        <v>1622</v>
      </c>
      <c r="K411" s="14">
        <v>1523</v>
      </c>
      <c r="L411" s="14">
        <v>1809</v>
      </c>
      <c r="M411" s="14">
        <v>1711</v>
      </c>
      <c r="N411" s="12">
        <v>0.41</v>
      </c>
      <c r="O411" s="12" t="s">
        <v>1622</v>
      </c>
      <c r="P411" s="12">
        <v>6.5954041293664396E-5</v>
      </c>
      <c r="Q411" s="12">
        <v>4.0882032679421003E-4</v>
      </c>
      <c r="R411" s="12">
        <v>6.9052419354838704E-2</v>
      </c>
      <c r="S411" s="14">
        <v>33</v>
      </c>
      <c r="T411" s="12">
        <v>2.8024546973150499E-2</v>
      </c>
      <c r="U411" s="14">
        <v>1638</v>
      </c>
      <c r="V411" s="14">
        <v>1</v>
      </c>
      <c r="W411" s="12">
        <v>5.4999999999999997E-3</v>
      </c>
      <c r="X411" s="12">
        <v>3.35245469731505E-2</v>
      </c>
      <c r="Y411" s="14">
        <v>1638</v>
      </c>
      <c r="Z411" s="14">
        <v>33</v>
      </c>
      <c r="AA411" s="12" t="s">
        <v>2367</v>
      </c>
    </row>
    <row r="412" spans="1:27" ht="14.25" x14ac:dyDescent="0.45">
      <c r="A412" s="12" t="s">
        <v>1624</v>
      </c>
      <c r="B412" s="12" t="s">
        <v>1971</v>
      </c>
      <c r="C412" s="12" t="s">
        <v>1972</v>
      </c>
      <c r="D412" s="12" t="s">
        <v>1975</v>
      </c>
      <c r="E412" s="20">
        <v>32860</v>
      </c>
      <c r="F412" s="20">
        <v>44419</v>
      </c>
      <c r="G412" s="12">
        <v>2.2200000000000002</v>
      </c>
      <c r="H412" s="12">
        <v>4.7333333333333298</v>
      </c>
      <c r="I412" s="13">
        <v>0.46901408450704202</v>
      </c>
      <c r="J412" s="12" t="s">
        <v>1624</v>
      </c>
      <c r="K412" s="14">
        <v>1079</v>
      </c>
      <c r="L412" s="14">
        <v>1780</v>
      </c>
      <c r="M412" s="14">
        <v>1319</v>
      </c>
      <c r="N412" s="12">
        <v>2.2200000000000002</v>
      </c>
      <c r="O412" s="12" t="s">
        <v>1624</v>
      </c>
      <c r="P412" s="12">
        <v>3.5711700407788999E-4</v>
      </c>
      <c r="Q412" s="12">
        <v>2.1356683990242302E-3</v>
      </c>
      <c r="R412" s="12">
        <v>7.1572580645161296E-2</v>
      </c>
      <c r="S412" s="14">
        <v>33</v>
      </c>
      <c r="T412" s="12">
        <v>0.146871162591936</v>
      </c>
      <c r="U412" s="14">
        <v>1167</v>
      </c>
      <c r="V412" s="14">
        <v>1</v>
      </c>
      <c r="W412" s="12">
        <v>5.4999999999999997E-3</v>
      </c>
      <c r="X412" s="12">
        <v>0.152371162591936</v>
      </c>
      <c r="Y412" s="14">
        <v>1167</v>
      </c>
      <c r="Z412" s="14">
        <v>32</v>
      </c>
      <c r="AA412" s="12" t="s">
        <v>2367</v>
      </c>
    </row>
    <row r="413" spans="1:27" ht="14.25" x14ac:dyDescent="0.45">
      <c r="A413" s="12" t="s">
        <v>1632</v>
      </c>
      <c r="B413" s="12" t="s">
        <v>1971</v>
      </c>
      <c r="C413" s="12" t="s">
        <v>1972</v>
      </c>
      <c r="D413" s="12" t="s">
        <v>1997</v>
      </c>
      <c r="E413" s="20">
        <v>34168</v>
      </c>
      <c r="F413" s="20">
        <v>44404</v>
      </c>
      <c r="G413" s="12">
        <v>1.83</v>
      </c>
      <c r="H413" s="12">
        <v>5.2333333333333298</v>
      </c>
      <c r="I413" s="13">
        <v>0.34968152866242003</v>
      </c>
      <c r="J413" s="12" t="s">
        <v>1632</v>
      </c>
      <c r="K413" s="14">
        <v>1189</v>
      </c>
      <c r="L413" s="14">
        <v>1697</v>
      </c>
      <c r="M413" s="14">
        <v>1436</v>
      </c>
      <c r="N413" s="12">
        <v>1.83</v>
      </c>
      <c r="O413" s="12" t="s">
        <v>1632</v>
      </c>
      <c r="P413" s="12">
        <v>2.9438023309123399E-4</v>
      </c>
      <c r="Q413" s="12">
        <v>1.59228435809502E-3</v>
      </c>
      <c r="R413" s="12">
        <v>7.9133064516129004E-2</v>
      </c>
      <c r="S413" s="14">
        <v>29</v>
      </c>
      <c r="T413" s="12">
        <v>0.11055703112185999</v>
      </c>
      <c r="U413" s="14">
        <v>1263</v>
      </c>
      <c r="V413" s="14">
        <v>1</v>
      </c>
      <c r="W413" s="12">
        <v>5.4999999999999997E-3</v>
      </c>
      <c r="X413" s="12">
        <v>0.11605703112186</v>
      </c>
      <c r="Y413" s="14">
        <v>1263</v>
      </c>
      <c r="Z413" s="14">
        <v>28</v>
      </c>
      <c r="AA413" s="12" t="s">
        <v>2367</v>
      </c>
    </row>
    <row r="414" spans="1:27" ht="14.25" x14ac:dyDescent="0.45">
      <c r="A414" s="12" t="s">
        <v>1636</v>
      </c>
      <c r="B414" s="12" t="s">
        <v>1971</v>
      </c>
      <c r="C414" s="12" t="s">
        <v>1972</v>
      </c>
      <c r="D414" s="12" t="s">
        <v>1982</v>
      </c>
      <c r="E414" s="20">
        <v>32901</v>
      </c>
      <c r="F414" s="20">
        <v>44404</v>
      </c>
      <c r="G414" s="12">
        <v>2.46</v>
      </c>
      <c r="H414" s="12">
        <v>5.2333333333333298</v>
      </c>
      <c r="I414" s="13">
        <v>0.47006369426751599</v>
      </c>
      <c r="J414" s="12" t="s">
        <v>1636</v>
      </c>
      <c r="K414" s="14">
        <v>1078</v>
      </c>
      <c r="L414" s="14">
        <v>1697</v>
      </c>
      <c r="M414" s="14">
        <v>1282</v>
      </c>
      <c r="N414" s="12">
        <v>2.46</v>
      </c>
      <c r="O414" s="12" t="s">
        <v>1636</v>
      </c>
      <c r="P414" s="12">
        <v>3.9572424776198602E-4</v>
      </c>
      <c r="Q414" s="12">
        <v>2.14044782563593E-3</v>
      </c>
      <c r="R414" s="12">
        <v>7.9133064516129004E-2</v>
      </c>
      <c r="S414" s="14">
        <v>32</v>
      </c>
      <c r="T414" s="12">
        <v>0.14861764839332001</v>
      </c>
      <c r="U414" s="14">
        <v>1163</v>
      </c>
      <c r="V414" s="14">
        <v>2</v>
      </c>
      <c r="W414" s="12">
        <v>5.5999999999999999E-3</v>
      </c>
      <c r="X414" s="12">
        <v>0.15421764839332</v>
      </c>
      <c r="Y414" s="14">
        <v>1163</v>
      </c>
      <c r="Z414" s="14">
        <v>32</v>
      </c>
      <c r="AA414" s="12" t="s">
        <v>2367</v>
      </c>
    </row>
    <row r="415" spans="1:27" ht="14.25" x14ac:dyDescent="0.45">
      <c r="A415" s="12" t="s">
        <v>1639</v>
      </c>
      <c r="B415" s="12" t="s">
        <v>1971</v>
      </c>
      <c r="C415" s="12" t="s">
        <v>1972</v>
      </c>
      <c r="D415" s="12" t="s">
        <v>2026</v>
      </c>
      <c r="E415" s="20">
        <v>34175</v>
      </c>
      <c r="F415" s="20">
        <v>44389</v>
      </c>
      <c r="G415" s="12">
        <v>4.3499999999999996</v>
      </c>
      <c r="H415" s="12">
        <v>5.7333333333333298</v>
      </c>
      <c r="I415" s="13">
        <v>0.75872093023255804</v>
      </c>
      <c r="J415" s="12" t="s">
        <v>1639</v>
      </c>
      <c r="K415" s="14">
        <v>904</v>
      </c>
      <c r="L415" s="14">
        <v>1660</v>
      </c>
      <c r="M415" s="14">
        <v>1082</v>
      </c>
      <c r="N415" s="12">
        <v>4.3499999999999996</v>
      </c>
      <c r="O415" s="12" t="s">
        <v>1639</v>
      </c>
      <c r="P415" s="12">
        <v>6.9975629177424403E-4</v>
      </c>
      <c r="Q415" s="12">
        <v>3.45485640602679E-3</v>
      </c>
      <c r="R415" s="12">
        <v>8.6693548387096794E-2</v>
      </c>
      <c r="S415" s="14">
        <v>29</v>
      </c>
      <c r="T415" s="12">
        <v>0.242169386318209</v>
      </c>
      <c r="U415" s="14">
        <v>980</v>
      </c>
      <c r="V415" s="14">
        <v>1</v>
      </c>
      <c r="W415" s="12">
        <v>5.4999999999999997E-3</v>
      </c>
      <c r="X415" s="12">
        <v>0.24766938631820901</v>
      </c>
      <c r="Y415" s="14">
        <v>980</v>
      </c>
      <c r="Z415" s="14">
        <v>28</v>
      </c>
      <c r="AA415" s="12" t="s">
        <v>2367</v>
      </c>
    </row>
    <row r="416" spans="1:27" ht="14.25" x14ac:dyDescent="0.45">
      <c r="A416" s="12" t="s">
        <v>1650</v>
      </c>
      <c r="B416" s="12" t="s">
        <v>1971</v>
      </c>
      <c r="C416" s="12" t="s">
        <v>1972</v>
      </c>
      <c r="D416" s="12" t="s">
        <v>1975</v>
      </c>
      <c r="E416" s="20">
        <v>34847</v>
      </c>
      <c r="F416" s="20">
        <v>44301</v>
      </c>
      <c r="G416" s="12">
        <v>0.9</v>
      </c>
      <c r="H416" s="12">
        <v>8.6666666666666696</v>
      </c>
      <c r="I416" s="13">
        <v>0.103846153846154</v>
      </c>
      <c r="J416" s="12" t="s">
        <v>1650</v>
      </c>
      <c r="K416" s="14">
        <v>1484</v>
      </c>
      <c r="L416" s="14">
        <v>1179</v>
      </c>
      <c r="M416" s="14">
        <v>1578</v>
      </c>
      <c r="N416" s="12">
        <v>0.9</v>
      </c>
      <c r="O416" s="12" t="s">
        <v>1650</v>
      </c>
      <c r="P416" s="12">
        <v>1.44777163815361E-4</v>
      </c>
      <c r="Q416" s="12">
        <v>4.7286628793363999E-4</v>
      </c>
      <c r="R416" s="12">
        <v>0.13104838709677399</v>
      </c>
      <c r="S416" s="14">
        <v>27</v>
      </c>
      <c r="T416" s="12">
        <v>3.49832866389286E-2</v>
      </c>
      <c r="U416" s="14">
        <v>1585</v>
      </c>
      <c r="V416" s="14">
        <v>1</v>
      </c>
      <c r="W416" s="12">
        <v>5.4999999999999997E-3</v>
      </c>
      <c r="X416" s="12">
        <v>4.0483286638928501E-2</v>
      </c>
      <c r="Y416" s="14">
        <v>1585</v>
      </c>
      <c r="Z416" s="14">
        <v>27</v>
      </c>
      <c r="AA416" s="12" t="s">
        <v>2367</v>
      </c>
    </row>
    <row r="417" spans="1:27" ht="14.25" x14ac:dyDescent="0.45">
      <c r="A417" s="12" t="s">
        <v>1651</v>
      </c>
      <c r="B417" s="12" t="s">
        <v>1971</v>
      </c>
      <c r="C417" s="12" t="s">
        <v>1972</v>
      </c>
      <c r="D417" s="12" t="s">
        <v>1975</v>
      </c>
      <c r="E417" s="20">
        <v>35118</v>
      </c>
      <c r="F417" s="20">
        <v>44337</v>
      </c>
      <c r="G417" s="12">
        <v>1.04</v>
      </c>
      <c r="H417" s="12">
        <v>7.4666666666666703</v>
      </c>
      <c r="I417" s="13">
        <v>0.13928571428571401</v>
      </c>
      <c r="J417" s="12" t="s">
        <v>1651</v>
      </c>
      <c r="K417" s="14">
        <v>1426</v>
      </c>
      <c r="L417" s="14">
        <v>1428</v>
      </c>
      <c r="M417" s="14">
        <v>1542</v>
      </c>
      <c r="N417" s="12">
        <v>1.04</v>
      </c>
      <c r="O417" s="12" t="s">
        <v>1651</v>
      </c>
      <c r="P417" s="12">
        <v>1.6729805596441699E-4</v>
      </c>
      <c r="Q417" s="12">
        <v>6.3424129095861301E-4</v>
      </c>
      <c r="R417" s="12">
        <v>0.112903225806452</v>
      </c>
      <c r="S417" s="14">
        <v>26</v>
      </c>
      <c r="T417" s="12">
        <v>4.5913757783578903E-2</v>
      </c>
      <c r="U417" s="14">
        <v>1537</v>
      </c>
      <c r="V417" s="14">
        <v>2</v>
      </c>
      <c r="W417" s="12">
        <v>5.5999999999999999E-3</v>
      </c>
      <c r="X417" s="12">
        <v>5.1513757783578903E-2</v>
      </c>
      <c r="Y417" s="14">
        <v>1537</v>
      </c>
      <c r="Z417" s="14">
        <v>26</v>
      </c>
      <c r="AA417" s="12" t="s">
        <v>2367</v>
      </c>
    </row>
    <row r="418" spans="1:27" ht="14.25" x14ac:dyDescent="0.45">
      <c r="A418" s="12" t="s">
        <v>1652</v>
      </c>
      <c r="B418" s="12" t="s">
        <v>1971</v>
      </c>
      <c r="C418" s="12" t="s">
        <v>1972</v>
      </c>
      <c r="D418" s="12" t="s">
        <v>2072</v>
      </c>
      <c r="E418" s="20">
        <v>34678</v>
      </c>
      <c r="F418" s="20">
        <v>44420</v>
      </c>
      <c r="G418" s="12">
        <v>1.82</v>
      </c>
      <c r="H418" s="12">
        <v>4.7</v>
      </c>
      <c r="I418" s="13">
        <v>0.38723404255319099</v>
      </c>
      <c r="J418" s="12" t="s">
        <v>1652</v>
      </c>
      <c r="K418" s="14">
        <v>1151</v>
      </c>
      <c r="L418" s="14">
        <v>1792</v>
      </c>
      <c r="M418" s="14">
        <v>1438</v>
      </c>
      <c r="N418" s="12">
        <v>1.82</v>
      </c>
      <c r="O418" s="12" t="s">
        <v>1652</v>
      </c>
      <c r="P418" s="12">
        <v>2.9277159793772998E-4</v>
      </c>
      <c r="Q418" s="12">
        <v>1.76328075216863E-3</v>
      </c>
      <c r="R418" s="12">
        <v>7.1068548387096794E-2</v>
      </c>
      <c r="S418" s="14">
        <v>28</v>
      </c>
      <c r="T418" s="12">
        <v>0.121183981933204</v>
      </c>
      <c r="U418" s="14">
        <v>1226</v>
      </c>
      <c r="V418" s="14">
        <v>1</v>
      </c>
      <c r="W418" s="12">
        <v>5.4999999999999997E-3</v>
      </c>
      <c r="X418" s="12">
        <v>0.12668398193320399</v>
      </c>
      <c r="Y418" s="14">
        <v>1227</v>
      </c>
      <c r="Z418" s="14">
        <v>27</v>
      </c>
      <c r="AA418" s="12" t="s">
        <v>2367</v>
      </c>
    </row>
    <row r="419" spans="1:27" ht="14.25" x14ac:dyDescent="0.45">
      <c r="A419" s="12" t="s">
        <v>1661</v>
      </c>
      <c r="B419" s="12" t="s">
        <v>1971</v>
      </c>
      <c r="C419" s="12" t="s">
        <v>1972</v>
      </c>
      <c r="D419" s="12" t="s">
        <v>1987</v>
      </c>
      <c r="E419" s="20">
        <v>34876</v>
      </c>
      <c r="F419" s="20">
        <v>44426</v>
      </c>
      <c r="G419" s="12">
        <v>0.09</v>
      </c>
      <c r="H419" s="12">
        <v>4.5</v>
      </c>
      <c r="I419" s="13">
        <v>0.02</v>
      </c>
      <c r="J419" s="12" t="s">
        <v>1661</v>
      </c>
      <c r="K419" s="14">
        <v>1686</v>
      </c>
      <c r="L419" s="14">
        <v>1839</v>
      </c>
      <c r="M419" s="14">
        <v>1839</v>
      </c>
      <c r="N419" s="12">
        <v>0.09</v>
      </c>
      <c r="O419" s="12" t="s">
        <v>1661</v>
      </c>
      <c r="P419" s="12">
        <v>1.44777163815361E-5</v>
      </c>
      <c r="Q419" s="12">
        <v>9.1070544342775194E-5</v>
      </c>
      <c r="R419" s="12">
        <v>6.80443548387097E-2</v>
      </c>
      <c r="S419" s="14">
        <v>27</v>
      </c>
      <c r="T419" s="12">
        <v>6.23482338573105E-3</v>
      </c>
      <c r="U419" s="14">
        <v>1802</v>
      </c>
      <c r="V419" s="14">
        <v>1</v>
      </c>
      <c r="W419" s="12">
        <v>5.4999999999999997E-3</v>
      </c>
      <c r="X419" s="12">
        <v>1.17348233857311E-2</v>
      </c>
      <c r="Y419" s="14">
        <v>1803</v>
      </c>
      <c r="Z419" s="14">
        <v>27</v>
      </c>
      <c r="AA419" s="12" t="s">
        <v>2367</v>
      </c>
    </row>
    <row r="420" spans="1:27" ht="14.25" x14ac:dyDescent="0.45">
      <c r="A420" s="12" t="s">
        <v>1662</v>
      </c>
      <c r="B420" s="12" t="s">
        <v>1971</v>
      </c>
      <c r="C420" s="12" t="s">
        <v>1972</v>
      </c>
      <c r="D420" s="12" t="s">
        <v>1993</v>
      </c>
      <c r="E420" s="20">
        <v>32350</v>
      </c>
      <c r="F420" s="20">
        <v>44412</v>
      </c>
      <c r="G420" s="12">
        <v>0.69</v>
      </c>
      <c r="H420" s="12">
        <v>4.9666666666666703</v>
      </c>
      <c r="I420" s="13">
        <v>0.13892617449664399</v>
      </c>
      <c r="J420" s="12" t="s">
        <v>1662</v>
      </c>
      <c r="K420" s="14">
        <v>1427</v>
      </c>
      <c r="L420" s="14">
        <v>1743</v>
      </c>
      <c r="M420" s="14">
        <v>1631</v>
      </c>
      <c r="N420" s="12">
        <v>0.69</v>
      </c>
      <c r="O420" s="12" t="s">
        <v>1662</v>
      </c>
      <c r="P420" s="12">
        <v>1.1099582559177699E-4</v>
      </c>
      <c r="Q420" s="12">
        <v>6.3260411674343799E-4</v>
      </c>
      <c r="R420" s="12">
        <v>7.5100806451612906E-2</v>
      </c>
      <c r="S420" s="14">
        <v>34</v>
      </c>
      <c r="T420" s="12">
        <v>4.3700100756156497E-2</v>
      </c>
      <c r="U420" s="14">
        <v>1543</v>
      </c>
      <c r="V420" s="14">
        <v>1</v>
      </c>
      <c r="W420" s="12">
        <v>5.4999999999999997E-3</v>
      </c>
      <c r="X420" s="12">
        <v>4.9200100756156502E-2</v>
      </c>
      <c r="Y420" s="14">
        <v>1544</v>
      </c>
      <c r="Z420" s="14">
        <v>33</v>
      </c>
      <c r="AA420" s="12" t="s">
        <v>2367</v>
      </c>
    </row>
    <row r="421" spans="1:27" ht="14.25" x14ac:dyDescent="0.45">
      <c r="A421" s="12" t="s">
        <v>1666</v>
      </c>
      <c r="B421" s="12" t="s">
        <v>1971</v>
      </c>
      <c r="C421" s="12" t="s">
        <v>1972</v>
      </c>
      <c r="D421" s="12" t="s">
        <v>1975</v>
      </c>
      <c r="E421" s="20">
        <v>34375</v>
      </c>
      <c r="F421" s="20">
        <v>44382</v>
      </c>
      <c r="G421" s="12">
        <v>1.45</v>
      </c>
      <c r="H421" s="12">
        <v>5.9666666666666703</v>
      </c>
      <c r="I421" s="13">
        <v>0.243016759776536</v>
      </c>
      <c r="J421" s="12" t="s">
        <v>1666</v>
      </c>
      <c r="K421" s="14">
        <v>1287</v>
      </c>
      <c r="L421" s="14">
        <v>1646</v>
      </c>
      <c r="M421" s="14">
        <v>1483</v>
      </c>
      <c r="N421" s="12">
        <v>1.45</v>
      </c>
      <c r="O421" s="12" t="s">
        <v>1666</v>
      </c>
      <c r="P421" s="12">
        <v>2.3325209725808099E-4</v>
      </c>
      <c r="Q421" s="12">
        <v>1.10658342986333E-3</v>
      </c>
      <c r="R421" s="12">
        <v>9.0221774193548404E-2</v>
      </c>
      <c r="S421" s="14">
        <v>28</v>
      </c>
      <c r="T421" s="12">
        <v>7.7908418013636099E-2</v>
      </c>
      <c r="U421" s="14">
        <v>1375</v>
      </c>
      <c r="V421" s="14">
        <v>1</v>
      </c>
      <c r="W421" s="12">
        <v>5.4999999999999997E-3</v>
      </c>
      <c r="X421" s="12">
        <v>8.3408418013636104E-2</v>
      </c>
      <c r="Y421" s="14">
        <v>1375</v>
      </c>
      <c r="Z421" s="14">
        <v>28</v>
      </c>
      <c r="AA421" s="12" t="s">
        <v>2367</v>
      </c>
    </row>
    <row r="422" spans="1:27" ht="14.25" x14ac:dyDescent="0.45">
      <c r="A422" s="12" t="s">
        <v>1667</v>
      </c>
      <c r="B422" s="12" t="s">
        <v>1971</v>
      </c>
      <c r="C422" s="12" t="s">
        <v>1972</v>
      </c>
      <c r="D422" s="12" t="s">
        <v>1993</v>
      </c>
      <c r="E422" s="20">
        <v>34612</v>
      </c>
      <c r="F422" s="20">
        <v>44337</v>
      </c>
      <c r="G422" s="12">
        <v>0.02</v>
      </c>
      <c r="H422" s="12">
        <v>7.4666666666666703</v>
      </c>
      <c r="I422" s="13">
        <v>2.6785714285714299E-3</v>
      </c>
      <c r="J422" s="12" t="s">
        <v>1667</v>
      </c>
      <c r="K422" s="14">
        <v>1800</v>
      </c>
      <c r="L422" s="14">
        <v>1428</v>
      </c>
      <c r="M422" s="14">
        <v>1922</v>
      </c>
      <c r="N422" s="12">
        <v>0.02</v>
      </c>
      <c r="O422" s="12" t="s">
        <v>1667</v>
      </c>
      <c r="P422" s="12">
        <v>3.2172703070080202E-6</v>
      </c>
      <c r="Q422" s="12">
        <v>1.2196947903050199E-5</v>
      </c>
      <c r="R422" s="12">
        <v>0.112903225806452</v>
      </c>
      <c r="S422" s="14">
        <v>28</v>
      </c>
      <c r="T422" s="12">
        <v>8.8295688045344101E-4</v>
      </c>
      <c r="U422" s="14">
        <v>1913</v>
      </c>
      <c r="V422" s="14">
        <v>1</v>
      </c>
      <c r="W422" s="12">
        <v>5.4999999999999997E-3</v>
      </c>
      <c r="X422" s="12">
        <v>6.3829568804534397E-3</v>
      </c>
      <c r="Y422" s="14">
        <v>1914</v>
      </c>
      <c r="Z422" s="14">
        <v>27</v>
      </c>
      <c r="AA422" s="12" t="s">
        <v>2367</v>
      </c>
    </row>
    <row r="423" spans="1:27" ht="14.25" x14ac:dyDescent="0.45">
      <c r="A423" s="12" t="s">
        <v>1671</v>
      </c>
      <c r="B423" s="12" t="s">
        <v>1971</v>
      </c>
      <c r="C423" s="12" t="s">
        <v>1972</v>
      </c>
      <c r="D423" s="12" t="s">
        <v>1990</v>
      </c>
      <c r="E423" s="20">
        <v>33290</v>
      </c>
      <c r="F423" s="20">
        <v>44420</v>
      </c>
      <c r="G423" s="12">
        <v>0.06</v>
      </c>
      <c r="H423" s="12">
        <v>4.7</v>
      </c>
      <c r="I423" s="13">
        <v>1.27659574468085E-2</v>
      </c>
      <c r="J423" s="12" t="s">
        <v>1671</v>
      </c>
      <c r="K423" s="14">
        <v>1721</v>
      </c>
      <c r="L423" s="14">
        <v>1792</v>
      </c>
      <c r="M423" s="14">
        <v>1867</v>
      </c>
      <c r="N423" s="12">
        <v>0.06</v>
      </c>
      <c r="O423" s="12" t="s">
        <v>1671</v>
      </c>
      <c r="P423" s="12">
        <v>9.6518109210240504E-6</v>
      </c>
      <c r="Q423" s="12">
        <v>5.8130134686877801E-5</v>
      </c>
      <c r="R423" s="12">
        <v>7.1068548387096794E-2</v>
      </c>
      <c r="S423" s="14">
        <v>31</v>
      </c>
      <c r="T423" s="12">
        <v>3.9950763274682602E-3</v>
      </c>
      <c r="U423" s="14">
        <v>1838</v>
      </c>
      <c r="V423" s="14">
        <v>1</v>
      </c>
      <c r="W423" s="12">
        <v>5.4999999999999997E-3</v>
      </c>
      <c r="X423" s="12">
        <v>9.4950763274682607E-3</v>
      </c>
      <c r="Y423" s="14">
        <v>1838</v>
      </c>
      <c r="Z423" s="14">
        <v>31</v>
      </c>
      <c r="AA423" s="12" t="s">
        <v>2367</v>
      </c>
    </row>
    <row r="424" spans="1:27" ht="14.25" x14ac:dyDescent="0.45">
      <c r="A424" s="12" t="s">
        <v>1677</v>
      </c>
      <c r="B424" s="12" t="s">
        <v>1971</v>
      </c>
      <c r="C424" s="12" t="s">
        <v>1972</v>
      </c>
      <c r="D424" s="12" t="s">
        <v>1993</v>
      </c>
      <c r="E424" s="20">
        <v>35543</v>
      </c>
      <c r="F424" s="20">
        <v>44424</v>
      </c>
      <c r="G424" s="12">
        <v>276.63</v>
      </c>
      <c r="H424" s="12">
        <v>4.56666666666667</v>
      </c>
      <c r="I424" s="13">
        <v>60.575912408759102</v>
      </c>
      <c r="J424" s="12" t="s">
        <v>1677</v>
      </c>
      <c r="K424" s="14">
        <v>40</v>
      </c>
      <c r="L424" s="14">
        <v>1809</v>
      </c>
      <c r="M424" s="14">
        <v>241</v>
      </c>
      <c r="N424" s="12">
        <v>276.63</v>
      </c>
      <c r="O424" s="12" t="s">
        <v>1677</v>
      </c>
      <c r="P424" s="12">
        <v>4.4499674251381398E-2</v>
      </c>
      <c r="Q424" s="12">
        <v>0.27583406585629799</v>
      </c>
      <c r="R424" s="12">
        <v>6.9052419354838704E-2</v>
      </c>
      <c r="S424" s="14">
        <v>25</v>
      </c>
      <c r="T424" s="12">
        <v>18.908366900445401</v>
      </c>
      <c r="U424" s="14">
        <v>56</v>
      </c>
      <c r="V424" s="14">
        <v>4</v>
      </c>
      <c r="W424" s="12">
        <v>5.7999999999999996E-3</v>
      </c>
      <c r="X424" s="12">
        <v>18.914166900445402</v>
      </c>
      <c r="Y424" s="14">
        <v>56</v>
      </c>
      <c r="Z424" s="14">
        <v>25</v>
      </c>
      <c r="AA424" s="12" t="s">
        <v>2367</v>
      </c>
    </row>
    <row r="425" spans="1:27" ht="14.25" x14ac:dyDescent="0.45">
      <c r="A425" s="12" t="s">
        <v>1678</v>
      </c>
      <c r="B425" s="12" t="s">
        <v>1971</v>
      </c>
      <c r="C425" s="12" t="s">
        <v>1972</v>
      </c>
      <c r="D425" s="12" t="s">
        <v>1975</v>
      </c>
      <c r="E425" s="20">
        <v>34786</v>
      </c>
      <c r="F425" s="20">
        <v>44405</v>
      </c>
      <c r="G425" s="12">
        <v>3.26</v>
      </c>
      <c r="H425" s="12">
        <v>5.2</v>
      </c>
      <c r="I425" s="13">
        <v>0.62692307692307703</v>
      </c>
      <c r="J425" s="12" t="s">
        <v>1678</v>
      </c>
      <c r="K425" s="14">
        <v>979</v>
      </c>
      <c r="L425" s="14">
        <v>1707</v>
      </c>
      <c r="M425" s="14">
        <v>1197</v>
      </c>
      <c r="N425" s="12">
        <v>3.26</v>
      </c>
      <c r="O425" s="12" t="s">
        <v>1678</v>
      </c>
      <c r="P425" s="12">
        <v>5.2441506004230704E-4</v>
      </c>
      <c r="Q425" s="12">
        <v>2.8547112938216101E-3</v>
      </c>
      <c r="R425" s="12">
        <v>7.8629032258064502E-2</v>
      </c>
      <c r="S425" s="14">
        <v>27</v>
      </c>
      <c r="T425" s="12">
        <v>0.19808502061543701</v>
      </c>
      <c r="U425" s="14">
        <v>1053</v>
      </c>
      <c r="V425" s="14">
        <v>2</v>
      </c>
      <c r="W425" s="12">
        <v>5.5999999999999999E-3</v>
      </c>
      <c r="X425" s="12">
        <v>0.203685020615437</v>
      </c>
      <c r="Y425" s="14">
        <v>1052</v>
      </c>
      <c r="Z425" s="14">
        <v>27</v>
      </c>
      <c r="AA425" s="12" t="s">
        <v>2367</v>
      </c>
    </row>
    <row r="426" spans="1:27" ht="14.25" x14ac:dyDescent="0.45">
      <c r="A426" s="12" t="s">
        <v>1682</v>
      </c>
      <c r="B426" s="12" t="s">
        <v>1971</v>
      </c>
      <c r="C426" s="12" t="s">
        <v>1972</v>
      </c>
      <c r="D426" s="12" t="s">
        <v>1993</v>
      </c>
      <c r="E426" s="20">
        <v>34606</v>
      </c>
      <c r="F426" s="20">
        <v>44420</v>
      </c>
      <c r="G426" s="12">
        <v>0.26</v>
      </c>
      <c r="H426" s="12">
        <v>4.7</v>
      </c>
      <c r="I426" s="13">
        <v>5.5319148936170202E-2</v>
      </c>
      <c r="J426" s="12" t="s">
        <v>1682</v>
      </c>
      <c r="K426" s="14">
        <v>1594</v>
      </c>
      <c r="L426" s="14">
        <v>1792</v>
      </c>
      <c r="M426" s="14">
        <v>1755</v>
      </c>
      <c r="N426" s="12">
        <v>0.26</v>
      </c>
      <c r="O426" s="12" t="s">
        <v>1682</v>
      </c>
      <c r="P426" s="12">
        <v>4.18245139911042E-5</v>
      </c>
      <c r="Q426" s="12">
        <v>2.5189725030980398E-4</v>
      </c>
      <c r="R426" s="12">
        <v>7.1068548387096794E-2</v>
      </c>
      <c r="S426" s="14">
        <v>28</v>
      </c>
      <c r="T426" s="12">
        <v>1.7311997419029099E-2</v>
      </c>
      <c r="U426" s="14">
        <v>1700</v>
      </c>
      <c r="V426" s="14">
        <v>2</v>
      </c>
      <c r="W426" s="12">
        <v>5.5999999999999999E-3</v>
      </c>
      <c r="X426" s="12">
        <v>2.29119974190291E-2</v>
      </c>
      <c r="Y426" s="14">
        <v>1699</v>
      </c>
      <c r="Z426" s="14">
        <v>27</v>
      </c>
      <c r="AA426" s="12" t="s">
        <v>2367</v>
      </c>
    </row>
    <row r="427" spans="1:27" ht="14.25" x14ac:dyDescent="0.45">
      <c r="A427" s="12" t="s">
        <v>1684</v>
      </c>
      <c r="B427" s="12" t="s">
        <v>1971</v>
      </c>
      <c r="C427" s="12" t="s">
        <v>1972</v>
      </c>
      <c r="D427" s="12" t="s">
        <v>1990</v>
      </c>
      <c r="E427" s="20">
        <v>33131</v>
      </c>
      <c r="F427" s="20">
        <v>44336</v>
      </c>
      <c r="G427" s="12">
        <v>0.2</v>
      </c>
      <c r="H427" s="12">
        <v>7.5</v>
      </c>
      <c r="I427" s="13">
        <v>2.66666666666667E-2</v>
      </c>
      <c r="J427" s="12" t="s">
        <v>1684</v>
      </c>
      <c r="K427" s="14">
        <v>1666</v>
      </c>
      <c r="L427" s="14">
        <v>1377</v>
      </c>
      <c r="M427" s="14">
        <v>1780</v>
      </c>
      <c r="N427" s="12">
        <v>0.2</v>
      </c>
      <c r="O427" s="12" t="s">
        <v>1684</v>
      </c>
      <c r="P427" s="12">
        <v>3.2172703070080199E-5</v>
      </c>
      <c r="Q427" s="12">
        <v>1.2142739245703399E-4</v>
      </c>
      <c r="R427" s="12">
        <v>0.113407258064516</v>
      </c>
      <c r="S427" s="14">
        <v>32</v>
      </c>
      <c r="T427" s="12">
        <v>8.7956883936926005E-3</v>
      </c>
      <c r="U427" s="14">
        <v>1770</v>
      </c>
      <c r="V427" s="14">
        <v>1</v>
      </c>
      <c r="W427" s="12">
        <v>5.4999999999999997E-3</v>
      </c>
      <c r="X427" s="12">
        <v>1.42956883936926E-2</v>
      </c>
      <c r="Y427" s="14">
        <v>1771</v>
      </c>
      <c r="Z427" s="14">
        <v>31</v>
      </c>
      <c r="AA427" s="12" t="s">
        <v>2367</v>
      </c>
    </row>
    <row r="428" spans="1:27" ht="14.25" x14ac:dyDescent="0.45">
      <c r="A428" s="12" t="s">
        <v>1685</v>
      </c>
      <c r="B428" s="12" t="s">
        <v>1971</v>
      </c>
      <c r="C428" s="12" t="s">
        <v>1972</v>
      </c>
      <c r="D428" s="12" t="s">
        <v>2007</v>
      </c>
      <c r="E428" s="20">
        <v>34513</v>
      </c>
      <c r="F428" s="20">
        <v>44405</v>
      </c>
      <c r="G428" s="12">
        <v>16.329999999999998</v>
      </c>
      <c r="H428" s="12">
        <v>5.2</v>
      </c>
      <c r="I428" s="13">
        <v>3.1403846153846202</v>
      </c>
      <c r="J428" s="12" t="s">
        <v>1685</v>
      </c>
      <c r="K428" s="14">
        <v>547</v>
      </c>
      <c r="L428" s="14">
        <v>1707</v>
      </c>
      <c r="M428" s="14">
        <v>754</v>
      </c>
      <c r="N428" s="12">
        <v>16.329999999999998</v>
      </c>
      <c r="O428" s="12" t="s">
        <v>1685</v>
      </c>
      <c r="P428" s="12">
        <v>2.6269012056720502E-3</v>
      </c>
      <c r="Q428" s="12">
        <v>1.4299826818437699E-2</v>
      </c>
      <c r="R428" s="12">
        <v>7.8629032258064502E-2</v>
      </c>
      <c r="S428" s="14">
        <v>28</v>
      </c>
      <c r="T428" s="12">
        <v>0.99224797136505705</v>
      </c>
      <c r="U428" s="14">
        <v>571</v>
      </c>
      <c r="V428" s="14">
        <v>3</v>
      </c>
      <c r="W428" s="12">
        <v>5.7000000000000002E-3</v>
      </c>
      <c r="X428" s="12">
        <v>0.99794797136505697</v>
      </c>
      <c r="Y428" s="14">
        <v>572</v>
      </c>
      <c r="Z428" s="14">
        <v>28</v>
      </c>
      <c r="AA428" s="12" t="s">
        <v>2367</v>
      </c>
    </row>
    <row r="429" spans="1:27" ht="14.25" x14ac:dyDescent="0.45">
      <c r="A429" s="12" t="s">
        <v>1686</v>
      </c>
      <c r="B429" s="12" t="s">
        <v>1971</v>
      </c>
      <c r="C429" s="12" t="s">
        <v>1972</v>
      </c>
      <c r="D429" s="12" t="s">
        <v>1987</v>
      </c>
      <c r="E429" s="20">
        <v>34018</v>
      </c>
      <c r="F429" s="20">
        <v>44382</v>
      </c>
      <c r="G429" s="12">
        <v>0.54</v>
      </c>
      <c r="H429" s="12">
        <v>5.9666666666666703</v>
      </c>
      <c r="I429" s="13">
        <v>9.0502793296089401E-2</v>
      </c>
      <c r="J429" s="12" t="s">
        <v>1686</v>
      </c>
      <c r="K429" s="14">
        <v>1520</v>
      </c>
      <c r="L429" s="14">
        <v>1646</v>
      </c>
      <c r="M429" s="14">
        <v>1669</v>
      </c>
      <c r="N429" s="12">
        <v>0.54</v>
      </c>
      <c r="O429" s="12" t="s">
        <v>1686</v>
      </c>
      <c r="P429" s="12">
        <v>8.6866298289216506E-5</v>
      </c>
      <c r="Q429" s="12">
        <v>4.1210693250082599E-4</v>
      </c>
      <c r="R429" s="12">
        <v>9.0221774193548404E-2</v>
      </c>
      <c r="S429" s="14">
        <v>29</v>
      </c>
      <c r="T429" s="12">
        <v>2.9014169467147299E-2</v>
      </c>
      <c r="U429" s="14">
        <v>1631</v>
      </c>
      <c r="V429" s="14">
        <v>1</v>
      </c>
      <c r="W429" s="12">
        <v>5.4999999999999997E-3</v>
      </c>
      <c r="X429" s="12">
        <v>3.4514169467147297E-2</v>
      </c>
      <c r="Y429" s="14">
        <v>1631</v>
      </c>
      <c r="Z429" s="14">
        <v>29</v>
      </c>
      <c r="AA429" s="12" t="s">
        <v>2367</v>
      </c>
    </row>
    <row r="430" spans="1:27" ht="14.25" x14ac:dyDescent="0.45">
      <c r="A430" s="12" t="s">
        <v>1687</v>
      </c>
      <c r="B430" s="12" t="s">
        <v>1971</v>
      </c>
      <c r="C430" s="12" t="s">
        <v>1972</v>
      </c>
      <c r="D430" s="12" t="s">
        <v>1997</v>
      </c>
      <c r="E430" s="20">
        <v>31991</v>
      </c>
      <c r="F430" s="20">
        <v>44413</v>
      </c>
      <c r="G430" s="12">
        <v>0.56000000000000005</v>
      </c>
      <c r="H430" s="12">
        <v>4.93333333333333</v>
      </c>
      <c r="I430" s="13">
        <v>0.11351351351351401</v>
      </c>
      <c r="J430" s="12" t="s">
        <v>1687</v>
      </c>
      <c r="K430" s="14">
        <v>1459</v>
      </c>
      <c r="L430" s="14">
        <v>1745</v>
      </c>
      <c r="M430" s="14">
        <v>1665</v>
      </c>
      <c r="N430" s="12">
        <v>0.56000000000000005</v>
      </c>
      <c r="O430" s="12" t="s">
        <v>1687</v>
      </c>
      <c r="P430" s="12">
        <v>9.0083568596224504E-5</v>
      </c>
      <c r="Q430" s="12">
        <v>5.1688687329683202E-4</v>
      </c>
      <c r="R430" s="12">
        <v>7.4596774193548404E-2</v>
      </c>
      <c r="S430" s="14">
        <v>35</v>
      </c>
      <c r="T430" s="12">
        <v>3.5683563403410397E-2</v>
      </c>
      <c r="U430" s="14">
        <v>1582</v>
      </c>
      <c r="V430" s="14">
        <v>2</v>
      </c>
      <c r="W430" s="12">
        <v>5.5999999999999999E-3</v>
      </c>
      <c r="X430" s="12">
        <v>4.1283563403410398E-2</v>
      </c>
      <c r="Y430" s="14">
        <v>1582</v>
      </c>
      <c r="Z430" s="14">
        <v>34</v>
      </c>
      <c r="AA430" s="12" t="s">
        <v>2367</v>
      </c>
    </row>
    <row r="431" spans="1:27" ht="14.25" x14ac:dyDescent="0.45">
      <c r="A431" s="12" t="s">
        <v>1688</v>
      </c>
      <c r="B431" s="12" t="s">
        <v>1971</v>
      </c>
      <c r="C431" s="12" t="s">
        <v>1972</v>
      </c>
      <c r="D431" s="12" t="s">
        <v>1973</v>
      </c>
      <c r="E431" s="20">
        <v>33940</v>
      </c>
      <c r="F431" s="20">
        <v>44425</v>
      </c>
      <c r="G431" s="12">
        <v>1.67</v>
      </c>
      <c r="H431" s="12">
        <v>4.5333333333333297</v>
      </c>
      <c r="I431" s="13">
        <v>0.36838235294117599</v>
      </c>
      <c r="J431" s="12" t="s">
        <v>1688</v>
      </c>
      <c r="K431" s="14">
        <v>1167</v>
      </c>
      <c r="L431" s="14">
        <v>1833</v>
      </c>
      <c r="M431" s="14">
        <v>1458</v>
      </c>
      <c r="N431" s="12">
        <v>1.67</v>
      </c>
      <c r="O431" s="12" t="s">
        <v>1688</v>
      </c>
      <c r="P431" s="12">
        <v>2.6864207063517E-4</v>
      </c>
      <c r="Q431" s="12">
        <v>1.67743907043126E-3</v>
      </c>
      <c r="R431" s="12">
        <v>6.8548387096774202E-2</v>
      </c>
      <c r="S431" s="14">
        <v>30</v>
      </c>
      <c r="T431" s="12">
        <v>0.114914019550773</v>
      </c>
      <c r="U431" s="14">
        <v>1246</v>
      </c>
      <c r="V431" s="14">
        <v>1</v>
      </c>
      <c r="W431" s="12">
        <v>5.4999999999999997E-3</v>
      </c>
      <c r="X431" s="12">
        <v>0.12041401955077299</v>
      </c>
      <c r="Y431" s="14">
        <v>1246</v>
      </c>
      <c r="Z431" s="14">
        <v>29</v>
      </c>
      <c r="AA431" s="12" t="s">
        <v>2367</v>
      </c>
    </row>
    <row r="432" spans="1:27" ht="14.25" x14ac:dyDescent="0.45">
      <c r="A432" s="12" t="s">
        <v>1694</v>
      </c>
      <c r="B432" s="12" t="s">
        <v>1971</v>
      </c>
      <c r="C432" s="12" t="s">
        <v>1972</v>
      </c>
      <c r="D432" s="12" t="s">
        <v>1993</v>
      </c>
      <c r="E432" s="20">
        <v>33930</v>
      </c>
      <c r="F432" s="20">
        <v>44426</v>
      </c>
      <c r="G432" s="12">
        <v>0.32</v>
      </c>
      <c r="H432" s="12">
        <v>4.5</v>
      </c>
      <c r="I432" s="13">
        <v>7.1111111111111097E-2</v>
      </c>
      <c r="J432" s="12" t="s">
        <v>1694</v>
      </c>
      <c r="K432" s="14">
        <v>1561</v>
      </c>
      <c r="L432" s="14">
        <v>1839</v>
      </c>
      <c r="M432" s="14">
        <v>1730</v>
      </c>
      <c r="N432" s="12">
        <v>0.32</v>
      </c>
      <c r="O432" s="12" t="s">
        <v>1694</v>
      </c>
      <c r="P432" s="12">
        <v>5.1476324912128303E-5</v>
      </c>
      <c r="Q432" s="12">
        <v>3.2380637988542297E-4</v>
      </c>
      <c r="R432" s="12">
        <v>6.80443548387097E-2</v>
      </c>
      <c r="S432" s="14">
        <v>30</v>
      </c>
      <c r="T432" s="12">
        <v>2.2168260927043701E-2</v>
      </c>
      <c r="U432" s="14">
        <v>1673</v>
      </c>
      <c r="V432" s="14">
        <v>1</v>
      </c>
      <c r="W432" s="12">
        <v>5.4999999999999997E-3</v>
      </c>
      <c r="X432" s="12">
        <v>2.7668260927043699E-2</v>
      </c>
      <c r="Y432" s="14">
        <v>1674</v>
      </c>
      <c r="Z432" s="14">
        <v>29</v>
      </c>
      <c r="AA432" s="12" t="s">
        <v>2367</v>
      </c>
    </row>
    <row r="433" spans="1:27" ht="14.25" x14ac:dyDescent="0.45">
      <c r="A433" s="12" t="s">
        <v>1700</v>
      </c>
      <c r="B433" s="12" t="s">
        <v>1971</v>
      </c>
      <c r="C433" s="12" t="s">
        <v>1972</v>
      </c>
      <c r="D433" s="12" t="s">
        <v>1978</v>
      </c>
      <c r="E433" s="20">
        <v>33390</v>
      </c>
      <c r="F433" s="20">
        <v>44420</v>
      </c>
      <c r="G433" s="12">
        <v>5.07</v>
      </c>
      <c r="H433" s="12">
        <v>4.7</v>
      </c>
      <c r="I433" s="13">
        <v>1.07872340425532</v>
      </c>
      <c r="J433" s="12" t="s">
        <v>1700</v>
      </c>
      <c r="K433" s="14">
        <v>800</v>
      </c>
      <c r="L433" s="14">
        <v>1792</v>
      </c>
      <c r="M433" s="14">
        <v>1030</v>
      </c>
      <c r="N433" s="12">
        <v>5.07</v>
      </c>
      <c r="O433" s="12" t="s">
        <v>1700</v>
      </c>
      <c r="P433" s="12">
        <v>8.1557802282653305E-4</v>
      </c>
      <c r="Q433" s="12">
        <v>4.91199638104117E-3</v>
      </c>
      <c r="R433" s="12">
        <v>7.1068548387096794E-2</v>
      </c>
      <c r="S433" s="14">
        <v>31</v>
      </c>
      <c r="T433" s="12">
        <v>0.33758394967106797</v>
      </c>
      <c r="U433" s="14">
        <v>884</v>
      </c>
      <c r="V433" s="14">
        <v>1</v>
      </c>
      <c r="W433" s="12">
        <v>5.4999999999999997E-3</v>
      </c>
      <c r="X433" s="12">
        <v>0.34308394967106798</v>
      </c>
      <c r="Y433" s="14">
        <v>884</v>
      </c>
      <c r="Z433" s="14">
        <v>31</v>
      </c>
      <c r="AA433" s="12" t="s">
        <v>2367</v>
      </c>
    </row>
    <row r="434" spans="1:27" ht="14.25" x14ac:dyDescent="0.45">
      <c r="A434" s="12" t="s">
        <v>1711</v>
      </c>
      <c r="B434" s="12" t="s">
        <v>1971</v>
      </c>
      <c r="C434" s="12" t="s">
        <v>1972</v>
      </c>
      <c r="D434" s="12" t="s">
        <v>1990</v>
      </c>
      <c r="E434" s="20">
        <v>35003</v>
      </c>
      <c r="F434" s="20">
        <v>44424</v>
      </c>
      <c r="G434" s="12">
        <v>0.88</v>
      </c>
      <c r="H434" s="12">
        <v>4.56666666666667</v>
      </c>
      <c r="I434" s="13">
        <v>0.19270072992700699</v>
      </c>
      <c r="J434" s="12" t="s">
        <v>1711</v>
      </c>
      <c r="K434" s="14">
        <v>1359</v>
      </c>
      <c r="L434" s="14">
        <v>1809</v>
      </c>
      <c r="M434" s="14">
        <v>1583</v>
      </c>
      <c r="N434" s="12">
        <v>0.88</v>
      </c>
      <c r="O434" s="12" t="s">
        <v>1711</v>
      </c>
      <c r="P434" s="12">
        <v>1.41559893508353E-4</v>
      </c>
      <c r="Q434" s="12">
        <v>8.7746801848513298E-4</v>
      </c>
      <c r="R434" s="12">
        <v>6.9052419354838704E-2</v>
      </c>
      <c r="S434" s="14">
        <v>27</v>
      </c>
      <c r="T434" s="12">
        <v>6.0150247161884003E-2</v>
      </c>
      <c r="U434" s="14">
        <v>1479</v>
      </c>
      <c r="V434" s="14">
        <v>1</v>
      </c>
      <c r="W434" s="12">
        <v>5.4999999999999997E-3</v>
      </c>
      <c r="X434" s="12">
        <v>6.5650247161884001E-2</v>
      </c>
      <c r="Y434" s="14">
        <v>1479</v>
      </c>
      <c r="Z434" s="14">
        <v>26</v>
      </c>
      <c r="AA434" s="12" t="s">
        <v>2367</v>
      </c>
    </row>
    <row r="435" spans="1:27" ht="14.25" x14ac:dyDescent="0.45">
      <c r="A435" s="12" t="s">
        <v>1727</v>
      </c>
      <c r="B435" s="12" t="s">
        <v>1971</v>
      </c>
      <c r="C435" s="12" t="s">
        <v>1972</v>
      </c>
      <c r="D435" s="12" t="s">
        <v>1975</v>
      </c>
      <c r="E435" s="20">
        <v>35089</v>
      </c>
      <c r="F435" s="20">
        <v>44426</v>
      </c>
      <c r="G435" s="12">
        <v>2.1</v>
      </c>
      <c r="H435" s="12">
        <v>4.5</v>
      </c>
      <c r="I435" s="13">
        <v>0.46666666666666701</v>
      </c>
      <c r="J435" s="12" t="s">
        <v>1727</v>
      </c>
      <c r="K435" s="14">
        <v>1083</v>
      </c>
      <c r="L435" s="14">
        <v>1839</v>
      </c>
      <c r="M435" s="14">
        <v>1339</v>
      </c>
      <c r="N435" s="12">
        <v>2.1</v>
      </c>
      <c r="O435" s="12" t="s">
        <v>1727</v>
      </c>
      <c r="P435" s="12">
        <v>3.37813382235842E-4</v>
      </c>
      <c r="Q435" s="12">
        <v>2.1249793679980898E-3</v>
      </c>
      <c r="R435" s="12">
        <v>6.80443548387097E-2</v>
      </c>
      <c r="S435" s="14">
        <v>26</v>
      </c>
      <c r="T435" s="12">
        <v>0.14547921233372499</v>
      </c>
      <c r="U435" s="14">
        <v>1170</v>
      </c>
      <c r="V435" s="14">
        <v>1</v>
      </c>
      <c r="W435" s="12">
        <v>5.4999999999999997E-3</v>
      </c>
      <c r="X435" s="12">
        <v>0.15097921233372499</v>
      </c>
      <c r="Y435" s="14">
        <v>1171</v>
      </c>
      <c r="Z435" s="14">
        <v>26</v>
      </c>
      <c r="AA435" s="12" t="s">
        <v>2367</v>
      </c>
    </row>
    <row r="436" spans="1:27" ht="14.25" x14ac:dyDescent="0.45">
      <c r="A436" s="12" t="s">
        <v>1731</v>
      </c>
      <c r="B436" s="12" t="s">
        <v>1971</v>
      </c>
      <c r="C436" s="12" t="s">
        <v>1972</v>
      </c>
      <c r="D436" s="12" t="s">
        <v>2020</v>
      </c>
      <c r="E436" s="20">
        <v>33611</v>
      </c>
      <c r="F436" s="20">
        <v>44371</v>
      </c>
      <c r="G436" s="12">
        <v>0.85</v>
      </c>
      <c r="H436" s="12">
        <v>6.3333333333333304</v>
      </c>
      <c r="I436" s="13">
        <v>0.134210526315789</v>
      </c>
      <c r="J436" s="12" t="s">
        <v>1731</v>
      </c>
      <c r="K436" s="14">
        <v>1435</v>
      </c>
      <c r="L436" s="14">
        <v>1557</v>
      </c>
      <c r="M436" s="14">
        <v>1590</v>
      </c>
      <c r="N436" s="12">
        <v>0.85</v>
      </c>
      <c r="O436" s="12" t="s">
        <v>1731</v>
      </c>
      <c r="P436" s="12">
        <v>1.3673398804784099E-4</v>
      </c>
      <c r="Q436" s="12">
        <v>6.11131284405465E-4</v>
      </c>
      <c r="R436" s="12">
        <v>9.5766129032257993E-2</v>
      </c>
      <c r="S436" s="14">
        <v>30</v>
      </c>
      <c r="T436" s="12">
        <v>4.3323229827135601E-2</v>
      </c>
      <c r="U436" s="14">
        <v>1545</v>
      </c>
      <c r="V436" s="14">
        <v>1</v>
      </c>
      <c r="W436" s="12">
        <v>5.4999999999999997E-3</v>
      </c>
      <c r="X436" s="12">
        <v>4.8823229827135599E-2</v>
      </c>
      <c r="Y436" s="14">
        <v>1546</v>
      </c>
      <c r="Z436" s="14">
        <v>30</v>
      </c>
      <c r="AA436" s="12" t="s">
        <v>2367</v>
      </c>
    </row>
    <row r="437" spans="1:27" ht="14.25" x14ac:dyDescent="0.45">
      <c r="A437" s="12" t="s">
        <v>1734</v>
      </c>
      <c r="B437" s="12" t="s">
        <v>1971</v>
      </c>
      <c r="C437" s="12" t="s">
        <v>1972</v>
      </c>
      <c r="D437" s="12" t="s">
        <v>1993</v>
      </c>
      <c r="E437" s="20">
        <v>33334</v>
      </c>
      <c r="F437" s="20">
        <v>44433</v>
      </c>
      <c r="G437" s="12">
        <v>2.86</v>
      </c>
      <c r="H437" s="12">
        <v>4.2666666666666702</v>
      </c>
      <c r="I437" s="13">
        <v>0.67031249999999998</v>
      </c>
      <c r="J437" s="12" t="s">
        <v>1734</v>
      </c>
      <c r="K437" s="14">
        <v>949</v>
      </c>
      <c r="L437" s="14">
        <v>1848</v>
      </c>
      <c r="M437" s="14">
        <v>1243</v>
      </c>
      <c r="N437" s="12">
        <v>2.86</v>
      </c>
      <c r="O437" s="12" t="s">
        <v>1734</v>
      </c>
      <c r="P437" s="12">
        <v>4.6006965390214702E-4</v>
      </c>
      <c r="Q437" s="12">
        <v>3.05228621273832E-3</v>
      </c>
      <c r="R437" s="12">
        <v>6.4516129032258104E-2</v>
      </c>
      <c r="S437" s="14">
        <v>31</v>
      </c>
      <c r="T437" s="12">
        <v>0.20802050031747599</v>
      </c>
      <c r="U437" s="14">
        <v>1034</v>
      </c>
      <c r="V437" s="14">
        <v>1</v>
      </c>
      <c r="W437" s="12">
        <v>5.4999999999999997E-3</v>
      </c>
      <c r="X437" s="12">
        <v>0.21352050031747599</v>
      </c>
      <c r="Y437" s="14">
        <v>1034</v>
      </c>
      <c r="Z437" s="14">
        <v>31</v>
      </c>
      <c r="AA437" s="12" t="s">
        <v>2367</v>
      </c>
    </row>
    <row r="438" spans="1:27" ht="14.25" x14ac:dyDescent="0.45">
      <c r="A438" s="12" t="s">
        <v>1736</v>
      </c>
      <c r="B438" s="12" t="s">
        <v>1971</v>
      </c>
      <c r="C438" s="12" t="s">
        <v>1972</v>
      </c>
      <c r="D438" s="12" t="s">
        <v>1997</v>
      </c>
      <c r="E438" s="20">
        <v>35134</v>
      </c>
      <c r="F438" s="20">
        <v>44382</v>
      </c>
      <c r="G438" s="12">
        <v>2.08</v>
      </c>
      <c r="H438" s="12">
        <v>5.9666666666666703</v>
      </c>
      <c r="I438" s="13">
        <v>0.34860335195530701</v>
      </c>
      <c r="J438" s="12" t="s">
        <v>1736</v>
      </c>
      <c r="K438" s="14">
        <v>1190</v>
      </c>
      <c r="L438" s="14">
        <v>1646</v>
      </c>
      <c r="M438" s="14">
        <v>1347</v>
      </c>
      <c r="N438" s="12">
        <v>2.08</v>
      </c>
      <c r="O438" s="12" t="s">
        <v>1736</v>
      </c>
      <c r="P438" s="12">
        <v>3.3459611192883398E-4</v>
      </c>
      <c r="Q438" s="12">
        <v>1.5873748511142901E-3</v>
      </c>
      <c r="R438" s="12">
        <v>9.0221774193548404E-2</v>
      </c>
      <c r="S438" s="14">
        <v>26</v>
      </c>
      <c r="T438" s="12">
        <v>0.11175828239197499</v>
      </c>
      <c r="U438" s="14">
        <v>1257</v>
      </c>
      <c r="V438" s="14">
        <v>1</v>
      </c>
      <c r="W438" s="12">
        <v>5.4999999999999997E-3</v>
      </c>
      <c r="X438" s="12">
        <v>0.117258282391975</v>
      </c>
      <c r="Y438" s="14">
        <v>1257</v>
      </c>
      <c r="Z438" s="14">
        <v>26</v>
      </c>
      <c r="AA438" s="12" t="s">
        <v>2367</v>
      </c>
    </row>
    <row r="439" spans="1:27" ht="14.25" x14ac:dyDescent="0.45">
      <c r="A439" s="12" t="s">
        <v>1743</v>
      </c>
      <c r="B439" s="12" t="s">
        <v>1971</v>
      </c>
      <c r="C439" s="12" t="s">
        <v>1972</v>
      </c>
      <c r="D439" s="12" t="s">
        <v>1997</v>
      </c>
      <c r="E439" s="20">
        <v>33773</v>
      </c>
      <c r="F439" s="20">
        <v>44446</v>
      </c>
      <c r="G439" s="12">
        <v>5.52</v>
      </c>
      <c r="H439" s="12">
        <v>3.8333333333333299</v>
      </c>
      <c r="I439" s="13">
        <v>1.44</v>
      </c>
      <c r="J439" s="12" t="s">
        <v>1743</v>
      </c>
      <c r="K439" s="14">
        <v>739</v>
      </c>
      <c r="L439" s="14">
        <v>1870</v>
      </c>
      <c r="M439" s="14">
        <v>998</v>
      </c>
      <c r="N439" s="12">
        <v>5.52</v>
      </c>
      <c r="O439" s="12" t="s">
        <v>1743</v>
      </c>
      <c r="P439" s="12">
        <v>8.8796660473421303E-4</v>
      </c>
      <c r="Q439" s="12">
        <v>6.55707919267981E-3</v>
      </c>
      <c r="R439" s="12">
        <v>5.7963709677419401E-2</v>
      </c>
      <c r="S439" s="14">
        <v>30</v>
      </c>
      <c r="T439" s="12">
        <v>0.44311619722002099</v>
      </c>
      <c r="U439" s="14">
        <v>800</v>
      </c>
      <c r="V439" s="14">
        <v>1</v>
      </c>
      <c r="W439" s="12">
        <v>5.4999999999999997E-3</v>
      </c>
      <c r="X439" s="12">
        <v>0.448616197220021</v>
      </c>
      <c r="Y439" s="14">
        <v>800</v>
      </c>
      <c r="Z439" s="14">
        <v>30</v>
      </c>
      <c r="AA439" s="12" t="s">
        <v>2367</v>
      </c>
    </row>
    <row r="440" spans="1:27" ht="14.25" x14ac:dyDescent="0.45">
      <c r="A440" s="12" t="s">
        <v>1745</v>
      </c>
      <c r="B440" s="12" t="s">
        <v>1971</v>
      </c>
      <c r="C440" s="12" t="s">
        <v>1972</v>
      </c>
      <c r="D440" s="12" t="s">
        <v>1990</v>
      </c>
      <c r="E440" s="20">
        <v>35577</v>
      </c>
      <c r="F440" s="20">
        <v>44386</v>
      </c>
      <c r="G440" s="12">
        <v>0.03</v>
      </c>
      <c r="H440" s="12">
        <v>5.8333333333333304</v>
      </c>
      <c r="I440" s="13">
        <v>5.14285714285714E-3</v>
      </c>
      <c r="J440" s="12" t="s">
        <v>1745</v>
      </c>
      <c r="K440" s="14">
        <v>1777</v>
      </c>
      <c r="L440" s="14">
        <v>1656</v>
      </c>
      <c r="M440" s="14">
        <v>1895</v>
      </c>
      <c r="N440" s="12">
        <v>0.03</v>
      </c>
      <c r="O440" s="12" t="s">
        <v>1745</v>
      </c>
      <c r="P440" s="12">
        <v>4.8259054605120303E-6</v>
      </c>
      <c r="Q440" s="12">
        <v>2.3418139973856499E-5</v>
      </c>
      <c r="R440" s="12">
        <v>8.82056451612903E-2</v>
      </c>
      <c r="S440" s="14">
        <v>25</v>
      </c>
      <c r="T440" s="12">
        <v>1.6446052031352299E-3</v>
      </c>
      <c r="U440" s="14">
        <v>1886</v>
      </c>
      <c r="V440" s="14">
        <v>1</v>
      </c>
      <c r="W440" s="12">
        <v>5.4999999999999997E-3</v>
      </c>
      <c r="X440" s="12">
        <v>7.14460520313523E-3</v>
      </c>
      <c r="Y440" s="14">
        <v>1886</v>
      </c>
      <c r="Z440" s="14">
        <v>25</v>
      </c>
      <c r="AA440" s="12" t="s">
        <v>2367</v>
      </c>
    </row>
    <row r="441" spans="1:27" ht="14.25" x14ac:dyDescent="0.45">
      <c r="A441" s="12" t="s">
        <v>1755</v>
      </c>
      <c r="B441" s="12" t="s">
        <v>1971</v>
      </c>
      <c r="C441" s="12" t="s">
        <v>1972</v>
      </c>
      <c r="D441" s="12" t="s">
        <v>2007</v>
      </c>
      <c r="E441" s="20">
        <v>34296</v>
      </c>
      <c r="F441" s="20">
        <v>44396</v>
      </c>
      <c r="G441" s="12">
        <v>2.12</v>
      </c>
      <c r="H441" s="12">
        <v>5.5</v>
      </c>
      <c r="I441" s="13">
        <v>0.38545454545454499</v>
      </c>
      <c r="J441" s="12" t="s">
        <v>1755</v>
      </c>
      <c r="K441" s="14">
        <v>1154</v>
      </c>
      <c r="L441" s="14">
        <v>1678</v>
      </c>
      <c r="M441" s="14">
        <v>1335</v>
      </c>
      <c r="N441" s="12">
        <v>2.12</v>
      </c>
      <c r="O441" s="12" t="s">
        <v>1755</v>
      </c>
      <c r="P441" s="12">
        <v>3.4103065254284997E-4</v>
      </c>
      <c r="Q441" s="12">
        <v>1.75517776369712E-3</v>
      </c>
      <c r="R441" s="12">
        <v>8.3165322580645198E-2</v>
      </c>
      <c r="S441" s="14">
        <v>29</v>
      </c>
      <c r="T441" s="12">
        <v>0.122487259701427</v>
      </c>
      <c r="U441" s="14">
        <v>1223</v>
      </c>
      <c r="V441" s="14">
        <v>1</v>
      </c>
      <c r="W441" s="12">
        <v>5.4999999999999997E-3</v>
      </c>
      <c r="X441" s="12">
        <v>0.12798725970142699</v>
      </c>
      <c r="Y441" s="14">
        <v>1223</v>
      </c>
      <c r="Z441" s="14">
        <v>28</v>
      </c>
      <c r="AA441" s="12" t="s">
        <v>2367</v>
      </c>
    </row>
    <row r="442" spans="1:27" ht="14.25" x14ac:dyDescent="0.45">
      <c r="A442" s="12" t="s">
        <v>1756</v>
      </c>
      <c r="B442" s="12" t="s">
        <v>1971</v>
      </c>
      <c r="C442" s="12" t="s">
        <v>1972</v>
      </c>
      <c r="D442" s="12" t="s">
        <v>1990</v>
      </c>
      <c r="E442" s="20">
        <v>33774</v>
      </c>
      <c r="F442" s="20">
        <v>44434</v>
      </c>
      <c r="G442" s="12">
        <v>1.65</v>
      </c>
      <c r="H442" s="12">
        <v>4.2333333333333298</v>
      </c>
      <c r="I442" s="13">
        <v>0.38976377952755897</v>
      </c>
      <c r="J442" s="12" t="s">
        <v>1756</v>
      </c>
      <c r="K442" s="14">
        <v>1148</v>
      </c>
      <c r="L442" s="14">
        <v>1850</v>
      </c>
      <c r="M442" s="14">
        <v>1460</v>
      </c>
      <c r="N442" s="12">
        <v>1.65</v>
      </c>
      <c r="O442" s="12" t="s">
        <v>1756</v>
      </c>
      <c r="P442" s="12">
        <v>2.65424800328161E-4</v>
      </c>
      <c r="Q442" s="12">
        <v>1.77479997833361E-3</v>
      </c>
      <c r="R442" s="12">
        <v>6.4012096774193505E-2</v>
      </c>
      <c r="S442" s="14">
        <v>30</v>
      </c>
      <c r="T442" s="12">
        <v>0.120878428658157</v>
      </c>
      <c r="U442" s="14">
        <v>1229</v>
      </c>
      <c r="V442" s="14">
        <v>1</v>
      </c>
      <c r="W442" s="12">
        <v>5.4999999999999997E-3</v>
      </c>
      <c r="X442" s="12">
        <v>0.12637842865815699</v>
      </c>
      <c r="Y442" s="14">
        <v>1229</v>
      </c>
      <c r="Z442" s="14">
        <v>30</v>
      </c>
      <c r="AA442" s="12" t="s">
        <v>2367</v>
      </c>
    </row>
    <row r="443" spans="1:27" ht="14.25" x14ac:dyDescent="0.45">
      <c r="A443" s="12" t="s">
        <v>1757</v>
      </c>
      <c r="B443" s="12" t="s">
        <v>1971</v>
      </c>
      <c r="C443" s="12" t="s">
        <v>1972</v>
      </c>
      <c r="D443" s="12" t="s">
        <v>1995</v>
      </c>
      <c r="E443" s="20">
        <v>34441</v>
      </c>
      <c r="F443" s="20">
        <v>44452</v>
      </c>
      <c r="G443" s="12">
        <v>3</v>
      </c>
      <c r="H443" s="12">
        <v>3.6333333333333302</v>
      </c>
      <c r="I443" s="13">
        <v>0.82568807339449501</v>
      </c>
      <c r="J443" s="12" t="s">
        <v>1757</v>
      </c>
      <c r="K443" s="14">
        <v>884</v>
      </c>
      <c r="L443" s="14">
        <v>1872</v>
      </c>
      <c r="M443" s="14">
        <v>1221</v>
      </c>
      <c r="N443" s="12">
        <v>3</v>
      </c>
      <c r="O443" s="12" t="s">
        <v>1757</v>
      </c>
      <c r="P443" s="12">
        <v>4.8259054605120298E-4</v>
      </c>
      <c r="Q443" s="12">
        <v>3.7597931150686998E-3</v>
      </c>
      <c r="R443" s="12">
        <v>5.4939516129032299E-2</v>
      </c>
      <c r="S443" s="14">
        <v>28</v>
      </c>
      <c r="T443" s="12">
        <v>0.25308421516871399</v>
      </c>
      <c r="U443" s="14">
        <v>966</v>
      </c>
      <c r="V443" s="14">
        <v>1</v>
      </c>
      <c r="W443" s="12">
        <v>5.4999999999999997E-3</v>
      </c>
      <c r="X443" s="12">
        <v>0.25858421516871399</v>
      </c>
      <c r="Y443" s="14">
        <v>966</v>
      </c>
      <c r="Z443" s="14">
        <v>28</v>
      </c>
      <c r="AA443" s="12" t="s">
        <v>2367</v>
      </c>
    </row>
    <row r="444" spans="1:27" ht="14.25" x14ac:dyDescent="0.45">
      <c r="A444" s="12" t="s">
        <v>1768</v>
      </c>
      <c r="B444" s="12" t="s">
        <v>1971</v>
      </c>
      <c r="C444" s="12" t="s">
        <v>1972</v>
      </c>
      <c r="D444" s="12" t="s">
        <v>1995</v>
      </c>
      <c r="E444" s="20">
        <v>34242</v>
      </c>
      <c r="F444" s="20">
        <v>44405</v>
      </c>
      <c r="G444" s="12">
        <v>18.399999999999999</v>
      </c>
      <c r="H444" s="12">
        <v>5.2</v>
      </c>
      <c r="I444" s="13">
        <v>3.5384615384615401</v>
      </c>
      <c r="J444" s="12" t="s">
        <v>1768</v>
      </c>
      <c r="K444" s="14">
        <v>517</v>
      </c>
      <c r="L444" s="14">
        <v>1707</v>
      </c>
      <c r="M444" s="14">
        <v>733</v>
      </c>
      <c r="N444" s="12">
        <v>18.399999999999999</v>
      </c>
      <c r="O444" s="12" t="s">
        <v>1768</v>
      </c>
      <c r="P444" s="12">
        <v>2.9598886824473798E-3</v>
      </c>
      <c r="Q444" s="12">
        <v>1.61124809221833E-2</v>
      </c>
      <c r="R444" s="12">
        <v>7.8629032258064502E-2</v>
      </c>
      <c r="S444" s="14">
        <v>29</v>
      </c>
      <c r="T444" s="12">
        <v>1.1180258832282299</v>
      </c>
      <c r="U444" s="14">
        <v>548</v>
      </c>
      <c r="V444" s="14">
        <v>2</v>
      </c>
      <c r="W444" s="12">
        <v>5.5999999999999999E-3</v>
      </c>
      <c r="X444" s="12">
        <v>1.12362588322823</v>
      </c>
      <c r="Y444" s="14">
        <v>548</v>
      </c>
      <c r="Z444" s="14">
        <v>28</v>
      </c>
      <c r="AA444" s="12" t="s">
        <v>2367</v>
      </c>
    </row>
    <row r="445" spans="1:27" ht="14.25" x14ac:dyDescent="0.45">
      <c r="A445" s="12" t="s">
        <v>1771</v>
      </c>
      <c r="B445" s="12" t="s">
        <v>1971</v>
      </c>
      <c r="C445" s="12" t="s">
        <v>1972</v>
      </c>
      <c r="D445" s="12" t="s">
        <v>1978</v>
      </c>
      <c r="E445" s="20">
        <v>33955</v>
      </c>
      <c r="F445" s="20">
        <v>44440</v>
      </c>
      <c r="G445" s="12">
        <v>0.09</v>
      </c>
      <c r="H445" s="12">
        <v>4.0333333333333297</v>
      </c>
      <c r="I445" s="13">
        <v>2.23140495867769E-2</v>
      </c>
      <c r="J445" s="12" t="s">
        <v>1771</v>
      </c>
      <c r="K445" s="14">
        <v>1679</v>
      </c>
      <c r="L445" s="14">
        <v>1859</v>
      </c>
      <c r="M445" s="14">
        <v>1839</v>
      </c>
      <c r="N445" s="12">
        <v>0.09</v>
      </c>
      <c r="O445" s="12" t="s">
        <v>1771</v>
      </c>
      <c r="P445" s="12">
        <v>1.44777163815361E-5</v>
      </c>
      <c r="Q445" s="12">
        <v>1.01607632117972E-4</v>
      </c>
      <c r="R445" s="12">
        <v>6.0987903225806397E-2</v>
      </c>
      <c r="S445" s="14">
        <v>30</v>
      </c>
      <c r="T445" s="12">
        <v>6.8933913716808697E-3</v>
      </c>
      <c r="U445" s="14">
        <v>1794</v>
      </c>
      <c r="V445" s="14">
        <v>1</v>
      </c>
      <c r="W445" s="12">
        <v>5.4999999999999997E-3</v>
      </c>
      <c r="X445" s="12">
        <v>1.23933913716809E-2</v>
      </c>
      <c r="Y445" s="14">
        <v>1794</v>
      </c>
      <c r="Z445" s="14">
        <v>29</v>
      </c>
      <c r="AA445" s="12" t="s">
        <v>2367</v>
      </c>
    </row>
    <row r="446" spans="1:27" ht="14.25" x14ac:dyDescent="0.45">
      <c r="A446" s="12" t="s">
        <v>1776</v>
      </c>
      <c r="B446" s="12" t="s">
        <v>1971</v>
      </c>
      <c r="C446" s="12" t="s">
        <v>1972</v>
      </c>
      <c r="D446" s="12" t="s">
        <v>2072</v>
      </c>
      <c r="E446" s="20">
        <v>32714</v>
      </c>
      <c r="F446" s="20">
        <v>44403</v>
      </c>
      <c r="G446" s="12">
        <v>18.03</v>
      </c>
      <c r="H446" s="12">
        <v>5.2666666666666702</v>
      </c>
      <c r="I446" s="13">
        <v>3.42341772151899</v>
      </c>
      <c r="J446" s="12" t="s">
        <v>1776</v>
      </c>
      <c r="K446" s="14">
        <v>529</v>
      </c>
      <c r="L446" s="14">
        <v>1692</v>
      </c>
      <c r="M446" s="14">
        <v>735</v>
      </c>
      <c r="N446" s="12">
        <v>18.03</v>
      </c>
      <c r="O446" s="12" t="s">
        <v>1776</v>
      </c>
      <c r="P446" s="12">
        <v>2.9003691817677301E-3</v>
      </c>
      <c r="Q446" s="12">
        <v>1.55886257705719E-2</v>
      </c>
      <c r="R446" s="12">
        <v>7.9637096774193505E-2</v>
      </c>
      <c r="S446" s="14">
        <v>33</v>
      </c>
      <c r="T446" s="12">
        <v>1.08305295497703</v>
      </c>
      <c r="U446" s="14">
        <v>560</v>
      </c>
      <c r="V446" s="14">
        <v>4</v>
      </c>
      <c r="W446" s="12">
        <v>5.7999999999999996E-3</v>
      </c>
      <c r="X446" s="12">
        <v>1.0888529549770301</v>
      </c>
      <c r="Y446" s="14">
        <v>560</v>
      </c>
      <c r="Z446" s="14">
        <v>32</v>
      </c>
      <c r="AA446" s="12" t="s">
        <v>2367</v>
      </c>
    </row>
    <row r="447" spans="1:27" ht="14.25" x14ac:dyDescent="0.45">
      <c r="A447" s="12" t="s">
        <v>1779</v>
      </c>
      <c r="B447" s="12" t="s">
        <v>1971</v>
      </c>
      <c r="C447" s="12" t="s">
        <v>1972</v>
      </c>
      <c r="D447" s="12" t="s">
        <v>1993</v>
      </c>
      <c r="E447" s="20">
        <v>32451</v>
      </c>
      <c r="F447" s="20">
        <v>44314</v>
      </c>
      <c r="G447" s="12">
        <v>0.32</v>
      </c>
      <c r="H447" s="12">
        <v>8.2333333333333307</v>
      </c>
      <c r="I447" s="13">
        <v>3.8866396761133598E-2</v>
      </c>
      <c r="J447" s="12" t="s">
        <v>1779</v>
      </c>
      <c r="K447" s="14">
        <v>1631</v>
      </c>
      <c r="L447" s="14">
        <v>1234</v>
      </c>
      <c r="M447" s="14">
        <v>1730</v>
      </c>
      <c r="N447" s="12">
        <v>0.32</v>
      </c>
      <c r="O447" s="12" t="s">
        <v>1779</v>
      </c>
      <c r="P447" s="12">
        <v>5.1476324912128303E-5</v>
      </c>
      <c r="Q447" s="12">
        <v>1.7697919548393599E-4</v>
      </c>
      <c r="R447" s="12">
        <v>0.124495967741935</v>
      </c>
      <c r="S447" s="14">
        <v>34</v>
      </c>
      <c r="T447" s="12">
        <v>1.2991561901950799E-2</v>
      </c>
      <c r="U447" s="14">
        <v>1733</v>
      </c>
      <c r="V447" s="14">
        <v>1</v>
      </c>
      <c r="W447" s="12">
        <v>5.4999999999999997E-3</v>
      </c>
      <c r="X447" s="12">
        <v>1.8491561901950799E-2</v>
      </c>
      <c r="Y447" s="14">
        <v>1733</v>
      </c>
      <c r="Z447" s="14">
        <v>33</v>
      </c>
      <c r="AA447" s="12" t="s">
        <v>2367</v>
      </c>
    </row>
    <row r="448" spans="1:27" ht="14.25" x14ac:dyDescent="0.45">
      <c r="A448" s="12" t="s">
        <v>1781</v>
      </c>
      <c r="B448" s="12" t="s">
        <v>1971</v>
      </c>
      <c r="C448" s="12" t="s">
        <v>1972</v>
      </c>
      <c r="D448" s="12" t="s">
        <v>1975</v>
      </c>
      <c r="E448" s="20">
        <v>35050</v>
      </c>
      <c r="F448" s="20">
        <v>44287</v>
      </c>
      <c r="G448" s="12">
        <v>26.05</v>
      </c>
      <c r="H448" s="12">
        <v>9.1333333333333293</v>
      </c>
      <c r="I448" s="13">
        <v>2.8521897810219001</v>
      </c>
      <c r="J448" s="12" t="s">
        <v>1781</v>
      </c>
      <c r="K448" s="14">
        <v>566</v>
      </c>
      <c r="L448" s="14">
        <v>1119</v>
      </c>
      <c r="M448" s="14">
        <v>676</v>
      </c>
      <c r="N448" s="12">
        <v>26.05</v>
      </c>
      <c r="O448" s="12" t="s">
        <v>1781</v>
      </c>
      <c r="P448" s="12">
        <v>4.1904945748779399E-3</v>
      </c>
      <c r="Q448" s="12">
        <v>1.29875237963282E-2</v>
      </c>
      <c r="R448" s="12">
        <v>0.13810483870967699</v>
      </c>
      <c r="S448" s="14">
        <v>27</v>
      </c>
      <c r="T448" s="12">
        <v>0.96886378382843796</v>
      </c>
      <c r="U448" s="14">
        <v>578</v>
      </c>
      <c r="V448" s="14">
        <v>2</v>
      </c>
      <c r="W448" s="12">
        <v>5.5999999999999999E-3</v>
      </c>
      <c r="X448" s="12">
        <v>0.97446378382843801</v>
      </c>
      <c r="Y448" s="14">
        <v>578</v>
      </c>
      <c r="Z448" s="14">
        <v>26</v>
      </c>
      <c r="AA448" s="12" t="s">
        <v>2367</v>
      </c>
    </row>
    <row r="449" spans="1:27" ht="14.25" x14ac:dyDescent="0.45">
      <c r="A449" s="12" t="s">
        <v>1785</v>
      </c>
      <c r="B449" s="12" t="s">
        <v>1971</v>
      </c>
      <c r="C449" s="12" t="s">
        <v>1972</v>
      </c>
      <c r="D449" s="12" t="s">
        <v>1975</v>
      </c>
      <c r="E449" s="20">
        <v>34740</v>
      </c>
      <c r="F449" s="20">
        <v>44337</v>
      </c>
      <c r="G449" s="12">
        <v>0.64</v>
      </c>
      <c r="H449" s="12">
        <v>7.4666666666666703</v>
      </c>
      <c r="I449" s="13">
        <v>8.5714285714285701E-2</v>
      </c>
      <c r="J449" s="12" t="s">
        <v>1785</v>
      </c>
      <c r="K449" s="14">
        <v>1533</v>
      </c>
      <c r="L449" s="14">
        <v>1428</v>
      </c>
      <c r="M449" s="14">
        <v>1645</v>
      </c>
      <c r="N449" s="12">
        <v>0.64</v>
      </c>
      <c r="O449" s="12" t="s">
        <v>1785</v>
      </c>
      <c r="P449" s="12">
        <v>1.02952649824257E-4</v>
      </c>
      <c r="Q449" s="12">
        <v>3.90302332897608E-4</v>
      </c>
      <c r="R449" s="12">
        <v>0.112903225806452</v>
      </c>
      <c r="S449" s="14">
        <v>27</v>
      </c>
      <c r="T449" s="12">
        <v>2.8254620174510098E-2</v>
      </c>
      <c r="U449" s="14">
        <v>1635</v>
      </c>
      <c r="V449" s="14">
        <v>1</v>
      </c>
      <c r="W449" s="12">
        <v>5.4999999999999997E-3</v>
      </c>
      <c r="X449" s="12">
        <v>3.37546201745101E-2</v>
      </c>
      <c r="Y449" s="14">
        <v>1635</v>
      </c>
      <c r="Z449" s="14">
        <v>27</v>
      </c>
      <c r="AA449" s="12" t="s">
        <v>2367</v>
      </c>
    </row>
    <row r="450" spans="1:27" ht="14.25" x14ac:dyDescent="0.45">
      <c r="A450" s="12" t="s">
        <v>1787</v>
      </c>
      <c r="B450" s="12" t="s">
        <v>1971</v>
      </c>
      <c r="C450" s="12" t="s">
        <v>1972</v>
      </c>
      <c r="D450" s="12" t="s">
        <v>1987</v>
      </c>
      <c r="E450" s="20">
        <v>34613</v>
      </c>
      <c r="F450" s="20">
        <v>44404</v>
      </c>
      <c r="G450" s="12">
        <v>1.92</v>
      </c>
      <c r="H450" s="12">
        <v>5.2333333333333298</v>
      </c>
      <c r="I450" s="13">
        <v>0.36687898089172</v>
      </c>
      <c r="J450" s="12" t="s">
        <v>1787</v>
      </c>
      <c r="K450" s="14">
        <v>1170</v>
      </c>
      <c r="L450" s="14">
        <v>1697</v>
      </c>
      <c r="M450" s="14">
        <v>1426</v>
      </c>
      <c r="N450" s="12">
        <v>1.92</v>
      </c>
      <c r="O450" s="12" t="s">
        <v>1787</v>
      </c>
      <c r="P450" s="12">
        <v>3.0885794947276999E-4</v>
      </c>
      <c r="Q450" s="12">
        <v>1.6705934248865801E-3</v>
      </c>
      <c r="R450" s="12">
        <v>7.9133064516129004E-2</v>
      </c>
      <c r="S450" s="14">
        <v>28</v>
      </c>
      <c r="T450" s="12">
        <v>0.11599426216064</v>
      </c>
      <c r="U450" s="14">
        <v>1239</v>
      </c>
      <c r="V450" s="14">
        <v>1</v>
      </c>
      <c r="W450" s="12">
        <v>5.4999999999999997E-3</v>
      </c>
      <c r="X450" s="12">
        <v>0.12149426216063999</v>
      </c>
      <c r="Y450" s="14">
        <v>1239</v>
      </c>
      <c r="Z450" s="14">
        <v>27</v>
      </c>
      <c r="AA450" s="12" t="s">
        <v>2367</v>
      </c>
    </row>
    <row r="451" spans="1:27" ht="14.25" x14ac:dyDescent="0.45">
      <c r="A451" s="12" t="s">
        <v>1791</v>
      </c>
      <c r="B451" s="12" t="s">
        <v>1971</v>
      </c>
      <c r="C451" s="12" t="s">
        <v>1972</v>
      </c>
      <c r="D451" s="12" t="s">
        <v>2007</v>
      </c>
      <c r="E451" s="20">
        <v>35586</v>
      </c>
      <c r="F451" s="20">
        <v>44389</v>
      </c>
      <c r="G451" s="12">
        <v>1.95</v>
      </c>
      <c r="H451" s="12">
        <v>5.7333333333333298</v>
      </c>
      <c r="I451" s="13">
        <v>0.34011627906976699</v>
      </c>
      <c r="J451" s="12" t="s">
        <v>1791</v>
      </c>
      <c r="K451" s="14">
        <v>1197</v>
      </c>
      <c r="L451" s="14">
        <v>1660</v>
      </c>
      <c r="M451" s="14">
        <v>1423</v>
      </c>
      <c r="N451" s="12">
        <v>1.95</v>
      </c>
      <c r="O451" s="12" t="s">
        <v>1791</v>
      </c>
      <c r="P451" s="12">
        <v>3.1368385493328198E-4</v>
      </c>
      <c r="Q451" s="12">
        <v>1.54872873373615E-3</v>
      </c>
      <c r="R451" s="12">
        <v>8.6693548387096794E-2</v>
      </c>
      <c r="S451" s="14">
        <v>25</v>
      </c>
      <c r="T451" s="12">
        <v>0.10855869041850701</v>
      </c>
      <c r="U451" s="14">
        <v>1267</v>
      </c>
      <c r="V451" s="14">
        <v>1</v>
      </c>
      <c r="W451" s="12">
        <v>5.4999999999999997E-3</v>
      </c>
      <c r="X451" s="12">
        <v>0.114058690418507</v>
      </c>
      <c r="Y451" s="14">
        <v>1267</v>
      </c>
      <c r="Z451" s="14">
        <v>25</v>
      </c>
      <c r="AA451" s="12" t="s">
        <v>2367</v>
      </c>
    </row>
    <row r="452" spans="1:27" ht="14.25" x14ac:dyDescent="0.45">
      <c r="A452" s="12" t="s">
        <v>1800</v>
      </c>
      <c r="B452" s="12" t="s">
        <v>1971</v>
      </c>
      <c r="C452" s="12" t="s">
        <v>1972</v>
      </c>
      <c r="D452" s="12" t="s">
        <v>1990</v>
      </c>
      <c r="E452" s="20">
        <v>34850</v>
      </c>
      <c r="F452" s="20">
        <v>44400</v>
      </c>
      <c r="G452" s="12">
        <v>0.95</v>
      </c>
      <c r="H452" s="12">
        <v>5.3666666666666698</v>
      </c>
      <c r="I452" s="13">
        <v>0.177018633540373</v>
      </c>
      <c r="J452" s="12" t="s">
        <v>1800</v>
      </c>
      <c r="K452" s="14">
        <v>1374</v>
      </c>
      <c r="L452" s="14">
        <v>1690</v>
      </c>
      <c r="M452" s="14">
        <v>1568</v>
      </c>
      <c r="N452" s="12">
        <v>0.95</v>
      </c>
      <c r="O452" s="12" t="s">
        <v>1800</v>
      </c>
      <c r="P452" s="12">
        <v>1.5282033958288101E-4</v>
      </c>
      <c r="Q452" s="12">
        <v>8.0605916576679897E-4</v>
      </c>
      <c r="R452" s="12">
        <v>8.1149193548387094E-2</v>
      </c>
      <c r="S452" s="14">
        <v>27</v>
      </c>
      <c r="T452" s="12">
        <v>5.6109460594783001E-2</v>
      </c>
      <c r="U452" s="14">
        <v>1496</v>
      </c>
      <c r="V452" s="14">
        <v>1</v>
      </c>
      <c r="W452" s="12">
        <v>5.4999999999999997E-3</v>
      </c>
      <c r="X452" s="12">
        <v>6.1609460594782998E-2</v>
      </c>
      <c r="Y452" s="14">
        <v>1496</v>
      </c>
      <c r="Z452" s="14">
        <v>27</v>
      </c>
      <c r="AA452" s="12" t="s">
        <v>2367</v>
      </c>
    </row>
    <row r="453" spans="1:27" ht="14.25" x14ac:dyDescent="0.45">
      <c r="A453" s="12" t="s">
        <v>1811</v>
      </c>
      <c r="B453" s="12" t="s">
        <v>1971</v>
      </c>
      <c r="C453" s="12" t="s">
        <v>1972</v>
      </c>
      <c r="D453" s="12" t="s">
        <v>1975</v>
      </c>
      <c r="E453" s="20">
        <v>34984</v>
      </c>
      <c r="F453" s="20">
        <v>44221</v>
      </c>
      <c r="G453" s="12">
        <v>1.95</v>
      </c>
      <c r="H453" s="12">
        <v>11.3333333333333</v>
      </c>
      <c r="I453" s="13">
        <v>0.17205882352941201</v>
      </c>
      <c r="J453" s="12" t="s">
        <v>1811</v>
      </c>
      <c r="K453" s="14">
        <v>1379</v>
      </c>
      <c r="L453" s="14">
        <v>860</v>
      </c>
      <c r="M453" s="14">
        <v>1423</v>
      </c>
      <c r="N453" s="12">
        <v>1.95</v>
      </c>
      <c r="O453" s="12" t="s">
        <v>1811</v>
      </c>
      <c r="P453" s="12">
        <v>3.1368385493328198E-4</v>
      </c>
      <c r="Q453" s="12">
        <v>7.8347453589005102E-4</v>
      </c>
      <c r="R453" s="12">
        <v>0.171370967741935</v>
      </c>
      <c r="S453" s="14">
        <v>27</v>
      </c>
      <c r="T453" s="12">
        <v>6.0730303053126301E-2</v>
      </c>
      <c r="U453" s="14">
        <v>1478</v>
      </c>
      <c r="V453" s="14">
        <v>6</v>
      </c>
      <c r="W453" s="12">
        <v>6.0000000000000001E-3</v>
      </c>
      <c r="X453" s="12">
        <v>6.67303030531263E-2</v>
      </c>
      <c r="Y453" s="14">
        <v>1476</v>
      </c>
      <c r="Z453" s="14">
        <v>26</v>
      </c>
      <c r="AA453" s="12" t="s">
        <v>2367</v>
      </c>
    </row>
    <row r="454" spans="1:27" ht="14.25" x14ac:dyDescent="0.45">
      <c r="A454" s="12" t="s">
        <v>1816</v>
      </c>
      <c r="B454" s="12" t="s">
        <v>1971</v>
      </c>
      <c r="C454" s="12" t="s">
        <v>1972</v>
      </c>
      <c r="D454" s="12" t="s">
        <v>2072</v>
      </c>
      <c r="E454" s="20">
        <v>32520</v>
      </c>
      <c r="F454" s="20">
        <v>43721</v>
      </c>
      <c r="G454" s="12">
        <v>0.02</v>
      </c>
      <c r="H454" s="12">
        <v>28</v>
      </c>
      <c r="I454" s="13">
        <v>7.1428571428571396E-4</v>
      </c>
      <c r="J454" s="12" t="s">
        <v>1816</v>
      </c>
      <c r="K454" s="14">
        <v>1840</v>
      </c>
      <c r="L454" s="14">
        <v>290</v>
      </c>
      <c r="M454" s="14">
        <v>1922</v>
      </c>
      <c r="N454" s="12">
        <v>0.02</v>
      </c>
      <c r="O454" s="12" t="s">
        <v>1816</v>
      </c>
      <c r="P454" s="12">
        <v>3.2172703070080202E-6</v>
      </c>
      <c r="Q454" s="12">
        <v>3.2525194408133998E-6</v>
      </c>
      <c r="R454" s="12">
        <v>0.42338709677419401</v>
      </c>
      <c r="S454" s="14">
        <v>33</v>
      </c>
      <c r="T454" s="12">
        <v>3.2393010156363798E-4</v>
      </c>
      <c r="U454" s="14">
        <v>1952</v>
      </c>
      <c r="V454" s="14">
        <v>1</v>
      </c>
      <c r="W454" s="12">
        <v>5.4999999999999997E-3</v>
      </c>
      <c r="X454" s="12">
        <v>5.82393010156364E-3</v>
      </c>
      <c r="Y454" s="14">
        <v>1952</v>
      </c>
      <c r="Z454" s="14">
        <v>33</v>
      </c>
      <c r="AA454" s="12" t="s">
        <v>2367</v>
      </c>
    </row>
    <row r="455" spans="1:27" ht="14.25" x14ac:dyDescent="0.45">
      <c r="A455" s="12" t="s">
        <v>1821</v>
      </c>
      <c r="B455" s="12" t="s">
        <v>1971</v>
      </c>
      <c r="C455" s="12" t="s">
        <v>1972</v>
      </c>
      <c r="D455" s="12" t="s">
        <v>2070</v>
      </c>
      <c r="E455" s="20">
        <v>33764</v>
      </c>
      <c r="F455" s="20">
        <v>43735</v>
      </c>
      <c r="G455" s="12">
        <v>2.94</v>
      </c>
      <c r="H455" s="12">
        <v>27.533333333333299</v>
      </c>
      <c r="I455" s="13">
        <v>0.106779661016949</v>
      </c>
      <c r="J455" s="12" t="s">
        <v>1821</v>
      </c>
      <c r="K455" s="14">
        <v>1472</v>
      </c>
      <c r="L455" s="14">
        <v>297</v>
      </c>
      <c r="M455" s="14">
        <v>1237</v>
      </c>
      <c r="N455" s="12">
        <v>2.94</v>
      </c>
      <c r="O455" s="12" t="s">
        <v>1821</v>
      </c>
      <c r="P455" s="12">
        <v>4.7293873513017901E-4</v>
      </c>
      <c r="Q455" s="12">
        <v>4.8622409267752798E-4</v>
      </c>
      <c r="R455" s="12">
        <v>0.41633064516128998</v>
      </c>
      <c r="S455" s="14">
        <v>30</v>
      </c>
      <c r="T455" s="12">
        <v>4.8124208359727201E-2</v>
      </c>
      <c r="U455" s="14">
        <v>1529</v>
      </c>
      <c r="V455" s="14">
        <v>1</v>
      </c>
      <c r="W455" s="12">
        <v>5.4999999999999997E-3</v>
      </c>
      <c r="X455" s="12">
        <v>5.3624208359727199E-2</v>
      </c>
      <c r="Y455" s="14">
        <v>1529</v>
      </c>
      <c r="Z455" s="14">
        <v>30</v>
      </c>
      <c r="AA455" s="12" t="s">
        <v>2367</v>
      </c>
    </row>
    <row r="456" spans="1:27" ht="14.25" x14ac:dyDescent="0.45">
      <c r="A456" s="12" t="s">
        <v>1823</v>
      </c>
      <c r="B456" s="12" t="s">
        <v>1971</v>
      </c>
      <c r="C456" s="12" t="s">
        <v>1972</v>
      </c>
      <c r="D456" s="12" t="s">
        <v>1997</v>
      </c>
      <c r="E456" s="20">
        <v>34999</v>
      </c>
      <c r="F456" s="20">
        <v>44278</v>
      </c>
      <c r="G456" s="12">
        <v>3.83</v>
      </c>
      <c r="H456" s="12">
        <v>9.43333333333333</v>
      </c>
      <c r="I456" s="13">
        <v>0.40600706713780899</v>
      </c>
      <c r="J456" s="12" t="s">
        <v>1823</v>
      </c>
      <c r="K456" s="14">
        <v>1133</v>
      </c>
      <c r="L456" s="14">
        <v>1048</v>
      </c>
      <c r="M456" s="14">
        <v>1134</v>
      </c>
      <c r="N456" s="12">
        <v>3.83</v>
      </c>
      <c r="O456" s="12" t="s">
        <v>1823</v>
      </c>
      <c r="P456" s="12">
        <v>6.1610726379203505E-4</v>
      </c>
      <c r="Q456" s="12">
        <v>1.8487642305626999E-3</v>
      </c>
      <c r="R456" s="12">
        <v>0.14264112903225801</v>
      </c>
      <c r="S456" s="14">
        <v>27</v>
      </c>
      <c r="T456" s="12">
        <v>0.13865178680237</v>
      </c>
      <c r="U456" s="14">
        <v>1187</v>
      </c>
      <c r="V456" s="14">
        <v>2</v>
      </c>
      <c r="W456" s="12">
        <v>5.5999999999999999E-3</v>
      </c>
      <c r="X456" s="12">
        <v>0.14425178680237</v>
      </c>
      <c r="Y456" s="14">
        <v>1187</v>
      </c>
      <c r="Z456" s="14">
        <v>26</v>
      </c>
      <c r="AA456" s="12" t="s">
        <v>2367</v>
      </c>
    </row>
    <row r="457" spans="1:27" ht="14.25" x14ac:dyDescent="0.45">
      <c r="A457" s="12" t="s">
        <v>1839</v>
      </c>
      <c r="B457" s="12" t="s">
        <v>1971</v>
      </c>
      <c r="C457" s="12" t="s">
        <v>1972</v>
      </c>
      <c r="D457" s="12" t="s">
        <v>1975</v>
      </c>
      <c r="E457" s="20">
        <v>34635</v>
      </c>
      <c r="F457" s="20">
        <v>44371</v>
      </c>
      <c r="G457" s="12">
        <v>0.71</v>
      </c>
      <c r="H457" s="12">
        <v>6.3333333333333304</v>
      </c>
      <c r="I457" s="13">
        <v>0.112105263157895</v>
      </c>
      <c r="J457" s="12" t="s">
        <v>1839</v>
      </c>
      <c r="K457" s="14">
        <v>1464</v>
      </c>
      <c r="L457" s="14">
        <v>1557</v>
      </c>
      <c r="M457" s="14">
        <v>1624</v>
      </c>
      <c r="N457" s="12">
        <v>0.71</v>
      </c>
      <c r="O457" s="12" t="s">
        <v>1839</v>
      </c>
      <c r="P457" s="12">
        <v>1.1421309589878501E-4</v>
      </c>
      <c r="Q457" s="12">
        <v>5.1047436697397705E-4</v>
      </c>
      <c r="R457" s="12">
        <v>9.5766129032257993E-2</v>
      </c>
      <c r="S457" s="14">
        <v>28</v>
      </c>
      <c r="T457" s="12">
        <v>3.6187639032078001E-2</v>
      </c>
      <c r="U457" s="14">
        <v>1577</v>
      </c>
      <c r="V457" s="14">
        <v>1</v>
      </c>
      <c r="W457" s="12">
        <v>5.4999999999999997E-3</v>
      </c>
      <c r="X457" s="12">
        <v>4.1687639032077999E-2</v>
      </c>
      <c r="Y457" s="14">
        <v>1577</v>
      </c>
      <c r="Z457" s="14">
        <v>27</v>
      </c>
      <c r="AA457" s="12" t="s">
        <v>2367</v>
      </c>
    </row>
    <row r="458" spans="1:27" ht="14.25" x14ac:dyDescent="0.45">
      <c r="A458" s="12" t="s">
        <v>1841</v>
      </c>
      <c r="B458" s="12" t="s">
        <v>1971</v>
      </c>
      <c r="C458" s="12" t="s">
        <v>1972</v>
      </c>
      <c r="D458" s="12" t="s">
        <v>1993</v>
      </c>
      <c r="E458" s="20">
        <v>33188</v>
      </c>
      <c r="F458" s="20">
        <v>44064</v>
      </c>
      <c r="G458" s="12">
        <v>0.09</v>
      </c>
      <c r="H458" s="12">
        <v>16.566666666666698</v>
      </c>
      <c r="I458" s="13">
        <v>5.4325955734406397E-3</v>
      </c>
      <c r="J458" s="12" t="s">
        <v>1841</v>
      </c>
      <c r="K458" s="14">
        <v>1775</v>
      </c>
      <c r="L458" s="14">
        <v>473</v>
      </c>
      <c r="M458" s="14">
        <v>1839</v>
      </c>
      <c r="N458" s="12">
        <v>0.09</v>
      </c>
      <c r="O458" s="12" t="s">
        <v>1841</v>
      </c>
      <c r="P458" s="12">
        <v>1.44777163815361E-5</v>
      </c>
      <c r="Q458" s="12">
        <v>2.4737471803369499E-5</v>
      </c>
      <c r="R458" s="12">
        <v>0.250504032258065</v>
      </c>
      <c r="S458" s="14">
        <v>32</v>
      </c>
      <c r="T458" s="12">
        <v>2.0890063520182002E-3</v>
      </c>
      <c r="U458" s="14">
        <v>1875</v>
      </c>
      <c r="V458" s="14">
        <v>1</v>
      </c>
      <c r="W458" s="12">
        <v>5.4999999999999997E-3</v>
      </c>
      <c r="X458" s="12">
        <v>7.5890063520181999E-3</v>
      </c>
      <c r="Y458" s="14">
        <v>1875</v>
      </c>
      <c r="Z458" s="14">
        <v>31</v>
      </c>
      <c r="AA458" s="12" t="s">
        <v>2367</v>
      </c>
    </row>
    <row r="459" spans="1:27" ht="14.25" x14ac:dyDescent="0.45">
      <c r="A459" s="12" t="s">
        <v>1846</v>
      </c>
      <c r="B459" s="12" t="s">
        <v>1971</v>
      </c>
      <c r="C459" s="12" t="s">
        <v>1972</v>
      </c>
      <c r="D459" s="12" t="s">
        <v>1997</v>
      </c>
      <c r="E459" s="20">
        <v>35346</v>
      </c>
      <c r="F459" s="20">
        <v>44389</v>
      </c>
      <c r="G459" s="12">
        <v>3.78</v>
      </c>
      <c r="H459" s="12">
        <v>5.7333333333333298</v>
      </c>
      <c r="I459" s="13">
        <v>0.65930232558139501</v>
      </c>
      <c r="J459" s="12" t="s">
        <v>1846</v>
      </c>
      <c r="K459" s="14">
        <v>959</v>
      </c>
      <c r="L459" s="14">
        <v>1660</v>
      </c>
      <c r="M459" s="14">
        <v>1139</v>
      </c>
      <c r="N459" s="12">
        <v>3.78</v>
      </c>
      <c r="O459" s="12" t="s">
        <v>1846</v>
      </c>
      <c r="P459" s="12">
        <v>6.0806408802451504E-4</v>
      </c>
      <c r="Q459" s="12">
        <v>3.0021510838577599E-3</v>
      </c>
      <c r="R459" s="12">
        <v>8.6693548387096794E-2</v>
      </c>
      <c r="S459" s="14">
        <v>26</v>
      </c>
      <c r="T459" s="12">
        <v>0.21043684604203</v>
      </c>
      <c r="U459" s="14">
        <v>1026</v>
      </c>
      <c r="V459" s="14">
        <v>2</v>
      </c>
      <c r="W459" s="12">
        <v>5.5999999999999999E-3</v>
      </c>
      <c r="X459" s="12">
        <v>0.216036846042029</v>
      </c>
      <c r="Y459" s="14">
        <v>1026</v>
      </c>
      <c r="Z459" s="14">
        <v>25</v>
      </c>
      <c r="AA459" s="12" t="s">
        <v>2367</v>
      </c>
    </row>
    <row r="460" spans="1:27" ht="14.25" x14ac:dyDescent="0.45">
      <c r="A460" s="12" t="s">
        <v>1849</v>
      </c>
      <c r="B460" s="12" t="s">
        <v>1971</v>
      </c>
      <c r="C460" s="12" t="s">
        <v>1972</v>
      </c>
      <c r="D460" s="12" t="s">
        <v>1975</v>
      </c>
      <c r="E460" s="20">
        <v>32862</v>
      </c>
      <c r="F460" s="20">
        <v>44476</v>
      </c>
      <c r="G460" s="12">
        <v>61.53</v>
      </c>
      <c r="H460" s="12">
        <v>2.8333333333333299</v>
      </c>
      <c r="I460" s="13">
        <v>21.7164705882353</v>
      </c>
      <c r="J460" s="12" t="s">
        <v>1849</v>
      </c>
      <c r="K460" s="14">
        <v>124</v>
      </c>
      <c r="L460" s="14">
        <v>1891</v>
      </c>
      <c r="M460" s="14">
        <v>448</v>
      </c>
      <c r="N460" s="12">
        <v>61.53</v>
      </c>
      <c r="O460" s="12" t="s">
        <v>1849</v>
      </c>
      <c r="P460" s="12">
        <v>9.8979320995101708E-3</v>
      </c>
      <c r="Q460" s="12">
        <v>9.8886539883722702E-2</v>
      </c>
      <c r="R460" s="12">
        <v>4.2842741935483902E-2</v>
      </c>
      <c r="S460" s="14">
        <v>33</v>
      </c>
      <c r="T460" s="12">
        <v>6.5515811964642996</v>
      </c>
      <c r="U460" s="14">
        <v>202</v>
      </c>
      <c r="V460" s="14">
        <v>1</v>
      </c>
      <c r="W460" s="12">
        <v>5.4999999999999997E-3</v>
      </c>
      <c r="X460" s="12">
        <v>6.5570811964643001</v>
      </c>
      <c r="Y460" s="14">
        <v>202</v>
      </c>
      <c r="Z460" s="14">
        <v>32</v>
      </c>
      <c r="AA460" s="12" t="s">
        <v>2367</v>
      </c>
    </row>
    <row r="461" spans="1:27" ht="14.25" x14ac:dyDescent="0.45">
      <c r="A461" s="12" t="s">
        <v>1868</v>
      </c>
      <c r="B461" s="12" t="s">
        <v>1971</v>
      </c>
      <c r="C461" s="12" t="s">
        <v>1972</v>
      </c>
      <c r="D461" s="12" t="s">
        <v>1993</v>
      </c>
      <c r="E461" s="20">
        <v>35360</v>
      </c>
      <c r="F461" s="20">
        <v>44487</v>
      </c>
      <c r="G461" s="12">
        <v>66.010000000000005</v>
      </c>
      <c r="H461" s="12">
        <v>2.4666666666666699</v>
      </c>
      <c r="I461" s="13">
        <v>26.760810810810799</v>
      </c>
      <c r="J461" s="12" t="s">
        <v>1868</v>
      </c>
      <c r="K461" s="14">
        <v>95</v>
      </c>
      <c r="L461" s="14">
        <v>1912</v>
      </c>
      <c r="M461" s="14">
        <v>436</v>
      </c>
      <c r="N461" s="12">
        <v>66.010000000000005</v>
      </c>
      <c r="O461" s="12" t="s">
        <v>1868</v>
      </c>
      <c r="P461" s="12">
        <v>1.061860064828E-2</v>
      </c>
      <c r="Q461" s="12">
        <v>0.121856080379728</v>
      </c>
      <c r="R461" s="12">
        <v>3.7298387096774202E-2</v>
      </c>
      <c r="S461" s="14">
        <v>26</v>
      </c>
      <c r="T461" s="12">
        <v>8.0142025480435102</v>
      </c>
      <c r="U461" s="14">
        <v>154</v>
      </c>
      <c r="V461" s="14">
        <v>2</v>
      </c>
      <c r="W461" s="12">
        <v>5.5999999999999999E-3</v>
      </c>
      <c r="X461" s="12">
        <v>8.0198025480435096</v>
      </c>
      <c r="Y461" s="14">
        <v>154</v>
      </c>
      <c r="Z461" s="14">
        <v>25</v>
      </c>
      <c r="AA461" s="12" t="s">
        <v>2367</v>
      </c>
    </row>
    <row r="462" spans="1:27" ht="14.25" x14ac:dyDescent="0.45">
      <c r="A462" s="12" t="s">
        <v>1871</v>
      </c>
      <c r="B462" s="12" t="s">
        <v>1971</v>
      </c>
      <c r="C462" s="12" t="s">
        <v>1972</v>
      </c>
      <c r="D462" s="12" t="s">
        <v>1993</v>
      </c>
      <c r="E462" s="20">
        <v>33224</v>
      </c>
      <c r="F462" s="20">
        <v>44516</v>
      </c>
      <c r="G462" s="12">
        <v>0.5</v>
      </c>
      <c r="H462" s="12">
        <v>1.5</v>
      </c>
      <c r="I462" s="13">
        <v>0.33333333333333298</v>
      </c>
      <c r="J462" s="12" t="s">
        <v>1871</v>
      </c>
      <c r="K462" s="14">
        <v>1203</v>
      </c>
      <c r="L462" s="14">
        <v>1935</v>
      </c>
      <c r="M462" s="14">
        <v>1689</v>
      </c>
      <c r="N462" s="12">
        <v>0.5</v>
      </c>
      <c r="O462" s="12" t="s">
        <v>1871</v>
      </c>
      <c r="P462" s="12">
        <v>8.0431757675200496E-5</v>
      </c>
      <c r="Q462" s="12">
        <v>1.51784240571292E-3</v>
      </c>
      <c r="R462" s="12">
        <v>2.2681451612903199E-2</v>
      </c>
      <c r="S462" s="14">
        <v>32</v>
      </c>
      <c r="T462" s="12">
        <v>9.7881341269877506E-2</v>
      </c>
      <c r="U462" s="14">
        <v>1296</v>
      </c>
      <c r="V462" s="14">
        <v>1</v>
      </c>
      <c r="W462" s="12">
        <v>5.4999999999999997E-3</v>
      </c>
      <c r="X462" s="12">
        <v>0.103381341269877</v>
      </c>
      <c r="Y462" s="14">
        <v>1296</v>
      </c>
      <c r="Z462" s="14">
        <v>31</v>
      </c>
      <c r="AA462" s="12" t="s">
        <v>2367</v>
      </c>
    </row>
    <row r="463" spans="1:27" ht="14.25" x14ac:dyDescent="0.45">
      <c r="A463" s="12" t="s">
        <v>1873</v>
      </c>
      <c r="B463" s="12" t="s">
        <v>1971</v>
      </c>
      <c r="C463" s="12" t="s">
        <v>1972</v>
      </c>
      <c r="D463" s="12" t="s">
        <v>2026</v>
      </c>
      <c r="E463" s="20">
        <v>32344</v>
      </c>
      <c r="F463" s="20">
        <v>44509</v>
      </c>
      <c r="G463" s="12">
        <v>2.92</v>
      </c>
      <c r="H463" s="12">
        <v>1.7333333333333301</v>
      </c>
      <c r="I463" s="13">
        <v>1.68461538461538</v>
      </c>
      <c r="J463" s="12" t="s">
        <v>1873</v>
      </c>
      <c r="K463" s="14">
        <v>706</v>
      </c>
      <c r="L463" s="14">
        <v>1929</v>
      </c>
      <c r="M463" s="14">
        <v>1238</v>
      </c>
      <c r="N463" s="12">
        <v>2.92</v>
      </c>
      <c r="O463" s="12" t="s">
        <v>1873</v>
      </c>
      <c r="P463" s="12">
        <v>4.6972146482317099E-4</v>
      </c>
      <c r="Q463" s="12">
        <v>7.6709420042568302E-3</v>
      </c>
      <c r="R463" s="12">
        <v>2.6209677419354802E-2</v>
      </c>
      <c r="S463" s="14">
        <v>34</v>
      </c>
      <c r="T463" s="12">
        <v>0.49704843019692102</v>
      </c>
      <c r="U463" s="14">
        <v>784</v>
      </c>
      <c r="V463" s="14">
        <v>1</v>
      </c>
      <c r="W463" s="12">
        <v>5.4999999999999997E-3</v>
      </c>
      <c r="X463" s="12">
        <v>0.50254843019692097</v>
      </c>
      <c r="Y463" s="14">
        <v>784</v>
      </c>
      <c r="Z463" s="14">
        <v>33</v>
      </c>
      <c r="AA463" s="12" t="s">
        <v>2367</v>
      </c>
    </row>
    <row r="464" spans="1:27" ht="14.25" x14ac:dyDescent="0.45">
      <c r="A464" s="12" t="s">
        <v>1884</v>
      </c>
      <c r="B464" s="12" t="s">
        <v>1971</v>
      </c>
      <c r="C464" s="12" t="s">
        <v>1972</v>
      </c>
      <c r="D464" s="12" t="s">
        <v>1987</v>
      </c>
      <c r="E464" s="20">
        <v>33262</v>
      </c>
      <c r="F464" s="20">
        <v>44543</v>
      </c>
      <c r="G464" s="12">
        <v>10.77</v>
      </c>
      <c r="H464" s="12">
        <v>0.6</v>
      </c>
      <c r="I464" s="13">
        <v>17.95</v>
      </c>
      <c r="J464" s="12" t="s">
        <v>1884</v>
      </c>
      <c r="K464" s="14">
        <v>153</v>
      </c>
      <c r="L464" s="14">
        <v>1955</v>
      </c>
      <c r="M464" s="14">
        <v>831</v>
      </c>
      <c r="N464" s="12">
        <v>10.77</v>
      </c>
      <c r="O464" s="12" t="s">
        <v>1884</v>
      </c>
      <c r="P464" s="12">
        <v>1.73250006032382E-3</v>
      </c>
      <c r="Q464" s="12">
        <v>8.1735813547640701E-2</v>
      </c>
      <c r="R464" s="12">
        <v>9.0725806451612892E-3</v>
      </c>
      <c r="S464" s="14">
        <v>31</v>
      </c>
      <c r="T464" s="12">
        <v>5.1734570989896902</v>
      </c>
      <c r="U464" s="14">
        <v>255</v>
      </c>
      <c r="V464" s="14">
        <v>2</v>
      </c>
      <c r="W464" s="12">
        <v>5.5999999999999999E-3</v>
      </c>
      <c r="X464" s="12">
        <v>5.1790570989896896</v>
      </c>
      <c r="Y464" s="14">
        <v>255</v>
      </c>
      <c r="Z464" s="14">
        <v>31</v>
      </c>
      <c r="AA464" s="12" t="s">
        <v>2367</v>
      </c>
    </row>
    <row r="465" spans="1:27" ht="14.25" x14ac:dyDescent="0.45">
      <c r="A465" s="12" t="s">
        <v>1886</v>
      </c>
      <c r="B465" s="12" t="s">
        <v>1971</v>
      </c>
      <c r="C465" s="12" t="s">
        <v>1972</v>
      </c>
      <c r="D465" s="12" t="s">
        <v>1997</v>
      </c>
      <c r="E465" s="20">
        <v>34839</v>
      </c>
      <c r="F465" s="20">
        <v>44466</v>
      </c>
      <c r="G465" s="12">
        <v>7.3</v>
      </c>
      <c r="H465" s="12">
        <v>3.1666666666666701</v>
      </c>
      <c r="I465" s="13">
        <v>2.30526315789474</v>
      </c>
      <c r="J465" s="12" t="s">
        <v>1886</v>
      </c>
      <c r="K465" s="14">
        <v>618</v>
      </c>
      <c r="L465" s="14">
        <v>1886</v>
      </c>
      <c r="M465" s="14">
        <v>908</v>
      </c>
      <c r="N465" s="12">
        <v>7.3</v>
      </c>
      <c r="O465" s="12" t="s">
        <v>1886</v>
      </c>
      <c r="P465" s="12">
        <v>1.17430366205793E-3</v>
      </c>
      <c r="Q465" s="12">
        <v>1.0497078532140901E-2</v>
      </c>
      <c r="R465" s="12">
        <v>4.7883064516128997E-2</v>
      </c>
      <c r="S465" s="14">
        <v>27</v>
      </c>
      <c r="T465" s="12">
        <v>0.70010379558598002</v>
      </c>
      <c r="U465" s="14">
        <v>712</v>
      </c>
      <c r="V465" s="14">
        <v>1</v>
      </c>
      <c r="W465" s="12">
        <v>5.4999999999999997E-3</v>
      </c>
      <c r="X465" s="12">
        <v>0.70560379558597996</v>
      </c>
      <c r="Y465" s="14">
        <v>712</v>
      </c>
      <c r="Z465" s="14">
        <v>27</v>
      </c>
      <c r="AA465" s="12" t="s">
        <v>2367</v>
      </c>
    </row>
    <row r="466" spans="1:27" ht="14.25" x14ac:dyDescent="0.45">
      <c r="A466" s="12" t="s">
        <v>1888</v>
      </c>
      <c r="B466" s="12" t="s">
        <v>1971</v>
      </c>
      <c r="C466" s="12" t="s">
        <v>1972</v>
      </c>
      <c r="D466" s="12" t="s">
        <v>1990</v>
      </c>
      <c r="E466" s="20">
        <v>33860</v>
      </c>
      <c r="F466" s="20">
        <v>44406</v>
      </c>
      <c r="G466" s="12">
        <v>7.0000000000000007E-2</v>
      </c>
      <c r="H466" s="12">
        <v>5.1666666666666696</v>
      </c>
      <c r="I466" s="13">
        <v>1.35483870967742E-2</v>
      </c>
      <c r="J466" s="12" t="s">
        <v>1888</v>
      </c>
      <c r="K466" s="14">
        <v>1717</v>
      </c>
      <c r="L466" s="14">
        <v>1715</v>
      </c>
      <c r="M466" s="14">
        <v>1859</v>
      </c>
      <c r="N466" s="12">
        <v>7.0000000000000007E-2</v>
      </c>
      <c r="O466" s="12" t="s">
        <v>1888</v>
      </c>
      <c r="P466" s="12">
        <v>1.12604460745281E-5</v>
      </c>
      <c r="Q466" s="12">
        <v>6.1692949393492904E-5</v>
      </c>
      <c r="R466" s="12">
        <v>7.8125E-2</v>
      </c>
      <c r="S466" s="14">
        <v>30</v>
      </c>
      <c r="T466" s="12">
        <v>4.2780760648881101E-3</v>
      </c>
      <c r="U466" s="14">
        <v>1830</v>
      </c>
      <c r="V466" s="14">
        <v>1</v>
      </c>
      <c r="W466" s="12">
        <v>5.4999999999999997E-3</v>
      </c>
      <c r="X466" s="12">
        <v>9.7780760648881106E-3</v>
      </c>
      <c r="Y466" s="14">
        <v>1831</v>
      </c>
      <c r="Z466" s="14">
        <v>29</v>
      </c>
      <c r="AA466" s="12" t="s">
        <v>2367</v>
      </c>
    </row>
    <row r="467" spans="1:27" ht="14.25" x14ac:dyDescent="0.45">
      <c r="A467" s="12" t="s">
        <v>1894</v>
      </c>
      <c r="B467" s="12" t="s">
        <v>1971</v>
      </c>
      <c r="C467" s="12" t="s">
        <v>1972</v>
      </c>
      <c r="D467" s="12" t="s">
        <v>2072</v>
      </c>
      <c r="E467" s="20">
        <v>35079</v>
      </c>
      <c r="F467" s="20">
        <v>44336</v>
      </c>
      <c r="G467" s="12">
        <v>0.08</v>
      </c>
      <c r="H467" s="12">
        <v>7.5</v>
      </c>
      <c r="I467" s="13">
        <v>1.0666666666666699E-2</v>
      </c>
      <c r="J467" s="12" t="s">
        <v>1894</v>
      </c>
      <c r="K467" s="14">
        <v>1742</v>
      </c>
      <c r="L467" s="14">
        <v>1377</v>
      </c>
      <c r="M467" s="14">
        <v>1849</v>
      </c>
      <c r="N467" s="12">
        <v>0.08</v>
      </c>
      <c r="O467" s="12" t="s">
        <v>1894</v>
      </c>
      <c r="P467" s="12">
        <v>1.2869081228032099E-5</v>
      </c>
      <c r="Q467" s="12">
        <v>4.8570956982813399E-5</v>
      </c>
      <c r="R467" s="12">
        <v>0.113407258064516</v>
      </c>
      <c r="S467" s="14">
        <v>26</v>
      </c>
      <c r="T467" s="12">
        <v>3.5182753574770401E-3</v>
      </c>
      <c r="U467" s="14">
        <v>1848</v>
      </c>
      <c r="V467" s="14">
        <v>1</v>
      </c>
      <c r="W467" s="12">
        <v>5.4999999999999997E-3</v>
      </c>
      <c r="X467" s="12">
        <v>9.0182753574770402E-3</v>
      </c>
      <c r="Y467" s="14">
        <v>1848</v>
      </c>
      <c r="Z467" s="14">
        <v>26</v>
      </c>
      <c r="AA467" s="12" t="s">
        <v>2367</v>
      </c>
    </row>
    <row r="468" spans="1:27" ht="14.25" x14ac:dyDescent="0.45">
      <c r="A468" s="12" t="s">
        <v>1896</v>
      </c>
      <c r="B468" s="12" t="s">
        <v>1971</v>
      </c>
      <c r="C468" s="12" t="s">
        <v>1972</v>
      </c>
      <c r="D468" s="12" t="s">
        <v>1975</v>
      </c>
      <c r="E468" s="20">
        <v>34955</v>
      </c>
      <c r="F468" s="20">
        <v>44370</v>
      </c>
      <c r="G468" s="12">
        <v>3.3</v>
      </c>
      <c r="H468" s="12">
        <v>6.3666666666666698</v>
      </c>
      <c r="I468" s="13">
        <v>0.51832460732984298</v>
      </c>
      <c r="J468" s="12" t="s">
        <v>1896</v>
      </c>
      <c r="K468" s="14">
        <v>1037</v>
      </c>
      <c r="L468" s="14">
        <v>1504</v>
      </c>
      <c r="M468" s="14">
        <v>1192</v>
      </c>
      <c r="N468" s="12">
        <v>3.3</v>
      </c>
      <c r="O468" s="12" t="s">
        <v>1896</v>
      </c>
      <c r="P468" s="12">
        <v>5.3084960065632298E-4</v>
      </c>
      <c r="Q468" s="12">
        <v>2.3602052067892001E-3</v>
      </c>
      <c r="R468" s="12">
        <v>9.6270161290322606E-2</v>
      </c>
      <c r="S468" s="14">
        <v>27</v>
      </c>
      <c r="T468" s="12">
        <v>0.16741968544893701</v>
      </c>
      <c r="U468" s="14">
        <v>1116</v>
      </c>
      <c r="V468" s="14">
        <v>2</v>
      </c>
      <c r="W468" s="12">
        <v>5.5999999999999999E-3</v>
      </c>
      <c r="X468" s="12">
        <v>0.17301968544893701</v>
      </c>
      <c r="Y468" s="14">
        <v>1116</v>
      </c>
      <c r="Z468" s="14">
        <v>26</v>
      </c>
      <c r="AA468" s="12" t="s">
        <v>2367</v>
      </c>
    </row>
    <row r="469" spans="1:27" ht="14.25" x14ac:dyDescent="0.45">
      <c r="A469" s="12" t="s">
        <v>1910</v>
      </c>
      <c r="B469" s="12" t="s">
        <v>1971</v>
      </c>
      <c r="C469" s="12" t="s">
        <v>1972</v>
      </c>
      <c r="D469" s="12" t="s">
        <v>1990</v>
      </c>
      <c r="E469" s="20">
        <v>33060</v>
      </c>
      <c r="F469" s="20">
        <v>44520</v>
      </c>
      <c r="G469" s="12">
        <v>14.42</v>
      </c>
      <c r="H469" s="12">
        <v>1.36666666666667</v>
      </c>
      <c r="I469" s="13">
        <v>10.5512195121951</v>
      </c>
      <c r="J469" s="12" t="s">
        <v>1910</v>
      </c>
      <c r="K469" s="14">
        <v>276</v>
      </c>
      <c r="L469" s="14">
        <v>1939</v>
      </c>
      <c r="M469" s="14">
        <v>775</v>
      </c>
      <c r="N469" s="12">
        <v>14.42</v>
      </c>
      <c r="O469" s="12" t="s">
        <v>1910</v>
      </c>
      <c r="P469" s="12">
        <v>2.31965189135278E-3</v>
      </c>
      <c r="Q469" s="12">
        <v>4.8045265222786002E-2</v>
      </c>
      <c r="R469" s="12">
        <v>2.0665322580645198E-2</v>
      </c>
      <c r="S469" s="14">
        <v>32</v>
      </c>
      <c r="T469" s="12">
        <v>3.0898160223498601</v>
      </c>
      <c r="U469" s="14">
        <v>369</v>
      </c>
      <c r="V469" s="14">
        <v>1</v>
      </c>
      <c r="W469" s="12">
        <v>5.4999999999999997E-3</v>
      </c>
      <c r="X469" s="12">
        <v>3.0953160223498601</v>
      </c>
      <c r="Y469" s="14">
        <v>369</v>
      </c>
      <c r="Z469" s="14">
        <v>32</v>
      </c>
      <c r="AA469" s="12" t="s">
        <v>2367</v>
      </c>
    </row>
    <row r="470" spans="1:27" ht="14.25" x14ac:dyDescent="0.45">
      <c r="A470" s="12" t="s">
        <v>1915</v>
      </c>
      <c r="B470" s="12" t="s">
        <v>1971</v>
      </c>
      <c r="C470" s="12" t="s">
        <v>1972</v>
      </c>
      <c r="D470" s="12" t="s">
        <v>1993</v>
      </c>
      <c r="E470" s="20">
        <v>34937</v>
      </c>
      <c r="F470" s="20">
        <v>44475</v>
      </c>
      <c r="G470" s="12">
        <v>1.58</v>
      </c>
      <c r="H470" s="12">
        <v>2.8666666666666698</v>
      </c>
      <c r="I470" s="13">
        <v>0.55116279069767404</v>
      </c>
      <c r="J470" s="12" t="s">
        <v>1915</v>
      </c>
      <c r="K470" s="14">
        <v>1021</v>
      </c>
      <c r="L470" s="14">
        <v>1890</v>
      </c>
      <c r="M470" s="14">
        <v>1470</v>
      </c>
      <c r="N470" s="12">
        <v>1.58</v>
      </c>
      <c r="O470" s="12" t="s">
        <v>1915</v>
      </c>
      <c r="P470" s="12">
        <v>2.5416435425363302E-4</v>
      </c>
      <c r="Q470" s="12">
        <v>2.50973476851601E-3</v>
      </c>
      <c r="R470" s="12">
        <v>4.3346774193548397E-2</v>
      </c>
      <c r="S470" s="14">
        <v>27</v>
      </c>
      <c r="T470" s="12">
        <v>0.16638958631676201</v>
      </c>
      <c r="U470" s="14">
        <v>1118</v>
      </c>
      <c r="V470" s="14">
        <v>1</v>
      </c>
      <c r="W470" s="12">
        <v>5.4999999999999997E-3</v>
      </c>
      <c r="X470" s="12">
        <v>0.17188958631676199</v>
      </c>
      <c r="Y470" s="14">
        <v>1118</v>
      </c>
      <c r="Z470" s="14">
        <v>26</v>
      </c>
      <c r="AA470" s="12" t="s">
        <v>2367</v>
      </c>
    </row>
    <row r="471" spans="1:27" ht="14.25" x14ac:dyDescent="0.45">
      <c r="A471" s="12" t="s">
        <v>1916</v>
      </c>
      <c r="B471" s="12" t="s">
        <v>1971</v>
      </c>
      <c r="C471" s="12" t="s">
        <v>1972</v>
      </c>
      <c r="D471" s="12" t="s">
        <v>1993</v>
      </c>
      <c r="E471" s="20">
        <v>33160</v>
      </c>
      <c r="F471" s="20">
        <v>43336</v>
      </c>
      <c r="G471" s="12">
        <v>9.1199999999999992</v>
      </c>
      <c r="H471" s="12">
        <v>40.8333333333333</v>
      </c>
      <c r="I471" s="13">
        <v>0.22334693877551001</v>
      </c>
      <c r="J471" s="12" t="s">
        <v>1916</v>
      </c>
      <c r="K471" s="14">
        <v>1316</v>
      </c>
      <c r="L471" s="14">
        <v>174</v>
      </c>
      <c r="M471" s="14">
        <v>864</v>
      </c>
      <c r="N471" s="12">
        <v>9.1199999999999992</v>
      </c>
      <c r="O471" s="12" t="s">
        <v>1916</v>
      </c>
      <c r="P471" s="12">
        <v>1.46707525999566E-3</v>
      </c>
      <c r="Q471" s="12">
        <v>1.01701636457891E-3</v>
      </c>
      <c r="R471" s="12">
        <v>0.61743951612903203</v>
      </c>
      <c r="S471" s="14">
        <v>32</v>
      </c>
      <c r="T471" s="12">
        <v>0.118578845036019</v>
      </c>
      <c r="U471" s="14">
        <v>1234</v>
      </c>
      <c r="V471" s="14">
        <v>1</v>
      </c>
      <c r="W471" s="12">
        <v>5.4999999999999997E-3</v>
      </c>
      <c r="X471" s="12">
        <v>0.124078845036019</v>
      </c>
      <c r="Y471" s="14">
        <v>1234</v>
      </c>
      <c r="Z471" s="14">
        <v>31</v>
      </c>
      <c r="AA471" s="12" t="s">
        <v>2367</v>
      </c>
    </row>
    <row r="472" spans="1:27" ht="14.25" x14ac:dyDescent="0.45">
      <c r="A472" s="12" t="s">
        <v>1917</v>
      </c>
      <c r="B472" s="12" t="s">
        <v>1971</v>
      </c>
      <c r="C472" s="12" t="s">
        <v>1972</v>
      </c>
      <c r="D472" s="12" t="s">
        <v>2088</v>
      </c>
      <c r="E472" s="20">
        <v>33217</v>
      </c>
      <c r="F472" s="20">
        <v>44454</v>
      </c>
      <c r="G472" s="12">
        <v>12.92</v>
      </c>
      <c r="H472" s="12">
        <v>3.56666666666667</v>
      </c>
      <c r="I472" s="13">
        <v>3.62242990654206</v>
      </c>
      <c r="J472" s="12" t="s">
        <v>1917</v>
      </c>
      <c r="K472" s="14">
        <v>511</v>
      </c>
      <c r="L472" s="14">
        <v>1876</v>
      </c>
      <c r="M472" s="14">
        <v>792</v>
      </c>
      <c r="N472" s="12">
        <v>12.92</v>
      </c>
      <c r="O472" s="12" t="s">
        <v>1917</v>
      </c>
      <c r="P472" s="12">
        <v>2.0783566183271802E-3</v>
      </c>
      <c r="Q472" s="12">
        <v>1.64948331716167E-2</v>
      </c>
      <c r="R472" s="12">
        <v>5.3931451612903199E-2</v>
      </c>
      <c r="S472" s="14">
        <v>32</v>
      </c>
      <c r="T472" s="12">
        <v>1.1088654464133101</v>
      </c>
      <c r="U472" s="14">
        <v>551</v>
      </c>
      <c r="V472" s="14">
        <v>1</v>
      </c>
      <c r="W472" s="12">
        <v>5.4999999999999997E-3</v>
      </c>
      <c r="X472" s="12">
        <v>1.1143654464133099</v>
      </c>
      <c r="Y472" s="14">
        <v>551</v>
      </c>
      <c r="Z472" s="14">
        <v>31</v>
      </c>
      <c r="AA472" s="12" t="s">
        <v>2367</v>
      </c>
    </row>
    <row r="473" spans="1:27" ht="14.25" x14ac:dyDescent="0.45">
      <c r="A473" s="12" t="s">
        <v>1925</v>
      </c>
      <c r="B473" s="12" t="s">
        <v>1971</v>
      </c>
      <c r="C473" s="12" t="s">
        <v>1972</v>
      </c>
      <c r="D473" s="12" t="s">
        <v>1993</v>
      </c>
      <c r="E473" s="20">
        <v>35313</v>
      </c>
      <c r="F473" s="20">
        <v>44335</v>
      </c>
      <c r="G473" s="12">
        <v>1</v>
      </c>
      <c r="H473" s="12">
        <v>7.5333333333333297</v>
      </c>
      <c r="I473" s="13">
        <v>0.132743362831858</v>
      </c>
      <c r="J473" s="12" t="s">
        <v>1925</v>
      </c>
      <c r="K473" s="14">
        <v>1438</v>
      </c>
      <c r="L473" s="14">
        <v>1332</v>
      </c>
      <c r="M473" s="14">
        <v>1549</v>
      </c>
      <c r="N473" s="12">
        <v>1</v>
      </c>
      <c r="O473" s="12" t="s">
        <v>1925</v>
      </c>
      <c r="P473" s="12">
        <v>1.6086351535040099E-4</v>
      </c>
      <c r="Q473" s="12">
        <v>6.0445051554939297E-4</v>
      </c>
      <c r="R473" s="12">
        <v>0.113911290322581</v>
      </c>
      <c r="S473" s="14">
        <v>26</v>
      </c>
      <c r="T473" s="12">
        <v>4.3810539047477101E-2</v>
      </c>
      <c r="U473" s="14">
        <v>1542</v>
      </c>
      <c r="V473" s="14">
        <v>1</v>
      </c>
      <c r="W473" s="12">
        <v>5.4999999999999997E-3</v>
      </c>
      <c r="X473" s="12">
        <v>4.9310539047477099E-2</v>
      </c>
      <c r="Y473" s="14">
        <v>1543</v>
      </c>
      <c r="Z473" s="14">
        <v>25</v>
      </c>
      <c r="AA473" s="12" t="s">
        <v>2367</v>
      </c>
    </row>
    <row r="474" spans="1:27" ht="14.25" x14ac:dyDescent="0.45">
      <c r="A474" s="12" t="s">
        <v>1928</v>
      </c>
      <c r="B474" s="12" t="s">
        <v>1971</v>
      </c>
      <c r="C474" s="12" t="s">
        <v>1972</v>
      </c>
      <c r="D474" s="12" t="s">
        <v>2026</v>
      </c>
      <c r="E474" s="20">
        <v>34147</v>
      </c>
      <c r="F474" s="20">
        <v>44452</v>
      </c>
      <c r="G474" s="12">
        <v>0.24</v>
      </c>
      <c r="H474" s="12">
        <v>3.6333333333333302</v>
      </c>
      <c r="I474" s="13">
        <v>6.6055045871559595E-2</v>
      </c>
      <c r="J474" s="12" t="s">
        <v>1928</v>
      </c>
      <c r="K474" s="14">
        <v>1572</v>
      </c>
      <c r="L474" s="14">
        <v>1872</v>
      </c>
      <c r="M474" s="14">
        <v>1761</v>
      </c>
      <c r="N474" s="12">
        <v>0.24</v>
      </c>
      <c r="O474" s="12" t="s">
        <v>1928</v>
      </c>
      <c r="P474" s="12">
        <v>3.8607243684096202E-5</v>
      </c>
      <c r="Q474" s="12">
        <v>3.0078344920549598E-4</v>
      </c>
      <c r="R474" s="12">
        <v>5.4939516129032299E-2</v>
      </c>
      <c r="S474" s="14">
        <v>29</v>
      </c>
      <c r="T474" s="12">
        <v>2.0246737213497099E-2</v>
      </c>
      <c r="U474" s="14">
        <v>1684</v>
      </c>
      <c r="V474" s="14">
        <v>1</v>
      </c>
      <c r="W474" s="12">
        <v>5.4999999999999997E-3</v>
      </c>
      <c r="X474" s="12">
        <v>2.5746737213497101E-2</v>
      </c>
      <c r="Y474" s="14">
        <v>1684</v>
      </c>
      <c r="Z474" s="14">
        <v>29</v>
      </c>
      <c r="AA474" s="12" t="s">
        <v>2367</v>
      </c>
    </row>
    <row r="475" spans="1:27" ht="14.25" x14ac:dyDescent="0.45">
      <c r="A475" s="12" t="s">
        <v>1942</v>
      </c>
      <c r="B475" s="12" t="s">
        <v>1971</v>
      </c>
      <c r="C475" s="12" t="s">
        <v>1972</v>
      </c>
      <c r="D475" s="12" t="s">
        <v>1997</v>
      </c>
      <c r="E475" s="20">
        <v>35250</v>
      </c>
      <c r="F475" s="20">
        <v>44515</v>
      </c>
      <c r="G475" s="12">
        <v>75.319999999999993</v>
      </c>
      <c r="H475" s="12">
        <v>1.5333333333333301</v>
      </c>
      <c r="I475" s="13">
        <v>49.121739130434797</v>
      </c>
      <c r="J475" s="12" t="s">
        <v>1942</v>
      </c>
      <c r="K475" s="14">
        <v>45</v>
      </c>
      <c r="L475" s="14">
        <v>1932</v>
      </c>
      <c r="M475" s="14">
        <v>415</v>
      </c>
      <c r="N475" s="12">
        <v>75.319999999999993</v>
      </c>
      <c r="O475" s="12" t="s">
        <v>1942</v>
      </c>
      <c r="P475" s="12">
        <v>1.2116239976192201E-2</v>
      </c>
      <c r="Q475" s="12">
        <v>0.223677176083625</v>
      </c>
      <c r="R475" s="12">
        <v>2.3185483870967701E-2</v>
      </c>
      <c r="S475" s="14">
        <v>26</v>
      </c>
      <c r="T475" s="12">
        <v>14.434182504333799</v>
      </c>
      <c r="U475" s="14">
        <v>70</v>
      </c>
      <c r="V475" s="14">
        <v>1</v>
      </c>
      <c r="W475" s="12">
        <v>5.4999999999999997E-3</v>
      </c>
      <c r="X475" s="12">
        <v>14.439682504333801</v>
      </c>
      <c r="Y475" s="14">
        <v>70</v>
      </c>
      <c r="Z475" s="14">
        <v>26</v>
      </c>
      <c r="AA475" s="12" t="s">
        <v>2367</v>
      </c>
    </row>
    <row r="476" spans="1:27" ht="14.25" x14ac:dyDescent="0.45">
      <c r="A476" s="12" t="s">
        <v>1946</v>
      </c>
      <c r="B476" s="12" t="s">
        <v>1971</v>
      </c>
      <c r="C476" s="12" t="s">
        <v>1972</v>
      </c>
      <c r="D476" s="12" t="s">
        <v>1993</v>
      </c>
      <c r="E476" s="20">
        <v>34908</v>
      </c>
      <c r="F476" s="20">
        <v>44484</v>
      </c>
      <c r="G476" s="12">
        <v>1</v>
      </c>
      <c r="H476" s="12">
        <v>2.56666666666667</v>
      </c>
      <c r="I476" s="13">
        <v>0.38961038961039002</v>
      </c>
      <c r="J476" s="12" t="s">
        <v>1946</v>
      </c>
      <c r="K476" s="14">
        <v>1149</v>
      </c>
      <c r="L476" s="14">
        <v>1909</v>
      </c>
      <c r="M476" s="14">
        <v>1549</v>
      </c>
      <c r="N476" s="12">
        <v>1</v>
      </c>
      <c r="O476" s="12" t="s">
        <v>1946</v>
      </c>
      <c r="P476" s="12">
        <v>1.6086351535040099E-4</v>
      </c>
      <c r="Q476" s="12">
        <v>1.7741015131709399E-3</v>
      </c>
      <c r="R476" s="12">
        <v>3.8810483870967701E-2</v>
      </c>
      <c r="S476" s="14">
        <v>27</v>
      </c>
      <c r="T476" s="12">
        <v>0.116913726398824</v>
      </c>
      <c r="U476" s="14">
        <v>1237</v>
      </c>
      <c r="V476" s="14">
        <v>1</v>
      </c>
      <c r="W476" s="12">
        <v>5.4999999999999997E-3</v>
      </c>
      <c r="X476" s="12">
        <v>0.122413726398824</v>
      </c>
      <c r="Y476" s="14">
        <v>1237</v>
      </c>
      <c r="Z476" s="14">
        <v>26</v>
      </c>
      <c r="AA476" s="12" t="s">
        <v>2367</v>
      </c>
    </row>
    <row r="477" spans="1:27" ht="14.25" x14ac:dyDescent="0.45">
      <c r="A477" s="12" t="s">
        <v>1948</v>
      </c>
      <c r="B477" s="12" t="s">
        <v>1971</v>
      </c>
      <c r="C477" s="12" t="s">
        <v>1972</v>
      </c>
      <c r="D477" s="12" t="s">
        <v>1993</v>
      </c>
      <c r="E477" s="20">
        <v>32350</v>
      </c>
      <c r="F477" s="20">
        <v>44490</v>
      </c>
      <c r="G477" s="12">
        <v>1</v>
      </c>
      <c r="H477" s="12">
        <v>2.3666666666666698</v>
      </c>
      <c r="I477" s="13">
        <v>0.42253521126760601</v>
      </c>
      <c r="J477" s="12" t="s">
        <v>1948</v>
      </c>
      <c r="K477" s="14">
        <v>1123</v>
      </c>
      <c r="L477" s="14">
        <v>1919</v>
      </c>
      <c r="M477" s="14">
        <v>1549</v>
      </c>
      <c r="N477" s="12">
        <v>1</v>
      </c>
      <c r="O477" s="12" t="s">
        <v>1948</v>
      </c>
      <c r="P477" s="12">
        <v>1.6086351535040099E-4</v>
      </c>
      <c r="Q477" s="12">
        <v>1.92402558470652E-3</v>
      </c>
      <c r="R477" s="12">
        <v>3.5786290322580599E-2</v>
      </c>
      <c r="S477" s="14">
        <v>34</v>
      </c>
      <c r="T477" s="12">
        <v>0.126283980869797</v>
      </c>
      <c r="U477" s="14">
        <v>1212</v>
      </c>
      <c r="V477" s="14">
        <v>1</v>
      </c>
      <c r="W477" s="12">
        <v>5.4999999999999997E-3</v>
      </c>
      <c r="X477" s="12">
        <v>0.13178398086979701</v>
      </c>
      <c r="Y477" s="14">
        <v>1213</v>
      </c>
      <c r="Z477" s="14">
        <v>33</v>
      </c>
      <c r="AA477" s="12" t="s">
        <v>2367</v>
      </c>
    </row>
    <row r="478" spans="1:27" ht="14.25" x14ac:dyDescent="0.45">
      <c r="A478" s="12" t="s">
        <v>1949</v>
      </c>
      <c r="B478" s="12" t="s">
        <v>1971</v>
      </c>
      <c r="C478" s="12" t="s">
        <v>1972</v>
      </c>
      <c r="D478" s="12" t="s">
        <v>1990</v>
      </c>
      <c r="E478" s="20">
        <v>32200</v>
      </c>
      <c r="F478" s="20">
        <v>44539</v>
      </c>
      <c r="G478" s="12">
        <v>14.49</v>
      </c>
      <c r="H478" s="12">
        <v>0.73333333333333295</v>
      </c>
      <c r="I478" s="13">
        <v>19.759090909090901</v>
      </c>
      <c r="J478" s="12" t="s">
        <v>1949</v>
      </c>
      <c r="K478" s="14">
        <v>137</v>
      </c>
      <c r="L478" s="14">
        <v>1952</v>
      </c>
      <c r="M478" s="14">
        <v>774</v>
      </c>
      <c r="N478" s="12">
        <v>14.49</v>
      </c>
      <c r="O478" s="12" t="s">
        <v>1949</v>
      </c>
      <c r="P478" s="12">
        <v>2.3309123374273101E-3</v>
      </c>
      <c r="Q478" s="12">
        <v>8.9973558240464505E-2</v>
      </c>
      <c r="R478" s="12">
        <v>1.1088709677419401E-2</v>
      </c>
      <c r="S478" s="14">
        <v>34</v>
      </c>
      <c r="T478" s="12">
        <v>5.71075660268255</v>
      </c>
      <c r="U478" s="14">
        <v>230</v>
      </c>
      <c r="V478" s="14">
        <v>1</v>
      </c>
      <c r="W478" s="12">
        <v>5.4999999999999997E-3</v>
      </c>
      <c r="X478" s="12">
        <v>5.7162566026825496</v>
      </c>
      <c r="Y478" s="14">
        <v>230</v>
      </c>
      <c r="Z478" s="14">
        <v>34</v>
      </c>
      <c r="AA478" s="12" t="s">
        <v>2367</v>
      </c>
    </row>
    <row r="479" spans="1:27" ht="14.25" x14ac:dyDescent="0.45">
      <c r="A479" s="12" t="s">
        <v>1962</v>
      </c>
      <c r="B479" s="12" t="s">
        <v>1971</v>
      </c>
      <c r="C479" s="12" t="s">
        <v>1972</v>
      </c>
      <c r="D479" s="12" t="s">
        <v>2012</v>
      </c>
      <c r="E479" s="20">
        <v>33225</v>
      </c>
      <c r="F479" s="20">
        <v>44483</v>
      </c>
      <c r="G479" s="12">
        <v>1</v>
      </c>
      <c r="H479" s="12">
        <v>2.6</v>
      </c>
      <c r="I479" s="13">
        <v>0.38461538461538503</v>
      </c>
      <c r="J479" s="12" t="s">
        <v>1962</v>
      </c>
      <c r="K479" s="14">
        <v>1155</v>
      </c>
      <c r="L479" s="14">
        <v>1908</v>
      </c>
      <c r="M479" s="14">
        <v>1549</v>
      </c>
      <c r="N479" s="12">
        <v>1</v>
      </c>
      <c r="O479" s="12" t="s">
        <v>1962</v>
      </c>
      <c r="P479" s="12">
        <v>1.6086351535040099E-4</v>
      </c>
      <c r="Q479" s="12">
        <v>1.7513566219764501E-3</v>
      </c>
      <c r="R479" s="12">
        <v>3.9314516129032299E-2</v>
      </c>
      <c r="S479" s="14">
        <v>32</v>
      </c>
      <c r="T479" s="12">
        <v>0.11549217069916801</v>
      </c>
      <c r="U479" s="14">
        <v>1241</v>
      </c>
      <c r="V479" s="14">
        <v>1</v>
      </c>
      <c r="W479" s="12">
        <v>5.4999999999999997E-3</v>
      </c>
      <c r="X479" s="12">
        <v>0.120992170699168</v>
      </c>
      <c r="Y479" s="14">
        <v>1241</v>
      </c>
      <c r="Z479" s="14">
        <v>31</v>
      </c>
      <c r="AA479" s="12" t="s">
        <v>2367</v>
      </c>
    </row>
    <row r="480" spans="1:27" ht="14.25" x14ac:dyDescent="0.45">
      <c r="A480" s="12" t="s">
        <v>6</v>
      </c>
      <c r="B480" s="12" t="s">
        <v>1971</v>
      </c>
      <c r="C480" s="12" t="s">
        <v>1972</v>
      </c>
      <c r="D480" s="12" t="s">
        <v>1975</v>
      </c>
      <c r="E480" s="20">
        <v>29874</v>
      </c>
      <c r="F480" s="20">
        <v>42815</v>
      </c>
      <c r="G480" s="12">
        <v>428.22</v>
      </c>
      <c r="H480" s="12">
        <v>58.2</v>
      </c>
      <c r="I480" s="13">
        <v>7.3577319587628898</v>
      </c>
      <c r="J480" s="12" t="s">
        <v>6</v>
      </c>
      <c r="K480" s="14">
        <v>370</v>
      </c>
      <c r="L480" s="14">
        <v>7</v>
      </c>
      <c r="M480" s="14">
        <v>171</v>
      </c>
      <c r="N480" s="12">
        <v>428.22</v>
      </c>
      <c r="O480" s="12" t="s">
        <v>6</v>
      </c>
      <c r="P480" s="12">
        <v>6.8884974543348701E-2</v>
      </c>
      <c r="Q480" s="12">
        <v>3.35036327306385E-2</v>
      </c>
      <c r="R480" s="12">
        <v>0.88004032258064502</v>
      </c>
      <c r="S480" s="14">
        <v>41</v>
      </c>
      <c r="T480" s="12">
        <v>4.6771635910404799</v>
      </c>
      <c r="U480" s="14">
        <v>278</v>
      </c>
      <c r="V480" s="14">
        <v>5</v>
      </c>
      <c r="W480" s="12">
        <v>5.8999999999999999E-3</v>
      </c>
      <c r="X480" s="12">
        <v>4.6830635910404803</v>
      </c>
      <c r="Y480" s="14">
        <v>278</v>
      </c>
      <c r="Z480" s="14">
        <v>40</v>
      </c>
      <c r="AA480" s="12" t="s">
        <v>2369</v>
      </c>
    </row>
    <row r="481" spans="1:27" ht="14.25" x14ac:dyDescent="0.45">
      <c r="A481" s="12" t="s">
        <v>20</v>
      </c>
      <c r="B481" s="12" t="s">
        <v>1971</v>
      </c>
      <c r="C481" s="12" t="s">
        <v>1972</v>
      </c>
      <c r="D481" s="12" t="s">
        <v>1993</v>
      </c>
      <c r="E481" s="20">
        <v>29261</v>
      </c>
      <c r="F481" s="20">
        <v>43241</v>
      </c>
      <c r="G481" s="12">
        <v>1187.1300000000001</v>
      </c>
      <c r="H481" s="12">
        <v>44</v>
      </c>
      <c r="I481" s="13">
        <v>26.980227272727301</v>
      </c>
      <c r="J481" s="12" t="s">
        <v>20</v>
      </c>
      <c r="K481" s="14">
        <v>93</v>
      </c>
      <c r="L481" s="14">
        <v>96</v>
      </c>
      <c r="M481" s="14">
        <v>42</v>
      </c>
      <c r="N481" s="12">
        <v>1187.1300000000001</v>
      </c>
      <c r="O481" s="12" t="s">
        <v>20</v>
      </c>
      <c r="P481" s="12">
        <v>0.19096590497792101</v>
      </c>
      <c r="Q481" s="12">
        <v>0.122855199210953</v>
      </c>
      <c r="R481" s="12">
        <v>0.66532258064516103</v>
      </c>
      <c r="S481" s="14">
        <v>42</v>
      </c>
      <c r="T481" s="12">
        <v>14.839671387356599</v>
      </c>
      <c r="U481" s="14">
        <v>69</v>
      </c>
      <c r="V481" s="14">
        <v>10</v>
      </c>
      <c r="W481" s="12">
        <v>6.4000000000000003E-3</v>
      </c>
      <c r="X481" s="12">
        <v>14.8460713873566</v>
      </c>
      <c r="Y481" s="14">
        <v>69</v>
      </c>
      <c r="Z481" s="14">
        <v>42</v>
      </c>
      <c r="AA481" s="12" t="s">
        <v>2369</v>
      </c>
    </row>
    <row r="482" spans="1:27" ht="14.25" x14ac:dyDescent="0.45">
      <c r="A482" s="12" t="s">
        <v>29</v>
      </c>
      <c r="B482" s="12" t="s">
        <v>1971</v>
      </c>
      <c r="C482" s="12" t="s">
        <v>1972</v>
      </c>
      <c r="D482" s="12" t="s">
        <v>2007</v>
      </c>
      <c r="E482" s="20">
        <v>29275</v>
      </c>
      <c r="F482" s="20">
        <v>43963</v>
      </c>
      <c r="G482" s="12">
        <v>24.67</v>
      </c>
      <c r="H482" s="12">
        <v>19.933333333333302</v>
      </c>
      <c r="I482" s="13">
        <v>1.2376254180602</v>
      </c>
      <c r="J482" s="12" t="s">
        <v>29</v>
      </c>
      <c r="K482" s="14">
        <v>759</v>
      </c>
      <c r="L482" s="14">
        <v>448</v>
      </c>
      <c r="M482" s="14">
        <v>685</v>
      </c>
      <c r="N482" s="12">
        <v>24.67</v>
      </c>
      <c r="O482" s="12" t="s">
        <v>29</v>
      </c>
      <c r="P482" s="12">
        <v>3.9685029236943897E-3</v>
      </c>
      <c r="Q482" s="12">
        <v>5.6355610257598603E-3</v>
      </c>
      <c r="R482" s="12">
        <v>0.30141129032258102</v>
      </c>
      <c r="S482" s="14">
        <v>42</v>
      </c>
      <c r="T482" s="12">
        <v>0.501041423748531</v>
      </c>
      <c r="U482" s="14">
        <v>782</v>
      </c>
      <c r="V482" s="14">
        <v>7</v>
      </c>
      <c r="W482" s="12">
        <v>6.1000000000000004E-3</v>
      </c>
      <c r="X482" s="12">
        <v>0.507141423748531</v>
      </c>
      <c r="Y482" s="14">
        <v>782</v>
      </c>
      <c r="Z482" s="14">
        <v>42</v>
      </c>
      <c r="AA482" s="12" t="s">
        <v>2369</v>
      </c>
    </row>
    <row r="483" spans="1:27" ht="14.25" x14ac:dyDescent="0.45">
      <c r="A483" s="12" t="s">
        <v>35</v>
      </c>
      <c r="B483" s="12" t="s">
        <v>1971</v>
      </c>
      <c r="C483" s="12" t="s">
        <v>1972</v>
      </c>
      <c r="D483" s="12" t="s">
        <v>1974</v>
      </c>
      <c r="E483" s="20">
        <v>31495</v>
      </c>
      <c r="F483" s="20">
        <v>42808</v>
      </c>
      <c r="G483" s="12">
        <v>338.77</v>
      </c>
      <c r="H483" s="12">
        <v>58.433333333333302</v>
      </c>
      <c r="I483" s="13">
        <v>5.7975470621791203</v>
      </c>
      <c r="J483" s="12" t="s">
        <v>35</v>
      </c>
      <c r="K483" s="14">
        <v>416</v>
      </c>
      <c r="L483" s="14">
        <v>6</v>
      </c>
      <c r="M483" s="14">
        <v>202</v>
      </c>
      <c r="N483" s="12">
        <v>338.77</v>
      </c>
      <c r="O483" s="12" t="s">
        <v>35</v>
      </c>
      <c r="P483" s="12">
        <v>5.4495733095255301E-2</v>
      </c>
      <c r="Q483" s="12">
        <v>2.6399288340275499E-2</v>
      </c>
      <c r="R483" s="12">
        <v>0.88356854838709697</v>
      </c>
      <c r="S483" s="14">
        <v>36</v>
      </c>
      <c r="T483" s="12">
        <v>3.69354551233929</v>
      </c>
      <c r="U483" s="14">
        <v>329</v>
      </c>
      <c r="V483" s="14">
        <v>7</v>
      </c>
      <c r="W483" s="12">
        <v>6.1000000000000004E-3</v>
      </c>
      <c r="X483" s="12">
        <v>3.69964551233929</v>
      </c>
      <c r="Y483" s="14">
        <v>329</v>
      </c>
      <c r="Z483" s="14">
        <v>36</v>
      </c>
      <c r="AA483" s="12" t="s">
        <v>2369</v>
      </c>
    </row>
    <row r="484" spans="1:27" ht="14.25" x14ac:dyDescent="0.45">
      <c r="A484" s="12" t="s">
        <v>39</v>
      </c>
      <c r="B484" s="12" t="s">
        <v>1971</v>
      </c>
      <c r="C484" s="12" t="s">
        <v>1972</v>
      </c>
      <c r="D484" s="12" t="s">
        <v>1987</v>
      </c>
      <c r="E484" s="20">
        <v>31541</v>
      </c>
      <c r="F484" s="20">
        <v>44062</v>
      </c>
      <c r="G484" s="12">
        <v>7.18</v>
      </c>
      <c r="H484" s="12">
        <v>16.633333333333301</v>
      </c>
      <c r="I484" s="13">
        <v>0.43166332665330698</v>
      </c>
      <c r="J484" s="12" t="s">
        <v>39</v>
      </c>
      <c r="K484" s="14">
        <v>1117</v>
      </c>
      <c r="L484" s="14">
        <v>463</v>
      </c>
      <c r="M484" s="14">
        <v>913</v>
      </c>
      <c r="N484" s="12">
        <v>7.18</v>
      </c>
      <c r="O484" s="12" t="s">
        <v>39</v>
      </c>
      <c r="P484" s="12">
        <v>1.1550000402158801E-3</v>
      </c>
      <c r="Q484" s="12">
        <v>1.9655907065564901E-3</v>
      </c>
      <c r="R484" s="12">
        <v>0.25151209677419401</v>
      </c>
      <c r="S484" s="14">
        <v>36</v>
      </c>
      <c r="T484" s="12">
        <v>0.166161920667876</v>
      </c>
      <c r="U484" s="14">
        <v>1119</v>
      </c>
      <c r="V484" s="14">
        <v>2</v>
      </c>
      <c r="W484" s="12">
        <v>5.5999999999999999E-3</v>
      </c>
      <c r="X484" s="12">
        <v>0.17176192066787599</v>
      </c>
      <c r="Y484" s="14">
        <v>1119</v>
      </c>
      <c r="Z484" s="14">
        <v>36</v>
      </c>
      <c r="AA484" s="12" t="s">
        <v>2369</v>
      </c>
    </row>
    <row r="485" spans="1:27" ht="14.25" x14ac:dyDescent="0.45">
      <c r="A485" s="12" t="s">
        <v>45</v>
      </c>
      <c r="B485" s="12" t="s">
        <v>1971</v>
      </c>
      <c r="C485" s="12" t="s">
        <v>1972</v>
      </c>
      <c r="D485" s="12" t="s">
        <v>1975</v>
      </c>
      <c r="E485" s="20">
        <v>31402</v>
      </c>
      <c r="F485" s="20">
        <v>43290</v>
      </c>
      <c r="G485" s="12">
        <v>1094.93</v>
      </c>
      <c r="H485" s="12">
        <v>42.366666666666703</v>
      </c>
      <c r="I485" s="13">
        <v>25.844138473642801</v>
      </c>
      <c r="J485" s="12" t="s">
        <v>45</v>
      </c>
      <c r="K485" s="14">
        <v>99</v>
      </c>
      <c r="L485" s="14">
        <v>118</v>
      </c>
      <c r="M485" s="14">
        <v>49</v>
      </c>
      <c r="N485" s="12">
        <v>1094.93</v>
      </c>
      <c r="O485" s="12" t="s">
        <v>45</v>
      </c>
      <c r="P485" s="12">
        <v>0.17613428886261401</v>
      </c>
      <c r="Q485" s="12">
        <v>0.11768198794323501</v>
      </c>
      <c r="R485" s="12">
        <v>0.640625</v>
      </c>
      <c r="S485" s="14">
        <v>37</v>
      </c>
      <c r="T485" s="12">
        <v>13.9601600788003</v>
      </c>
      <c r="U485" s="14">
        <v>74</v>
      </c>
      <c r="V485" s="14">
        <v>8</v>
      </c>
      <c r="W485" s="12">
        <v>6.1999999999999998E-3</v>
      </c>
      <c r="X485" s="12">
        <v>13.9663600788003</v>
      </c>
      <c r="Y485" s="14">
        <v>74</v>
      </c>
      <c r="Z485" s="14">
        <v>36</v>
      </c>
      <c r="AA485" s="12" t="s">
        <v>2369</v>
      </c>
    </row>
    <row r="486" spans="1:27" ht="14.25" x14ac:dyDescent="0.45">
      <c r="A486" s="12" t="s">
        <v>49</v>
      </c>
      <c r="B486" s="12" t="s">
        <v>1971</v>
      </c>
      <c r="C486" s="12" t="s">
        <v>1972</v>
      </c>
      <c r="D486" s="12" t="s">
        <v>1975</v>
      </c>
      <c r="E486" s="20">
        <v>31782</v>
      </c>
      <c r="F486" s="20">
        <v>43750</v>
      </c>
      <c r="G486" s="12">
        <v>283.64</v>
      </c>
      <c r="H486" s="12">
        <v>27.033333333333299</v>
      </c>
      <c r="I486" s="13">
        <v>10.492231812577099</v>
      </c>
      <c r="J486" s="12" t="s">
        <v>49</v>
      </c>
      <c r="K486" s="14">
        <v>280</v>
      </c>
      <c r="L486" s="14">
        <v>323</v>
      </c>
      <c r="M486" s="14">
        <v>235</v>
      </c>
      <c r="N486" s="12">
        <v>283.64</v>
      </c>
      <c r="O486" s="12" t="s">
        <v>49</v>
      </c>
      <c r="P486" s="12">
        <v>4.56273274939877E-2</v>
      </c>
      <c r="Q486" s="12">
        <v>4.7776663127098801E-2</v>
      </c>
      <c r="R486" s="12">
        <v>0.40877016129032301</v>
      </c>
      <c r="S486" s="14">
        <v>35</v>
      </c>
      <c r="T486" s="12">
        <v>4.6970662264682099</v>
      </c>
      <c r="U486" s="14">
        <v>277</v>
      </c>
      <c r="V486" s="14">
        <v>24</v>
      </c>
      <c r="W486" s="12">
        <v>7.4000000000000003E-3</v>
      </c>
      <c r="X486" s="12">
        <v>4.7044662264682104</v>
      </c>
      <c r="Y486" s="14">
        <v>277</v>
      </c>
      <c r="Z486" s="14">
        <v>35</v>
      </c>
      <c r="AA486" s="12" t="s">
        <v>2369</v>
      </c>
    </row>
    <row r="487" spans="1:27" ht="14.25" x14ac:dyDescent="0.45">
      <c r="A487" s="12" t="s">
        <v>55</v>
      </c>
      <c r="B487" s="12" t="s">
        <v>1971</v>
      </c>
      <c r="C487" s="12" t="s">
        <v>1972</v>
      </c>
      <c r="D487" s="12" t="s">
        <v>2026</v>
      </c>
      <c r="E487" s="20">
        <v>28380</v>
      </c>
      <c r="F487" s="20">
        <v>43844</v>
      </c>
      <c r="G487" s="12">
        <v>2018.03</v>
      </c>
      <c r="H487" s="12">
        <v>23.9</v>
      </c>
      <c r="I487" s="13">
        <v>84.436401673640205</v>
      </c>
      <c r="J487" s="12" t="s">
        <v>55</v>
      </c>
      <c r="K487" s="14">
        <v>27</v>
      </c>
      <c r="L487" s="14">
        <v>387</v>
      </c>
      <c r="M487" s="14">
        <v>22</v>
      </c>
      <c r="N487" s="12">
        <v>2018.03</v>
      </c>
      <c r="O487" s="12" t="s">
        <v>55</v>
      </c>
      <c r="P487" s="12">
        <v>0.32462739988257</v>
      </c>
      <c r="Q487" s="12">
        <v>0.384483453138181</v>
      </c>
      <c r="R487" s="12">
        <v>0.36139112903225801</v>
      </c>
      <c r="S487" s="14">
        <v>45</v>
      </c>
      <c r="T487" s="12">
        <v>36.203743316732698</v>
      </c>
      <c r="U487" s="14">
        <v>22</v>
      </c>
      <c r="V487" s="14">
        <v>55</v>
      </c>
      <c r="W487" s="12">
        <v>8.8000000000000005E-3</v>
      </c>
      <c r="X487" s="12">
        <v>36.212543316732699</v>
      </c>
      <c r="Y487" s="14">
        <v>22</v>
      </c>
      <c r="Z487" s="14">
        <v>44</v>
      </c>
      <c r="AA487" s="12" t="s">
        <v>2369</v>
      </c>
    </row>
    <row r="488" spans="1:27" ht="14.25" x14ac:dyDescent="0.45">
      <c r="A488" s="12" t="s">
        <v>65</v>
      </c>
      <c r="B488" s="12" t="s">
        <v>1971</v>
      </c>
      <c r="C488" s="12" t="s">
        <v>1972</v>
      </c>
      <c r="D488" s="12" t="s">
        <v>2003</v>
      </c>
      <c r="E488" s="20">
        <v>31322</v>
      </c>
      <c r="F488" s="20">
        <v>42920</v>
      </c>
      <c r="G488" s="12">
        <v>2163.8200000000002</v>
      </c>
      <c r="H488" s="12">
        <v>54.7</v>
      </c>
      <c r="I488" s="13">
        <v>39.557952468007301</v>
      </c>
      <c r="J488" s="12" t="s">
        <v>65</v>
      </c>
      <c r="K488" s="14">
        <v>62</v>
      </c>
      <c r="L488" s="14">
        <v>37</v>
      </c>
      <c r="M488" s="14">
        <v>19</v>
      </c>
      <c r="N488" s="12">
        <v>2163.8200000000002</v>
      </c>
      <c r="O488" s="12" t="s">
        <v>65</v>
      </c>
      <c r="P488" s="12">
        <v>0.34807969178550402</v>
      </c>
      <c r="Q488" s="12">
        <v>0.18012821321735301</v>
      </c>
      <c r="R488" s="12">
        <v>0.827116935483871</v>
      </c>
      <c r="S488" s="14">
        <v>37</v>
      </c>
      <c r="T488" s="12">
        <v>24.311001768040999</v>
      </c>
      <c r="U488" s="14">
        <v>41</v>
      </c>
      <c r="V488" s="14">
        <v>20</v>
      </c>
      <c r="W488" s="12">
        <v>7.1000000000000004E-3</v>
      </c>
      <c r="X488" s="12">
        <v>24.318101768041</v>
      </c>
      <c r="Y488" s="14">
        <v>41</v>
      </c>
      <c r="Z488" s="14">
        <v>36</v>
      </c>
      <c r="AA488" s="12" t="s">
        <v>2369</v>
      </c>
    </row>
    <row r="489" spans="1:27" ht="14.25" x14ac:dyDescent="0.45">
      <c r="A489" s="12" t="s">
        <v>68</v>
      </c>
      <c r="B489" s="12" t="s">
        <v>1971</v>
      </c>
      <c r="C489" s="12" t="s">
        <v>1972</v>
      </c>
      <c r="D489" s="12" t="s">
        <v>1990</v>
      </c>
      <c r="E489" s="20">
        <v>31570</v>
      </c>
      <c r="F489" s="20">
        <v>42900</v>
      </c>
      <c r="G489" s="12">
        <v>726.73</v>
      </c>
      <c r="H489" s="12">
        <v>55.366666666666703</v>
      </c>
      <c r="I489" s="13">
        <v>13.1257676098736</v>
      </c>
      <c r="J489" s="12" t="s">
        <v>68</v>
      </c>
      <c r="K489" s="14">
        <v>222</v>
      </c>
      <c r="L489" s="14">
        <v>31</v>
      </c>
      <c r="M489" s="14">
        <v>87</v>
      </c>
      <c r="N489" s="12">
        <v>726.73</v>
      </c>
      <c r="O489" s="12" t="s">
        <v>68</v>
      </c>
      <c r="P489" s="12">
        <v>0.116904342510597</v>
      </c>
      <c r="Q489" s="12">
        <v>5.97685400573977E-2</v>
      </c>
      <c r="R489" s="12">
        <v>0.83719758064516103</v>
      </c>
      <c r="S489" s="14">
        <v>36</v>
      </c>
      <c r="T489" s="12">
        <v>8.1194465977347292</v>
      </c>
      <c r="U489" s="14">
        <v>146</v>
      </c>
      <c r="V489" s="14">
        <v>8</v>
      </c>
      <c r="W489" s="12">
        <v>6.1999999999999998E-3</v>
      </c>
      <c r="X489" s="12">
        <v>8.1256465977347307</v>
      </c>
      <c r="Y489" s="14">
        <v>146</v>
      </c>
      <c r="Z489" s="14">
        <v>36</v>
      </c>
      <c r="AA489" s="12" t="s">
        <v>2369</v>
      </c>
    </row>
    <row r="490" spans="1:27" ht="14.25" x14ac:dyDescent="0.45">
      <c r="A490" s="12" t="s">
        <v>69</v>
      </c>
      <c r="B490" s="12" t="s">
        <v>1971</v>
      </c>
      <c r="C490" s="12" t="s">
        <v>1972</v>
      </c>
      <c r="D490" s="12" t="s">
        <v>1993</v>
      </c>
      <c r="E490" s="20">
        <v>29025</v>
      </c>
      <c r="F490" s="20">
        <v>43427</v>
      </c>
      <c r="G490" s="12">
        <v>923.31</v>
      </c>
      <c r="H490" s="12">
        <v>37.799999999999997</v>
      </c>
      <c r="I490" s="13">
        <v>24.426190476190499</v>
      </c>
      <c r="J490" s="12" t="s">
        <v>69</v>
      </c>
      <c r="K490" s="14">
        <v>108</v>
      </c>
      <c r="L490" s="14">
        <v>211</v>
      </c>
      <c r="M490" s="14">
        <v>57</v>
      </c>
      <c r="N490" s="12">
        <v>923.31</v>
      </c>
      <c r="O490" s="12" t="s">
        <v>69</v>
      </c>
      <c r="P490" s="12">
        <v>0.14852689235817901</v>
      </c>
      <c r="Q490" s="12">
        <v>0.11122532314434901</v>
      </c>
      <c r="R490" s="12">
        <v>0.57157258064516103</v>
      </c>
      <c r="S490" s="14">
        <v>43</v>
      </c>
      <c r="T490" s="12">
        <v>12.521341159953501</v>
      </c>
      <c r="U490" s="14">
        <v>84</v>
      </c>
      <c r="V490" s="14">
        <v>90</v>
      </c>
      <c r="W490" s="12">
        <v>9.7999999999999997E-3</v>
      </c>
      <c r="X490" s="12">
        <v>12.531141159953499</v>
      </c>
      <c r="Y490" s="14">
        <v>83</v>
      </c>
      <c r="Z490" s="14">
        <v>43</v>
      </c>
      <c r="AA490" s="12" t="s">
        <v>2369</v>
      </c>
    </row>
    <row r="491" spans="1:27" ht="14.25" x14ac:dyDescent="0.45">
      <c r="A491" s="12" t="s">
        <v>75</v>
      </c>
      <c r="B491" s="12" t="s">
        <v>1971</v>
      </c>
      <c r="C491" s="12" t="s">
        <v>1972</v>
      </c>
      <c r="D491" s="12" t="s">
        <v>1990</v>
      </c>
      <c r="E491" s="20">
        <v>30121</v>
      </c>
      <c r="F491" s="20">
        <v>43864</v>
      </c>
      <c r="G491" s="12">
        <v>68.180000000000007</v>
      </c>
      <c r="H491" s="12">
        <v>23.233333333333299</v>
      </c>
      <c r="I491" s="13">
        <v>2.9345767575322799</v>
      </c>
      <c r="J491" s="12" t="s">
        <v>75</v>
      </c>
      <c r="K491" s="14">
        <v>560</v>
      </c>
      <c r="L491" s="14">
        <v>404</v>
      </c>
      <c r="M491" s="14">
        <v>430</v>
      </c>
      <c r="N491" s="12">
        <v>68.180000000000007</v>
      </c>
      <c r="O491" s="12" t="s">
        <v>75</v>
      </c>
      <c r="P491" s="12">
        <v>1.09676744765903E-2</v>
      </c>
      <c r="Q491" s="12">
        <v>1.3362675136206001E-2</v>
      </c>
      <c r="R491" s="12">
        <v>0.35131048387096803</v>
      </c>
      <c r="S491" s="14">
        <v>40</v>
      </c>
      <c r="T491" s="12">
        <v>1.24645498888502</v>
      </c>
      <c r="U491" s="14">
        <v>531</v>
      </c>
      <c r="V491" s="14">
        <v>36</v>
      </c>
      <c r="W491" s="12">
        <v>8.0999999999999996E-3</v>
      </c>
      <c r="X491" s="12">
        <v>1.25455498888502</v>
      </c>
      <c r="Y491" s="14">
        <v>531</v>
      </c>
      <c r="Z491" s="14">
        <v>40</v>
      </c>
      <c r="AA491" s="12" t="s">
        <v>2369</v>
      </c>
    </row>
    <row r="492" spans="1:27" ht="14.25" x14ac:dyDescent="0.45">
      <c r="A492" s="12" t="s">
        <v>80</v>
      </c>
      <c r="B492" s="12" t="s">
        <v>1971</v>
      </c>
      <c r="C492" s="12" t="s">
        <v>1972</v>
      </c>
      <c r="D492" s="12" t="s">
        <v>1973</v>
      </c>
      <c r="E492" s="20">
        <v>29712</v>
      </c>
      <c r="F492" s="20">
        <v>43335</v>
      </c>
      <c r="G492" s="12">
        <v>3364.99</v>
      </c>
      <c r="H492" s="12">
        <v>40.866666666666703</v>
      </c>
      <c r="I492" s="13">
        <v>82.340701468189195</v>
      </c>
      <c r="J492" s="12" t="s">
        <v>80</v>
      </c>
      <c r="K492" s="14">
        <v>28</v>
      </c>
      <c r="L492" s="14">
        <v>171</v>
      </c>
      <c r="M492" s="14">
        <v>5</v>
      </c>
      <c r="N492" s="12">
        <v>3364.99</v>
      </c>
      <c r="O492" s="12" t="s">
        <v>80</v>
      </c>
      <c r="P492" s="12">
        <v>0.54130412051894505</v>
      </c>
      <c r="Q492" s="12">
        <v>0.37494062521369698</v>
      </c>
      <c r="R492" s="12">
        <v>0.61794354838709697</v>
      </c>
      <c r="S492" s="14">
        <v>41</v>
      </c>
      <c r="T492" s="12">
        <v>43.732693595316498</v>
      </c>
      <c r="U492" s="14">
        <v>13</v>
      </c>
      <c r="V492" s="14">
        <v>55</v>
      </c>
      <c r="W492" s="12">
        <v>8.8000000000000005E-3</v>
      </c>
      <c r="X492" s="12">
        <v>43.741493595316498</v>
      </c>
      <c r="Y492" s="14">
        <v>13</v>
      </c>
      <c r="Z492" s="14">
        <v>41</v>
      </c>
      <c r="AA492" s="12" t="s">
        <v>2369</v>
      </c>
    </row>
    <row r="493" spans="1:27" ht="14.25" x14ac:dyDescent="0.45">
      <c r="A493" s="12" t="s">
        <v>81</v>
      </c>
      <c r="B493" s="12" t="s">
        <v>1971</v>
      </c>
      <c r="C493" s="12" t="s">
        <v>1972</v>
      </c>
      <c r="D493" s="12" t="s">
        <v>1974</v>
      </c>
      <c r="E493" s="20">
        <v>31717</v>
      </c>
      <c r="F493" s="20">
        <v>43326</v>
      </c>
      <c r="G493" s="12">
        <v>509.97</v>
      </c>
      <c r="H493" s="12">
        <v>41.1666666666667</v>
      </c>
      <c r="I493" s="13">
        <v>12.3879352226721</v>
      </c>
      <c r="J493" s="12" t="s">
        <v>81</v>
      </c>
      <c r="K493" s="14">
        <v>236</v>
      </c>
      <c r="L493" s="14">
        <v>156</v>
      </c>
      <c r="M493" s="14">
        <v>144</v>
      </c>
      <c r="N493" s="12">
        <v>509.97</v>
      </c>
      <c r="O493" s="12" t="s">
        <v>81</v>
      </c>
      <c r="P493" s="12">
        <v>8.2035566923243999E-2</v>
      </c>
      <c r="Q493" s="12">
        <v>5.6408800200589103E-2</v>
      </c>
      <c r="R493" s="12">
        <v>0.62247983870967705</v>
      </c>
      <c r="S493" s="14">
        <v>36</v>
      </c>
      <c r="T493" s="12">
        <v>6.6018837721584704</v>
      </c>
      <c r="U493" s="14">
        <v>200</v>
      </c>
      <c r="V493" s="14">
        <v>9</v>
      </c>
      <c r="W493" s="12">
        <v>6.3E-3</v>
      </c>
      <c r="X493" s="12">
        <v>6.60818377215847</v>
      </c>
      <c r="Y493" s="14">
        <v>200</v>
      </c>
      <c r="Z493" s="14">
        <v>35</v>
      </c>
      <c r="AA493" s="12" t="s">
        <v>2369</v>
      </c>
    </row>
    <row r="494" spans="1:27" ht="14.25" x14ac:dyDescent="0.45">
      <c r="A494" s="12" t="s">
        <v>93</v>
      </c>
      <c r="B494" s="12" t="s">
        <v>1971</v>
      </c>
      <c r="C494" s="12" t="s">
        <v>1972</v>
      </c>
      <c r="D494" s="12" t="s">
        <v>1973</v>
      </c>
      <c r="E494" s="20">
        <v>30837</v>
      </c>
      <c r="F494" s="20">
        <v>43768</v>
      </c>
      <c r="G494" s="12">
        <v>49.39</v>
      </c>
      <c r="H494" s="12">
        <v>26.433333333333302</v>
      </c>
      <c r="I494" s="13">
        <v>1.86847414880202</v>
      </c>
      <c r="J494" s="12" t="s">
        <v>93</v>
      </c>
      <c r="K494" s="14">
        <v>677</v>
      </c>
      <c r="L494" s="14">
        <v>351</v>
      </c>
      <c r="M494" s="14">
        <v>489</v>
      </c>
      <c r="N494" s="12">
        <v>49.39</v>
      </c>
      <c r="O494" s="12" t="s">
        <v>93</v>
      </c>
      <c r="P494" s="12">
        <v>7.9450490231563007E-3</v>
      </c>
      <c r="Q494" s="12">
        <v>8.5081478910901606E-3</v>
      </c>
      <c r="R494" s="12">
        <v>0.39969758064516098</v>
      </c>
      <c r="S494" s="14">
        <v>38</v>
      </c>
      <c r="T494" s="12">
        <v>0.82969858156149601</v>
      </c>
      <c r="U494" s="14">
        <v>656</v>
      </c>
      <c r="V494" s="14">
        <v>25</v>
      </c>
      <c r="W494" s="12">
        <v>7.4999999999999997E-3</v>
      </c>
      <c r="X494" s="12">
        <v>0.83719858156149596</v>
      </c>
      <c r="Y494" s="14">
        <v>654</v>
      </c>
      <c r="Z494" s="14">
        <v>38</v>
      </c>
      <c r="AA494" s="12" t="s">
        <v>2369</v>
      </c>
    </row>
    <row r="495" spans="1:27" ht="14.25" x14ac:dyDescent="0.45">
      <c r="A495" s="12" t="s">
        <v>104</v>
      </c>
      <c r="B495" s="12" t="s">
        <v>1971</v>
      </c>
      <c r="C495" s="12" t="s">
        <v>1972</v>
      </c>
      <c r="D495" s="12" t="s">
        <v>1975</v>
      </c>
      <c r="E495" s="20">
        <v>30638</v>
      </c>
      <c r="F495" s="20">
        <v>44209</v>
      </c>
      <c r="G495" s="12">
        <v>59.87</v>
      </c>
      <c r="H495" s="12">
        <v>11.733333333333301</v>
      </c>
      <c r="I495" s="13">
        <v>5.1025568181818199</v>
      </c>
      <c r="J495" s="12" t="s">
        <v>104</v>
      </c>
      <c r="K495" s="14">
        <v>440</v>
      </c>
      <c r="L495" s="14">
        <v>812</v>
      </c>
      <c r="M495" s="14">
        <v>453</v>
      </c>
      <c r="N495" s="12">
        <v>59.87</v>
      </c>
      <c r="O495" s="12" t="s">
        <v>104</v>
      </c>
      <c r="P495" s="12">
        <v>9.6308986640284994E-3</v>
      </c>
      <c r="Q495" s="12">
        <v>2.32346313485879E-2</v>
      </c>
      <c r="R495" s="12">
        <v>0.17741935483870999</v>
      </c>
      <c r="S495" s="14">
        <v>39</v>
      </c>
      <c r="T495" s="12">
        <v>1.8133231591878101</v>
      </c>
      <c r="U495" s="14">
        <v>454</v>
      </c>
      <c r="V495" s="14">
        <v>9</v>
      </c>
      <c r="W495" s="12">
        <v>6.3E-3</v>
      </c>
      <c r="X495" s="12">
        <v>1.81962315918781</v>
      </c>
      <c r="Y495" s="14">
        <v>454</v>
      </c>
      <c r="Z495" s="14">
        <v>38</v>
      </c>
      <c r="AA495" s="12" t="s">
        <v>2369</v>
      </c>
    </row>
    <row r="496" spans="1:27" ht="14.25" x14ac:dyDescent="0.45">
      <c r="A496" s="12" t="s">
        <v>108</v>
      </c>
      <c r="B496" s="12" t="s">
        <v>1971</v>
      </c>
      <c r="C496" s="12" t="s">
        <v>1972</v>
      </c>
      <c r="D496" s="12" t="s">
        <v>1990</v>
      </c>
      <c r="E496" s="20">
        <v>30336</v>
      </c>
      <c r="F496" s="20">
        <v>43370</v>
      </c>
      <c r="G496" s="12">
        <v>463.88</v>
      </c>
      <c r="H496" s="12">
        <v>39.700000000000003</v>
      </c>
      <c r="I496" s="13">
        <v>11.6846347607053</v>
      </c>
      <c r="J496" s="12" t="s">
        <v>108</v>
      </c>
      <c r="K496" s="14">
        <v>251</v>
      </c>
      <c r="L496" s="14">
        <v>191</v>
      </c>
      <c r="M496" s="14">
        <v>154</v>
      </c>
      <c r="N496" s="12">
        <v>463.88</v>
      </c>
      <c r="O496" s="12" t="s">
        <v>108</v>
      </c>
      <c r="P496" s="12">
        <v>7.4621367500743996E-2</v>
      </c>
      <c r="Q496" s="12">
        <v>5.3206302405197199E-2</v>
      </c>
      <c r="R496" s="12">
        <v>0.60030241935483897</v>
      </c>
      <c r="S496" s="14">
        <v>39</v>
      </c>
      <c r="T496" s="12">
        <v>6.1236951816027201</v>
      </c>
      <c r="U496" s="14">
        <v>216</v>
      </c>
      <c r="V496" s="14">
        <v>5</v>
      </c>
      <c r="W496" s="12">
        <v>5.8999999999999999E-3</v>
      </c>
      <c r="X496" s="12">
        <v>6.1295951816027197</v>
      </c>
      <c r="Y496" s="14">
        <v>216</v>
      </c>
      <c r="Z496" s="14">
        <v>39</v>
      </c>
      <c r="AA496" s="12" t="s">
        <v>2369</v>
      </c>
    </row>
    <row r="497" spans="1:27" ht="14.25" x14ac:dyDescent="0.45">
      <c r="A497" s="12" t="s">
        <v>111</v>
      </c>
      <c r="B497" s="12" t="s">
        <v>1971</v>
      </c>
      <c r="C497" s="12" t="s">
        <v>1972</v>
      </c>
      <c r="D497" s="12" t="s">
        <v>1974</v>
      </c>
      <c r="E497" s="20">
        <v>31438</v>
      </c>
      <c r="F497" s="20">
        <v>44116</v>
      </c>
      <c r="G497" s="12">
        <v>0.53</v>
      </c>
      <c r="H497" s="12">
        <v>14.8333333333333</v>
      </c>
      <c r="I497" s="13">
        <v>3.5730337078651697E-2</v>
      </c>
      <c r="J497" s="12" t="s">
        <v>111</v>
      </c>
      <c r="K497" s="14">
        <v>1640</v>
      </c>
      <c r="L497" s="14">
        <v>534</v>
      </c>
      <c r="M497" s="14">
        <v>1673</v>
      </c>
      <c r="N497" s="12">
        <v>0.53</v>
      </c>
      <c r="O497" s="12" t="s">
        <v>111</v>
      </c>
      <c r="P497" s="12">
        <v>8.5257663135712494E-5</v>
      </c>
      <c r="Q497" s="12">
        <v>1.6269906236518299E-4</v>
      </c>
      <c r="R497" s="12">
        <v>0.22429435483870999</v>
      </c>
      <c r="S497" s="14">
        <v>36</v>
      </c>
      <c r="T497" s="12">
        <v>1.33658537654131E-2</v>
      </c>
      <c r="U497" s="14">
        <v>1729</v>
      </c>
      <c r="V497" s="14">
        <v>1</v>
      </c>
      <c r="W497" s="12">
        <v>5.4999999999999997E-3</v>
      </c>
      <c r="X497" s="12">
        <v>1.8865853765413099E-2</v>
      </c>
      <c r="Y497" s="14">
        <v>1729</v>
      </c>
      <c r="Z497" s="14">
        <v>36</v>
      </c>
      <c r="AA497" s="12" t="s">
        <v>2369</v>
      </c>
    </row>
    <row r="498" spans="1:27" ht="14.25" x14ac:dyDescent="0.45">
      <c r="A498" s="12" t="s">
        <v>118</v>
      </c>
      <c r="B498" s="12" t="s">
        <v>1971</v>
      </c>
      <c r="C498" s="12" t="s">
        <v>1972</v>
      </c>
      <c r="D498" s="12" t="s">
        <v>1990</v>
      </c>
      <c r="E498" s="20">
        <v>30076</v>
      </c>
      <c r="F498" s="20">
        <v>44180</v>
      </c>
      <c r="G498" s="12">
        <v>0.15</v>
      </c>
      <c r="H498" s="12">
        <v>12.7</v>
      </c>
      <c r="I498" s="13">
        <v>1.1811023622047201E-2</v>
      </c>
      <c r="J498" s="12" t="s">
        <v>118</v>
      </c>
      <c r="K498" s="14">
        <v>1731</v>
      </c>
      <c r="L498" s="14">
        <v>704</v>
      </c>
      <c r="M498" s="14">
        <v>1807</v>
      </c>
      <c r="N498" s="12">
        <v>0.15</v>
      </c>
      <c r="O498" s="12" t="s">
        <v>118</v>
      </c>
      <c r="P498" s="12">
        <v>2.4129527302560101E-5</v>
      </c>
      <c r="Q498" s="12">
        <v>5.3781817525260899E-5</v>
      </c>
      <c r="R498" s="12">
        <v>0.19203629032258099</v>
      </c>
      <c r="S498" s="14">
        <v>40</v>
      </c>
      <c r="T498" s="12">
        <v>4.2662208691748096E-3</v>
      </c>
      <c r="U498" s="14">
        <v>1831</v>
      </c>
      <c r="V498" s="14">
        <v>1</v>
      </c>
      <c r="W498" s="12">
        <v>5.4999999999999997E-3</v>
      </c>
      <c r="X498" s="12">
        <v>9.7662208691748093E-3</v>
      </c>
      <c r="Y498" s="14">
        <v>1832</v>
      </c>
      <c r="Z498" s="14">
        <v>40</v>
      </c>
      <c r="AA498" s="12" t="s">
        <v>2369</v>
      </c>
    </row>
    <row r="499" spans="1:27" ht="14.25" x14ac:dyDescent="0.45">
      <c r="A499" s="12" t="s">
        <v>128</v>
      </c>
      <c r="B499" s="12" t="s">
        <v>1971</v>
      </c>
      <c r="C499" s="12" t="s">
        <v>1972</v>
      </c>
      <c r="D499" s="12" t="s">
        <v>1990</v>
      </c>
      <c r="E499" s="20">
        <v>30309</v>
      </c>
      <c r="F499" s="20">
        <v>43704</v>
      </c>
      <c r="G499" s="12">
        <v>6216.45</v>
      </c>
      <c r="H499" s="12">
        <v>28.566666666666698</v>
      </c>
      <c r="I499" s="13">
        <v>217.612018669778</v>
      </c>
      <c r="J499" s="12" t="s">
        <v>128</v>
      </c>
      <c r="K499" s="14">
        <v>2</v>
      </c>
      <c r="L499" s="14">
        <v>266</v>
      </c>
      <c r="M499" s="14">
        <v>1</v>
      </c>
      <c r="N499" s="12">
        <v>6216.45</v>
      </c>
      <c r="O499" s="12" t="s">
        <v>128</v>
      </c>
      <c r="P499" s="12">
        <v>1</v>
      </c>
      <c r="Q499" s="12">
        <v>0.99090224978934305</v>
      </c>
      <c r="R499" s="12">
        <v>0.43195564516128998</v>
      </c>
      <c r="S499" s="14">
        <v>40</v>
      </c>
      <c r="T499" s="12">
        <v>99.431390611834004</v>
      </c>
      <c r="U499" s="14">
        <v>1</v>
      </c>
      <c r="V499" s="14">
        <v>80</v>
      </c>
      <c r="W499" s="12">
        <v>9.4999999999999998E-3</v>
      </c>
      <c r="X499" s="12">
        <v>99.440890611834007</v>
      </c>
      <c r="Y499" s="14">
        <v>1</v>
      </c>
      <c r="Z499" s="14">
        <v>39</v>
      </c>
      <c r="AA499" s="12" t="s">
        <v>2369</v>
      </c>
    </row>
    <row r="500" spans="1:27" ht="14.25" x14ac:dyDescent="0.45">
      <c r="A500" s="12" t="s">
        <v>131</v>
      </c>
      <c r="B500" s="12" t="s">
        <v>1971</v>
      </c>
      <c r="C500" s="12" t="s">
        <v>1972</v>
      </c>
      <c r="D500" s="12" t="s">
        <v>1973</v>
      </c>
      <c r="E500" s="20">
        <v>31107</v>
      </c>
      <c r="F500" s="20">
        <v>43714</v>
      </c>
      <c r="G500" s="12">
        <v>226.26</v>
      </c>
      <c r="H500" s="12">
        <v>28.233333333333299</v>
      </c>
      <c r="I500" s="13">
        <v>8.0139315230224302</v>
      </c>
      <c r="J500" s="12" t="s">
        <v>131</v>
      </c>
      <c r="K500" s="14">
        <v>352</v>
      </c>
      <c r="L500" s="14">
        <v>280</v>
      </c>
      <c r="M500" s="14">
        <v>269</v>
      </c>
      <c r="N500" s="12">
        <v>226.26</v>
      </c>
      <c r="O500" s="12" t="s">
        <v>131</v>
      </c>
      <c r="P500" s="12">
        <v>3.6396978983181699E-2</v>
      </c>
      <c r="Q500" s="12">
        <v>3.64916553063689E-2</v>
      </c>
      <c r="R500" s="12">
        <v>0.42691532258064502</v>
      </c>
      <c r="S500" s="14">
        <v>37</v>
      </c>
      <c r="T500" s="12">
        <v>3.6456151685173701</v>
      </c>
      <c r="U500" s="14">
        <v>332</v>
      </c>
      <c r="V500" s="14">
        <v>42</v>
      </c>
      <c r="W500" s="12">
        <v>8.3000000000000001E-3</v>
      </c>
      <c r="X500" s="12">
        <v>3.6539151685173699</v>
      </c>
      <c r="Y500" s="14">
        <v>332</v>
      </c>
      <c r="Z500" s="14">
        <v>37</v>
      </c>
      <c r="AA500" s="12" t="s">
        <v>2369</v>
      </c>
    </row>
    <row r="501" spans="1:27" ht="14.25" x14ac:dyDescent="0.45">
      <c r="A501" s="12" t="s">
        <v>135</v>
      </c>
      <c r="B501" s="12" t="s">
        <v>1971</v>
      </c>
      <c r="C501" s="12" t="s">
        <v>1972</v>
      </c>
      <c r="D501" s="12" t="s">
        <v>1990</v>
      </c>
      <c r="E501" s="20">
        <v>30126</v>
      </c>
      <c r="F501" s="20">
        <v>42817</v>
      </c>
      <c r="G501" s="12">
        <v>1663.19</v>
      </c>
      <c r="H501" s="12">
        <v>58.133333333333297</v>
      </c>
      <c r="I501" s="13">
        <v>28.609919724770599</v>
      </c>
      <c r="J501" s="12" t="s">
        <v>135</v>
      </c>
      <c r="K501" s="14">
        <v>85</v>
      </c>
      <c r="L501" s="14">
        <v>9</v>
      </c>
      <c r="M501" s="14">
        <v>28</v>
      </c>
      <c r="N501" s="12">
        <v>1663.19</v>
      </c>
      <c r="O501" s="12" t="s">
        <v>135</v>
      </c>
      <c r="P501" s="12">
        <v>0.26754659009563297</v>
      </c>
      <c r="Q501" s="12">
        <v>0.130276048146898</v>
      </c>
      <c r="R501" s="12">
        <v>0.87903225806451601</v>
      </c>
      <c r="S501" s="14">
        <v>40</v>
      </c>
      <c r="T501" s="12">
        <v>18.175250137767399</v>
      </c>
      <c r="U501" s="14">
        <v>59</v>
      </c>
      <c r="V501" s="14">
        <v>40</v>
      </c>
      <c r="W501" s="12">
        <v>8.2000000000000007E-3</v>
      </c>
      <c r="X501" s="12">
        <v>18.183450137767402</v>
      </c>
      <c r="Y501" s="14">
        <v>59</v>
      </c>
      <c r="Z501" s="14">
        <v>40</v>
      </c>
      <c r="AA501" s="12" t="s">
        <v>2369</v>
      </c>
    </row>
    <row r="502" spans="1:27" ht="14.25" x14ac:dyDescent="0.45">
      <c r="A502" s="12" t="s">
        <v>148</v>
      </c>
      <c r="B502" s="12" t="s">
        <v>1971</v>
      </c>
      <c r="C502" s="12" t="s">
        <v>1972</v>
      </c>
      <c r="D502" s="12" t="s">
        <v>1993</v>
      </c>
      <c r="E502" s="20">
        <v>30764</v>
      </c>
      <c r="F502" s="20">
        <v>44186</v>
      </c>
      <c r="G502" s="12">
        <v>60.97</v>
      </c>
      <c r="H502" s="12">
        <v>12.5</v>
      </c>
      <c r="I502" s="13">
        <v>4.8776000000000002</v>
      </c>
      <c r="J502" s="12" t="s">
        <v>148</v>
      </c>
      <c r="K502" s="14">
        <v>450</v>
      </c>
      <c r="L502" s="14">
        <v>723</v>
      </c>
      <c r="M502" s="14">
        <v>451</v>
      </c>
      <c r="N502" s="12">
        <v>60.97</v>
      </c>
      <c r="O502" s="12" t="s">
        <v>148</v>
      </c>
      <c r="P502" s="12">
        <v>9.8078485309139405E-3</v>
      </c>
      <c r="Q502" s="12">
        <v>2.2210284354316E-2</v>
      </c>
      <c r="R502" s="12">
        <v>0.18901209677419401</v>
      </c>
      <c r="S502" s="14">
        <v>38</v>
      </c>
      <c r="T502" s="12">
        <v>1.75593709205402</v>
      </c>
      <c r="U502" s="14">
        <v>459</v>
      </c>
      <c r="V502" s="14">
        <v>3</v>
      </c>
      <c r="W502" s="12">
        <v>5.7000000000000002E-3</v>
      </c>
      <c r="X502" s="12">
        <v>1.7616370920540201</v>
      </c>
      <c r="Y502" s="14">
        <v>459</v>
      </c>
      <c r="Z502" s="14">
        <v>38</v>
      </c>
      <c r="AA502" s="12" t="s">
        <v>2369</v>
      </c>
    </row>
    <row r="503" spans="1:27" ht="14.25" x14ac:dyDescent="0.45">
      <c r="A503" s="12" t="s">
        <v>152</v>
      </c>
      <c r="B503" s="12" t="s">
        <v>1971</v>
      </c>
      <c r="C503" s="12" t="s">
        <v>1972</v>
      </c>
      <c r="D503" s="12" t="s">
        <v>1974</v>
      </c>
      <c r="E503" s="20">
        <v>31118</v>
      </c>
      <c r="F503" s="20">
        <v>43745</v>
      </c>
      <c r="G503" s="12">
        <v>388.77</v>
      </c>
      <c r="H503" s="12">
        <v>27.2</v>
      </c>
      <c r="I503" s="13">
        <v>14.293014705882401</v>
      </c>
      <c r="J503" s="12" t="s">
        <v>152</v>
      </c>
      <c r="K503" s="14">
        <v>201</v>
      </c>
      <c r="L503" s="14">
        <v>307</v>
      </c>
      <c r="M503" s="14">
        <v>183</v>
      </c>
      <c r="N503" s="12">
        <v>388.77</v>
      </c>
      <c r="O503" s="12" t="s">
        <v>152</v>
      </c>
      <c r="P503" s="12">
        <v>6.2538908862775397E-2</v>
      </c>
      <c r="Q503" s="12">
        <v>6.5083631478199802E-2</v>
      </c>
      <c r="R503" s="12">
        <v>0.41129032258064502</v>
      </c>
      <c r="S503" s="14">
        <v>37</v>
      </c>
      <c r="T503" s="12">
        <v>6.4129360497415604</v>
      </c>
      <c r="U503" s="14">
        <v>207</v>
      </c>
      <c r="V503" s="14">
        <v>18</v>
      </c>
      <c r="W503" s="12">
        <v>7.0000000000000001E-3</v>
      </c>
      <c r="X503" s="12">
        <v>6.4199360497415601</v>
      </c>
      <c r="Y503" s="14">
        <v>207</v>
      </c>
      <c r="Z503" s="14">
        <v>37</v>
      </c>
      <c r="AA503" s="12" t="s">
        <v>2369</v>
      </c>
    </row>
    <row r="504" spans="1:27" ht="14.25" x14ac:dyDescent="0.45">
      <c r="A504" s="12" t="s">
        <v>171</v>
      </c>
      <c r="B504" s="12" t="s">
        <v>1971</v>
      </c>
      <c r="C504" s="12" t="s">
        <v>1972</v>
      </c>
      <c r="D504" s="12" t="s">
        <v>1974</v>
      </c>
      <c r="E504" s="20">
        <v>29567</v>
      </c>
      <c r="F504" s="20">
        <v>44144</v>
      </c>
      <c r="G504" s="12">
        <v>0.25</v>
      </c>
      <c r="H504" s="12">
        <v>13.9</v>
      </c>
      <c r="I504" s="13">
        <v>1.7985611510791401E-2</v>
      </c>
      <c r="J504" s="12" t="s">
        <v>171</v>
      </c>
      <c r="K504" s="14">
        <v>1701</v>
      </c>
      <c r="L504" s="14">
        <v>610</v>
      </c>
      <c r="M504" s="14">
        <v>1758</v>
      </c>
      <c r="N504" s="12">
        <v>0.25</v>
      </c>
      <c r="O504" s="12" t="s">
        <v>171</v>
      </c>
      <c r="P504" s="12">
        <v>4.0215878837600201E-5</v>
      </c>
      <c r="Q504" s="12">
        <v>8.1897971531272605E-5</v>
      </c>
      <c r="R504" s="12">
        <v>0.210181451612903</v>
      </c>
      <c r="S504" s="14">
        <v>42</v>
      </c>
      <c r="T504" s="12">
        <v>6.6267186771145504E-3</v>
      </c>
      <c r="U504" s="14">
        <v>1798</v>
      </c>
      <c r="V504" s="14">
        <v>3</v>
      </c>
      <c r="W504" s="12">
        <v>5.7000000000000002E-3</v>
      </c>
      <c r="X504" s="12">
        <v>1.23267186771145E-2</v>
      </c>
      <c r="Y504" s="14">
        <v>1795</v>
      </c>
      <c r="Z504" s="14">
        <v>41</v>
      </c>
      <c r="AA504" s="12" t="s">
        <v>2369</v>
      </c>
    </row>
    <row r="505" spans="1:27" ht="14.25" x14ac:dyDescent="0.45">
      <c r="A505" s="12" t="s">
        <v>173</v>
      </c>
      <c r="B505" s="12" t="s">
        <v>1971</v>
      </c>
      <c r="C505" s="12" t="s">
        <v>1972</v>
      </c>
      <c r="D505" s="12" t="s">
        <v>1974</v>
      </c>
      <c r="E505" s="20">
        <v>28637</v>
      </c>
      <c r="F505" s="20">
        <v>44109</v>
      </c>
      <c r="G505" s="12">
        <v>34.92</v>
      </c>
      <c r="H505" s="12">
        <v>15.0666666666667</v>
      </c>
      <c r="I505" s="13">
        <v>2.3176991150442499</v>
      </c>
      <c r="J505" s="12" t="s">
        <v>173</v>
      </c>
      <c r="K505" s="14">
        <v>617</v>
      </c>
      <c r="L505" s="14">
        <v>501</v>
      </c>
      <c r="M505" s="14">
        <v>544</v>
      </c>
      <c r="N505" s="12">
        <v>34.92</v>
      </c>
      <c r="O505" s="12" t="s">
        <v>173</v>
      </c>
      <c r="P505" s="12">
        <v>5.6173539560359998E-3</v>
      </c>
      <c r="Q505" s="12">
        <v>1.0553706001492399E-2</v>
      </c>
      <c r="R505" s="12">
        <v>0.227822580645161</v>
      </c>
      <c r="S505" s="14">
        <v>44</v>
      </c>
      <c r="T505" s="12">
        <v>0.87025739844462502</v>
      </c>
      <c r="U505" s="14">
        <v>644</v>
      </c>
      <c r="V505" s="14">
        <v>1</v>
      </c>
      <c r="W505" s="12">
        <v>5.4999999999999997E-3</v>
      </c>
      <c r="X505" s="12">
        <v>0.87575739844462497</v>
      </c>
      <c r="Y505" s="14">
        <v>644</v>
      </c>
      <c r="Z505" s="14">
        <v>44</v>
      </c>
      <c r="AA505" s="12" t="s">
        <v>2369</v>
      </c>
    </row>
    <row r="506" spans="1:27" ht="14.25" x14ac:dyDescent="0.45">
      <c r="A506" s="12" t="s">
        <v>178</v>
      </c>
      <c r="B506" s="12" t="s">
        <v>1971</v>
      </c>
      <c r="C506" s="12" t="s">
        <v>1972</v>
      </c>
      <c r="D506" s="12" t="s">
        <v>1974</v>
      </c>
      <c r="E506" s="20">
        <v>29256</v>
      </c>
      <c r="F506" s="20">
        <v>44146</v>
      </c>
      <c r="G506" s="12">
        <v>156</v>
      </c>
      <c r="H506" s="12">
        <v>13.8333333333333</v>
      </c>
      <c r="I506" s="13">
        <v>11.277108433734901</v>
      </c>
      <c r="J506" s="12" t="s">
        <v>178</v>
      </c>
      <c r="K506" s="14">
        <v>257</v>
      </c>
      <c r="L506" s="14">
        <v>616</v>
      </c>
      <c r="M506" s="14">
        <v>320</v>
      </c>
      <c r="N506" s="12">
        <v>156</v>
      </c>
      <c r="O506" s="12" t="s">
        <v>178</v>
      </c>
      <c r="P506" s="12">
        <v>2.5094708394662501E-2</v>
      </c>
      <c r="Q506" s="12">
        <v>5.1350620183637098E-2</v>
      </c>
      <c r="R506" s="12">
        <v>0.20917338709677399</v>
      </c>
      <c r="S506" s="14">
        <v>42</v>
      </c>
      <c r="T506" s="12">
        <v>4.1504653262771596</v>
      </c>
      <c r="U506" s="14">
        <v>302</v>
      </c>
      <c r="V506" s="14">
        <v>5</v>
      </c>
      <c r="W506" s="12">
        <v>5.8999999999999999E-3</v>
      </c>
      <c r="X506" s="12">
        <v>4.15636532627716</v>
      </c>
      <c r="Y506" s="14">
        <v>302</v>
      </c>
      <c r="Z506" s="14">
        <v>42</v>
      </c>
      <c r="AA506" s="12" t="s">
        <v>2369</v>
      </c>
    </row>
    <row r="507" spans="1:27" ht="14.25" x14ac:dyDescent="0.45">
      <c r="A507" s="12" t="s">
        <v>183</v>
      </c>
      <c r="B507" s="12" t="s">
        <v>1971</v>
      </c>
      <c r="C507" s="12" t="s">
        <v>1972</v>
      </c>
      <c r="D507" s="12" t="s">
        <v>1975</v>
      </c>
      <c r="E507" s="20">
        <v>29195</v>
      </c>
      <c r="F507" s="20">
        <v>43704</v>
      </c>
      <c r="G507" s="12">
        <v>1182.43</v>
      </c>
      <c r="H507" s="12">
        <v>28.566666666666698</v>
      </c>
      <c r="I507" s="13">
        <v>41.391948658109698</v>
      </c>
      <c r="J507" s="12" t="s">
        <v>183</v>
      </c>
      <c r="K507" s="14">
        <v>58</v>
      </c>
      <c r="L507" s="14">
        <v>266</v>
      </c>
      <c r="M507" s="14">
        <v>44</v>
      </c>
      <c r="N507" s="12">
        <v>1182.43</v>
      </c>
      <c r="O507" s="12" t="s">
        <v>183</v>
      </c>
      <c r="P507" s="12">
        <v>0.19020984645577499</v>
      </c>
      <c r="Q507" s="12">
        <v>0.18847936478511301</v>
      </c>
      <c r="R507" s="12">
        <v>0.43195564516128998</v>
      </c>
      <c r="S507" s="14">
        <v>43</v>
      </c>
      <c r="T507" s="12">
        <v>18.912829541161098</v>
      </c>
      <c r="U507" s="14">
        <v>55</v>
      </c>
      <c r="V507" s="14">
        <v>11</v>
      </c>
      <c r="W507" s="12">
        <v>6.4999999999999997E-3</v>
      </c>
      <c r="X507" s="12">
        <v>18.919329541161101</v>
      </c>
      <c r="Y507" s="14">
        <v>55</v>
      </c>
      <c r="Z507" s="14">
        <v>42</v>
      </c>
      <c r="AA507" s="12" t="s">
        <v>2369</v>
      </c>
    </row>
    <row r="508" spans="1:27" ht="14.25" x14ac:dyDescent="0.45">
      <c r="A508" s="12" t="s">
        <v>187</v>
      </c>
      <c r="B508" s="12" t="s">
        <v>1971</v>
      </c>
      <c r="C508" s="12" t="s">
        <v>1972</v>
      </c>
      <c r="D508" s="12" t="s">
        <v>1973</v>
      </c>
      <c r="E508" s="20">
        <v>30395</v>
      </c>
      <c r="F508" s="20">
        <v>44207</v>
      </c>
      <c r="G508" s="12">
        <v>25.75</v>
      </c>
      <c r="H508" s="12">
        <v>11.8</v>
      </c>
      <c r="I508" s="13">
        <v>2.18220338983051</v>
      </c>
      <c r="J508" s="12" t="s">
        <v>187</v>
      </c>
      <c r="K508" s="14">
        <v>630</v>
      </c>
      <c r="L508" s="14">
        <v>798</v>
      </c>
      <c r="M508" s="14">
        <v>677</v>
      </c>
      <c r="N508" s="12">
        <v>25.75</v>
      </c>
      <c r="O508" s="12" t="s">
        <v>187</v>
      </c>
      <c r="P508" s="12">
        <v>4.1422355202728198E-3</v>
      </c>
      <c r="Q508" s="12">
        <v>9.9367225289256796E-3</v>
      </c>
      <c r="R508" s="12">
        <v>0.178427419354839</v>
      </c>
      <c r="S508" s="14">
        <v>39</v>
      </c>
      <c r="T508" s="12">
        <v>0.77637899006808597</v>
      </c>
      <c r="U508" s="14">
        <v>689</v>
      </c>
      <c r="V508" s="14">
        <v>2</v>
      </c>
      <c r="W508" s="12">
        <v>5.5999999999999999E-3</v>
      </c>
      <c r="X508" s="12">
        <v>0.78197899006808602</v>
      </c>
      <c r="Y508" s="14">
        <v>689</v>
      </c>
      <c r="Z508" s="14">
        <v>39</v>
      </c>
      <c r="AA508" s="12" t="s">
        <v>2369</v>
      </c>
    </row>
    <row r="509" spans="1:27" ht="14.25" x14ac:dyDescent="0.45">
      <c r="A509" s="12" t="s">
        <v>188</v>
      </c>
      <c r="B509" s="12" t="s">
        <v>1971</v>
      </c>
      <c r="C509" s="12" t="s">
        <v>1972</v>
      </c>
      <c r="D509" s="12" t="s">
        <v>2368</v>
      </c>
      <c r="E509" s="20">
        <v>31538</v>
      </c>
      <c r="F509" s="20">
        <v>42850</v>
      </c>
      <c r="G509" s="12">
        <v>767.73</v>
      </c>
      <c r="H509" s="12">
        <v>57.033333333333303</v>
      </c>
      <c r="I509" s="13">
        <v>13.4610753945061</v>
      </c>
      <c r="J509" s="12" t="s">
        <v>188</v>
      </c>
      <c r="K509" s="14">
        <v>215</v>
      </c>
      <c r="L509" s="14">
        <v>24</v>
      </c>
      <c r="M509" s="14">
        <v>77</v>
      </c>
      <c r="N509" s="12">
        <v>767.73</v>
      </c>
      <c r="O509" s="12" t="s">
        <v>188</v>
      </c>
      <c r="P509" s="12">
        <v>0.12349974663996301</v>
      </c>
      <c r="Q509" s="12">
        <v>6.1295373180840503E-2</v>
      </c>
      <c r="R509" s="12">
        <v>0.86239919354838701</v>
      </c>
      <c r="S509" s="14">
        <v>36</v>
      </c>
      <c r="T509" s="12">
        <v>8.4622013228011603</v>
      </c>
      <c r="U509" s="14">
        <v>135</v>
      </c>
      <c r="V509" s="14">
        <v>8</v>
      </c>
      <c r="W509" s="12">
        <v>6.1999999999999998E-3</v>
      </c>
      <c r="X509" s="12">
        <v>8.4684013228011601</v>
      </c>
      <c r="Y509" s="14">
        <v>135</v>
      </c>
      <c r="Z509" s="14">
        <v>36</v>
      </c>
      <c r="AA509" s="12" t="s">
        <v>2369</v>
      </c>
    </row>
    <row r="510" spans="1:27" ht="14.25" x14ac:dyDescent="0.45">
      <c r="A510" s="12" t="s">
        <v>194</v>
      </c>
      <c r="B510" s="12" t="s">
        <v>1971</v>
      </c>
      <c r="C510" s="12" t="s">
        <v>1972</v>
      </c>
      <c r="D510" s="12" t="s">
        <v>1990</v>
      </c>
      <c r="E510" s="20">
        <v>31439</v>
      </c>
      <c r="F510" s="20">
        <v>43714</v>
      </c>
      <c r="G510" s="12">
        <v>147.57</v>
      </c>
      <c r="H510" s="12">
        <v>28.233333333333299</v>
      </c>
      <c r="I510" s="13">
        <v>5.2268004722550199</v>
      </c>
      <c r="J510" s="12" t="s">
        <v>194</v>
      </c>
      <c r="K510" s="14">
        <v>433</v>
      </c>
      <c r="L510" s="14">
        <v>280</v>
      </c>
      <c r="M510" s="14">
        <v>323</v>
      </c>
      <c r="N510" s="12">
        <v>147.57</v>
      </c>
      <c r="O510" s="12" t="s">
        <v>194</v>
      </c>
      <c r="P510" s="12">
        <v>2.37386289602587E-2</v>
      </c>
      <c r="Q510" s="12">
        <v>2.38003782089669E-2</v>
      </c>
      <c r="R510" s="12">
        <v>0.42691532258064502</v>
      </c>
      <c r="S510" s="14">
        <v>36</v>
      </c>
      <c r="T510" s="12">
        <v>2.3777222240701299</v>
      </c>
      <c r="U510" s="14">
        <v>410</v>
      </c>
      <c r="V510" s="14">
        <v>42</v>
      </c>
      <c r="W510" s="12">
        <v>8.3000000000000001E-3</v>
      </c>
      <c r="X510" s="12">
        <v>2.3860222240701301</v>
      </c>
      <c r="Y510" s="14">
        <v>410</v>
      </c>
      <c r="Z510" s="14">
        <v>36</v>
      </c>
      <c r="AA510" s="12" t="s">
        <v>2369</v>
      </c>
    </row>
    <row r="511" spans="1:27" ht="14.25" x14ac:dyDescent="0.45">
      <c r="A511" s="12" t="s">
        <v>195</v>
      </c>
      <c r="B511" s="12" t="s">
        <v>1971</v>
      </c>
      <c r="C511" s="12" t="s">
        <v>1972</v>
      </c>
      <c r="D511" s="12" t="s">
        <v>1975</v>
      </c>
      <c r="E511" s="20">
        <v>30775</v>
      </c>
      <c r="F511" s="20">
        <v>43707</v>
      </c>
      <c r="G511" s="12">
        <v>2500.14</v>
      </c>
      <c r="H511" s="12">
        <v>28.466666666666701</v>
      </c>
      <c r="I511" s="13">
        <v>87.826932084309107</v>
      </c>
      <c r="J511" s="12" t="s">
        <v>195</v>
      </c>
      <c r="K511" s="14">
        <v>25</v>
      </c>
      <c r="L511" s="14">
        <v>271</v>
      </c>
      <c r="M511" s="14">
        <v>12</v>
      </c>
      <c r="N511" s="12">
        <v>2500.14</v>
      </c>
      <c r="O511" s="12" t="s">
        <v>195</v>
      </c>
      <c r="P511" s="12">
        <v>0.40218130926815099</v>
      </c>
      <c r="Q511" s="12">
        <v>0.39992232564369901</v>
      </c>
      <c r="R511" s="12">
        <v>0.43044354838709697</v>
      </c>
      <c r="S511" s="14">
        <v>38</v>
      </c>
      <c r="T511" s="12">
        <v>40.076944450286902</v>
      </c>
      <c r="U511" s="14">
        <v>17</v>
      </c>
      <c r="V511" s="14">
        <v>50</v>
      </c>
      <c r="W511" s="12">
        <v>8.6E-3</v>
      </c>
      <c r="X511" s="12">
        <v>40.085544450286903</v>
      </c>
      <c r="Y511" s="14">
        <v>17</v>
      </c>
      <c r="Z511" s="14">
        <v>38</v>
      </c>
      <c r="AA511" s="12" t="s">
        <v>2369</v>
      </c>
    </row>
    <row r="512" spans="1:27" ht="14.25" x14ac:dyDescent="0.45">
      <c r="A512" s="12" t="s">
        <v>200</v>
      </c>
      <c r="B512" s="12" t="s">
        <v>1971</v>
      </c>
      <c r="C512" s="12" t="s">
        <v>1972</v>
      </c>
      <c r="D512" s="12" t="s">
        <v>1974</v>
      </c>
      <c r="E512" s="20">
        <v>30296</v>
      </c>
      <c r="F512" s="20">
        <v>43707</v>
      </c>
      <c r="G512" s="12">
        <v>3.59</v>
      </c>
      <c r="H512" s="12">
        <v>28.466666666666701</v>
      </c>
      <c r="I512" s="13">
        <v>0.12611241217798599</v>
      </c>
      <c r="J512" s="12" t="s">
        <v>200</v>
      </c>
      <c r="K512" s="14">
        <v>1448</v>
      </c>
      <c r="L512" s="14">
        <v>271</v>
      </c>
      <c r="M512" s="14">
        <v>1159</v>
      </c>
      <c r="N512" s="12">
        <v>3.59</v>
      </c>
      <c r="O512" s="12" t="s">
        <v>200</v>
      </c>
      <c r="P512" s="12">
        <v>5.7750002010793897E-4</v>
      </c>
      <c r="Q512" s="12">
        <v>5.7425630127147997E-4</v>
      </c>
      <c r="R512" s="12">
        <v>0.43044354838709697</v>
      </c>
      <c r="S512" s="14">
        <v>40</v>
      </c>
      <c r="T512" s="12">
        <v>5.75472695835152E-2</v>
      </c>
      <c r="U512" s="14">
        <v>1490</v>
      </c>
      <c r="V512" s="14">
        <v>1</v>
      </c>
      <c r="W512" s="12">
        <v>5.4999999999999997E-3</v>
      </c>
      <c r="X512" s="12">
        <v>6.3047269583515295E-2</v>
      </c>
      <c r="Y512" s="14">
        <v>1490</v>
      </c>
      <c r="Z512" s="14">
        <v>39</v>
      </c>
      <c r="AA512" s="12" t="s">
        <v>2369</v>
      </c>
    </row>
    <row r="513" spans="1:27" ht="14.25" x14ac:dyDescent="0.45">
      <c r="A513" s="12" t="s">
        <v>201</v>
      </c>
      <c r="B513" s="12" t="s">
        <v>1971</v>
      </c>
      <c r="C513" s="12" t="s">
        <v>1972</v>
      </c>
      <c r="D513" s="12" t="s">
        <v>1997</v>
      </c>
      <c r="E513" s="20">
        <v>31783</v>
      </c>
      <c r="F513" s="20">
        <v>42817</v>
      </c>
      <c r="G513" s="12">
        <v>756.92</v>
      </c>
      <c r="H513" s="12">
        <v>58.133333333333297</v>
      </c>
      <c r="I513" s="13">
        <v>13.0204128440367</v>
      </c>
      <c r="J513" s="12" t="s">
        <v>201</v>
      </c>
      <c r="K513" s="14">
        <v>226</v>
      </c>
      <c r="L513" s="14">
        <v>9</v>
      </c>
      <c r="M513" s="14">
        <v>81</v>
      </c>
      <c r="N513" s="12">
        <v>756.92</v>
      </c>
      <c r="O513" s="12" t="s">
        <v>201</v>
      </c>
      <c r="P513" s="12">
        <v>0.121760812039025</v>
      </c>
      <c r="Q513" s="12">
        <v>5.9288804263704198E-2</v>
      </c>
      <c r="R513" s="12">
        <v>0.87903225806451601</v>
      </c>
      <c r="S513" s="14">
        <v>35</v>
      </c>
      <c r="T513" s="12">
        <v>8.2715807179449694</v>
      </c>
      <c r="U513" s="14">
        <v>142</v>
      </c>
      <c r="V513" s="14">
        <v>9</v>
      </c>
      <c r="W513" s="12">
        <v>6.3E-3</v>
      </c>
      <c r="X513" s="12">
        <v>8.2778807179449707</v>
      </c>
      <c r="Y513" s="14">
        <v>142</v>
      </c>
      <c r="Z513" s="14">
        <v>35</v>
      </c>
      <c r="AA513" s="12" t="s">
        <v>2369</v>
      </c>
    </row>
    <row r="514" spans="1:27" ht="14.25" x14ac:dyDescent="0.45">
      <c r="A514" s="12" t="s">
        <v>203</v>
      </c>
      <c r="B514" s="12" t="s">
        <v>1971</v>
      </c>
      <c r="C514" s="12" t="s">
        <v>1972</v>
      </c>
      <c r="D514" s="12" t="s">
        <v>1974</v>
      </c>
      <c r="E514" s="20">
        <v>30759</v>
      </c>
      <c r="F514" s="20">
        <v>43714</v>
      </c>
      <c r="G514" s="12">
        <v>1306.19</v>
      </c>
      <c r="H514" s="12">
        <v>28.233333333333299</v>
      </c>
      <c r="I514" s="13">
        <v>46.264108618654099</v>
      </c>
      <c r="J514" s="12" t="s">
        <v>203</v>
      </c>
      <c r="K514" s="14">
        <v>49</v>
      </c>
      <c r="L514" s="14">
        <v>280</v>
      </c>
      <c r="M514" s="14">
        <v>37</v>
      </c>
      <c r="N514" s="12">
        <v>1306.19</v>
      </c>
      <c r="O514" s="12" t="s">
        <v>203</v>
      </c>
      <c r="P514" s="12">
        <v>0.21011831511553999</v>
      </c>
      <c r="Q514" s="12">
        <v>0.21066487777170501</v>
      </c>
      <c r="R514" s="12">
        <v>0.42691532258064502</v>
      </c>
      <c r="S514" s="14">
        <v>38</v>
      </c>
      <c r="T514" s="12">
        <v>21.045991677564299</v>
      </c>
      <c r="U514" s="14">
        <v>49</v>
      </c>
      <c r="V514" s="14">
        <v>48</v>
      </c>
      <c r="W514" s="12">
        <v>8.3999999999999995E-3</v>
      </c>
      <c r="X514" s="12">
        <v>21.054391677564301</v>
      </c>
      <c r="Y514" s="14">
        <v>49</v>
      </c>
      <c r="Z514" s="14">
        <v>38</v>
      </c>
      <c r="AA514" s="12" t="s">
        <v>2369</v>
      </c>
    </row>
    <row r="515" spans="1:27" ht="14.25" x14ac:dyDescent="0.45">
      <c r="A515" s="12" t="s">
        <v>205</v>
      </c>
      <c r="B515" s="12" t="s">
        <v>1971</v>
      </c>
      <c r="C515" s="12" t="s">
        <v>1972</v>
      </c>
      <c r="D515" s="12" t="s">
        <v>1990</v>
      </c>
      <c r="E515" s="20">
        <v>30376</v>
      </c>
      <c r="F515" s="20">
        <v>43276</v>
      </c>
      <c r="G515" s="12">
        <v>588.39</v>
      </c>
      <c r="H515" s="12">
        <v>42.8333333333333</v>
      </c>
      <c r="I515" s="13">
        <v>13.7367315175097</v>
      </c>
      <c r="J515" s="12" t="s">
        <v>205</v>
      </c>
      <c r="K515" s="14">
        <v>212</v>
      </c>
      <c r="L515" s="14">
        <v>107</v>
      </c>
      <c r="M515" s="14">
        <v>122</v>
      </c>
      <c r="N515" s="12">
        <v>588.39</v>
      </c>
      <c r="O515" s="12" t="s">
        <v>205</v>
      </c>
      <c r="P515" s="12">
        <v>9.46504837970224E-2</v>
      </c>
      <c r="Q515" s="12">
        <v>6.2550580839508305E-2</v>
      </c>
      <c r="R515" s="12">
        <v>0.64768145161290303</v>
      </c>
      <c r="S515" s="14">
        <v>39</v>
      </c>
      <c r="T515" s="12">
        <v>7.4588044448576101</v>
      </c>
      <c r="U515" s="14">
        <v>172</v>
      </c>
      <c r="V515" s="14">
        <v>7</v>
      </c>
      <c r="W515" s="12">
        <v>6.1000000000000004E-3</v>
      </c>
      <c r="X515" s="12">
        <v>7.4649044448576101</v>
      </c>
      <c r="Y515" s="14">
        <v>172</v>
      </c>
      <c r="Z515" s="14">
        <v>39</v>
      </c>
      <c r="AA515" s="12" t="s">
        <v>2369</v>
      </c>
    </row>
    <row r="516" spans="1:27" ht="14.25" x14ac:dyDescent="0.45">
      <c r="A516" s="12" t="s">
        <v>225</v>
      </c>
      <c r="B516" s="12" t="s">
        <v>1971</v>
      </c>
      <c r="C516" s="12" t="s">
        <v>1972</v>
      </c>
      <c r="D516" s="12" t="s">
        <v>1974</v>
      </c>
      <c r="E516" s="20">
        <v>30232</v>
      </c>
      <c r="F516" s="20">
        <v>43752</v>
      </c>
      <c r="G516" s="12">
        <v>0.02</v>
      </c>
      <c r="H516" s="12">
        <v>26.966666666666701</v>
      </c>
      <c r="I516" s="13">
        <v>7.4165636588380702E-4</v>
      </c>
      <c r="J516" s="12" t="s">
        <v>225</v>
      </c>
      <c r="K516" s="14">
        <v>1838</v>
      </c>
      <c r="L516" s="14">
        <v>325</v>
      </c>
      <c r="M516" s="14">
        <v>1922</v>
      </c>
      <c r="N516" s="12">
        <v>0.02</v>
      </c>
      <c r="O516" s="12" t="s">
        <v>225</v>
      </c>
      <c r="P516" s="12">
        <v>3.2172703070080202E-6</v>
      </c>
      <c r="Q516" s="12">
        <v>3.37715244781614E-6</v>
      </c>
      <c r="R516" s="12">
        <v>0.40776209677419401</v>
      </c>
      <c r="S516" s="14">
        <v>40</v>
      </c>
      <c r="T516" s="12">
        <v>3.3171966450130903E-4</v>
      </c>
      <c r="U516" s="14">
        <v>1950</v>
      </c>
      <c r="V516" s="14">
        <v>1</v>
      </c>
      <c r="W516" s="12">
        <v>5.4999999999999997E-3</v>
      </c>
      <c r="X516" s="12">
        <v>5.8317196645013098E-3</v>
      </c>
      <c r="Y516" s="14">
        <v>1951</v>
      </c>
      <c r="Z516" s="14">
        <v>39</v>
      </c>
      <c r="AA516" s="12" t="s">
        <v>2369</v>
      </c>
    </row>
    <row r="517" spans="1:27" ht="14.25" x14ac:dyDescent="0.45">
      <c r="A517" s="12" t="s">
        <v>230</v>
      </c>
      <c r="B517" s="12" t="s">
        <v>1971</v>
      </c>
      <c r="C517" s="12" t="s">
        <v>1972</v>
      </c>
      <c r="D517" s="12" t="s">
        <v>1973</v>
      </c>
      <c r="E517" s="20">
        <v>29794</v>
      </c>
      <c r="F517" s="20">
        <v>42970</v>
      </c>
      <c r="G517" s="12">
        <v>1405.77</v>
      </c>
      <c r="H517" s="12">
        <v>53.033333333333303</v>
      </c>
      <c r="I517" s="13">
        <v>26.5072910119422</v>
      </c>
      <c r="J517" s="12" t="s">
        <v>230</v>
      </c>
      <c r="K517" s="14">
        <v>98</v>
      </c>
      <c r="L517" s="14">
        <v>51</v>
      </c>
      <c r="M517" s="14">
        <v>34</v>
      </c>
      <c r="N517" s="12">
        <v>1405.77</v>
      </c>
      <c r="O517" s="12" t="s">
        <v>230</v>
      </c>
      <c r="P517" s="12">
        <v>0.226137103974133</v>
      </c>
      <c r="Q517" s="12">
        <v>0.12070167107549599</v>
      </c>
      <c r="R517" s="12">
        <v>0.80191532258064502</v>
      </c>
      <c r="S517" s="14">
        <v>41</v>
      </c>
      <c r="T517" s="12">
        <v>16.0239958412485</v>
      </c>
      <c r="U517" s="14">
        <v>63</v>
      </c>
      <c r="V517" s="14">
        <v>16</v>
      </c>
      <c r="W517" s="12">
        <v>6.8999999999999999E-3</v>
      </c>
      <c r="X517" s="12">
        <v>16.030895841248501</v>
      </c>
      <c r="Y517" s="14">
        <v>63</v>
      </c>
      <c r="Z517" s="14">
        <v>40</v>
      </c>
      <c r="AA517" s="12" t="s">
        <v>2369</v>
      </c>
    </row>
    <row r="518" spans="1:27" ht="14.25" x14ac:dyDescent="0.45">
      <c r="A518" s="12" t="s">
        <v>231</v>
      </c>
      <c r="B518" s="12" t="s">
        <v>1971</v>
      </c>
      <c r="C518" s="12" t="s">
        <v>1972</v>
      </c>
      <c r="D518" s="12" t="s">
        <v>2072</v>
      </c>
      <c r="E518" s="20">
        <v>29445</v>
      </c>
      <c r="F518" s="20">
        <v>43472</v>
      </c>
      <c r="G518" s="12">
        <v>29.46</v>
      </c>
      <c r="H518" s="12">
        <v>36.299999999999997</v>
      </c>
      <c r="I518" s="13">
        <v>0.81157024793388399</v>
      </c>
      <c r="J518" s="12" t="s">
        <v>231</v>
      </c>
      <c r="K518" s="14">
        <v>887</v>
      </c>
      <c r="L518" s="14">
        <v>218</v>
      </c>
      <c r="M518" s="14">
        <v>572</v>
      </c>
      <c r="N518" s="12">
        <v>29.46</v>
      </c>
      <c r="O518" s="12" t="s">
        <v>231</v>
      </c>
      <c r="P518" s="12">
        <v>4.7390391622228103E-3</v>
      </c>
      <c r="Q518" s="12">
        <v>3.6955072125869899E-3</v>
      </c>
      <c r="R518" s="12">
        <v>0.54889112903225801</v>
      </c>
      <c r="S518" s="14">
        <v>42</v>
      </c>
      <c r="T518" s="12">
        <v>0.40868316937004201</v>
      </c>
      <c r="U518" s="14">
        <v>819</v>
      </c>
      <c r="V518" s="14">
        <v>6</v>
      </c>
      <c r="W518" s="12">
        <v>6.0000000000000001E-3</v>
      </c>
      <c r="X518" s="12">
        <v>0.41468316937004202</v>
      </c>
      <c r="Y518" s="14">
        <v>819</v>
      </c>
      <c r="Z518" s="14">
        <v>41</v>
      </c>
      <c r="AA518" s="12" t="s">
        <v>2369</v>
      </c>
    </row>
    <row r="519" spans="1:27" ht="14.25" x14ac:dyDescent="0.45">
      <c r="A519" s="12" t="s">
        <v>234</v>
      </c>
      <c r="B519" s="12" t="s">
        <v>1971</v>
      </c>
      <c r="C519" s="12" t="s">
        <v>1972</v>
      </c>
      <c r="D519" s="12" t="s">
        <v>2014</v>
      </c>
      <c r="E519" s="20">
        <v>30623</v>
      </c>
      <c r="F519" s="20">
        <v>44214</v>
      </c>
      <c r="G519" s="12">
        <v>0.02</v>
      </c>
      <c r="H519" s="12">
        <v>11.5666666666667</v>
      </c>
      <c r="I519" s="13">
        <v>1.7291066282420699E-3</v>
      </c>
      <c r="J519" s="12" t="s">
        <v>234</v>
      </c>
      <c r="K519" s="14">
        <v>1813</v>
      </c>
      <c r="L519" s="14">
        <v>834</v>
      </c>
      <c r="M519" s="14">
        <v>1922</v>
      </c>
      <c r="N519" s="12">
        <v>0.02</v>
      </c>
      <c r="O519" s="12" t="s">
        <v>234</v>
      </c>
      <c r="P519" s="12">
        <v>3.2172703070080202E-6</v>
      </c>
      <c r="Q519" s="12">
        <v>7.8735340930353204E-6</v>
      </c>
      <c r="R519" s="12">
        <v>0.17489919354838701</v>
      </c>
      <c r="S519" s="14">
        <v>39</v>
      </c>
      <c r="T519" s="12">
        <v>6.1274351732750799E-4</v>
      </c>
      <c r="U519" s="14">
        <v>1930</v>
      </c>
      <c r="V519" s="14">
        <v>1</v>
      </c>
      <c r="W519" s="12">
        <v>5.4999999999999997E-3</v>
      </c>
      <c r="X519" s="12">
        <v>6.1127435173275102E-3</v>
      </c>
      <c r="Y519" s="14">
        <v>1930</v>
      </c>
      <c r="Z519" s="14">
        <v>38</v>
      </c>
      <c r="AA519" s="12" t="s">
        <v>2369</v>
      </c>
    </row>
    <row r="520" spans="1:27" ht="14.25" x14ac:dyDescent="0.45">
      <c r="A520" s="12" t="s">
        <v>236</v>
      </c>
      <c r="B520" s="12" t="s">
        <v>1971</v>
      </c>
      <c r="C520" s="12" t="s">
        <v>1972</v>
      </c>
      <c r="D520" s="12" t="s">
        <v>1974</v>
      </c>
      <c r="E520" s="20">
        <v>31472</v>
      </c>
      <c r="F520" s="20">
        <v>44201</v>
      </c>
      <c r="G520" s="12">
        <v>7.78</v>
      </c>
      <c r="H520" s="12">
        <v>12</v>
      </c>
      <c r="I520" s="13">
        <v>0.64833333333333298</v>
      </c>
      <c r="J520" s="12" t="s">
        <v>236</v>
      </c>
      <c r="K520" s="14">
        <v>967</v>
      </c>
      <c r="L520" s="14">
        <v>782</v>
      </c>
      <c r="M520" s="14">
        <v>896</v>
      </c>
      <c r="N520" s="12">
        <v>7.78</v>
      </c>
      <c r="O520" s="12" t="s">
        <v>236</v>
      </c>
      <c r="P520" s="12">
        <v>1.25151814942612E-3</v>
      </c>
      <c r="Q520" s="12">
        <v>2.9522034791116302E-3</v>
      </c>
      <c r="R520" s="12">
        <v>0.18145161290322601</v>
      </c>
      <c r="S520" s="14">
        <v>36</v>
      </c>
      <c r="T520" s="12">
        <v>0.231444648047956</v>
      </c>
      <c r="U520" s="14">
        <v>994</v>
      </c>
      <c r="V520" s="14">
        <v>2</v>
      </c>
      <c r="W520" s="12">
        <v>5.5999999999999999E-3</v>
      </c>
      <c r="X520" s="12">
        <v>0.237044648047956</v>
      </c>
      <c r="Y520" s="14">
        <v>994</v>
      </c>
      <c r="Z520" s="14">
        <v>36</v>
      </c>
      <c r="AA520" s="12" t="s">
        <v>2369</v>
      </c>
    </row>
    <row r="521" spans="1:27" ht="14.25" x14ac:dyDescent="0.45">
      <c r="A521" s="12" t="s">
        <v>239</v>
      </c>
      <c r="B521" s="12" t="s">
        <v>1971</v>
      </c>
      <c r="C521" s="12" t="s">
        <v>1972</v>
      </c>
      <c r="D521" s="12" t="s">
        <v>1993</v>
      </c>
      <c r="E521" s="20">
        <v>30998</v>
      </c>
      <c r="F521" s="20">
        <v>43207</v>
      </c>
      <c r="G521" s="12">
        <v>576.99</v>
      </c>
      <c r="H521" s="12">
        <v>45.133333333333297</v>
      </c>
      <c r="I521" s="13">
        <v>12.7841211225997</v>
      </c>
      <c r="J521" s="12" t="s">
        <v>239</v>
      </c>
      <c r="K521" s="14">
        <v>231</v>
      </c>
      <c r="L521" s="14">
        <v>91</v>
      </c>
      <c r="M521" s="14">
        <v>126</v>
      </c>
      <c r="N521" s="12">
        <v>576.99</v>
      </c>
      <c r="O521" s="12" t="s">
        <v>239</v>
      </c>
      <c r="P521" s="12">
        <v>9.2816639722027805E-2</v>
      </c>
      <c r="Q521" s="12">
        <v>5.8212843478956298E-2</v>
      </c>
      <c r="R521" s="12">
        <v>0.68245967741935498</v>
      </c>
      <c r="S521" s="14">
        <v>38</v>
      </c>
      <c r="T521" s="12">
        <v>7.11892670701081</v>
      </c>
      <c r="U521" s="14">
        <v>183</v>
      </c>
      <c r="V521" s="14">
        <v>6</v>
      </c>
      <c r="W521" s="12">
        <v>6.0000000000000001E-3</v>
      </c>
      <c r="X521" s="12">
        <v>7.1249267070108102</v>
      </c>
      <c r="Y521" s="14">
        <v>183</v>
      </c>
      <c r="Z521" s="14">
        <v>37</v>
      </c>
      <c r="AA521" s="12" t="s">
        <v>2369</v>
      </c>
    </row>
    <row r="522" spans="1:27" ht="14.25" x14ac:dyDescent="0.45">
      <c r="A522" s="12" t="s">
        <v>241</v>
      </c>
      <c r="B522" s="12" t="s">
        <v>1971</v>
      </c>
      <c r="C522" s="12" t="s">
        <v>1972</v>
      </c>
      <c r="D522" s="12" t="s">
        <v>2012</v>
      </c>
      <c r="E522" s="20">
        <v>29181</v>
      </c>
      <c r="F522" s="20">
        <v>43808</v>
      </c>
      <c r="G522" s="12">
        <v>5265.27</v>
      </c>
      <c r="H522" s="12">
        <v>25.1</v>
      </c>
      <c r="I522" s="13">
        <v>209.77171314741</v>
      </c>
      <c r="J522" s="12" t="s">
        <v>241</v>
      </c>
      <c r="K522" s="14">
        <v>3</v>
      </c>
      <c r="L522" s="14">
        <v>373</v>
      </c>
      <c r="M522" s="14">
        <v>3</v>
      </c>
      <c r="N522" s="12">
        <v>5265.27</v>
      </c>
      <c r="O522" s="12" t="s">
        <v>241</v>
      </c>
      <c r="P522" s="12">
        <v>0.84698984146900502</v>
      </c>
      <c r="Q522" s="12">
        <v>0.95520120520255702</v>
      </c>
      <c r="R522" s="12">
        <v>0.37953629032258102</v>
      </c>
      <c r="S522" s="14">
        <v>43</v>
      </c>
      <c r="T522" s="12">
        <v>91.462194380247496</v>
      </c>
      <c r="U522" s="14">
        <v>3</v>
      </c>
      <c r="V522" s="14">
        <v>108</v>
      </c>
      <c r="W522" s="12">
        <v>9.9000000000000008E-3</v>
      </c>
      <c r="X522" s="12">
        <v>91.472094380247498</v>
      </c>
      <c r="Y522" s="14">
        <v>3</v>
      </c>
      <c r="Z522" s="14">
        <v>42</v>
      </c>
      <c r="AA522" s="12" t="s">
        <v>2369</v>
      </c>
    </row>
    <row r="523" spans="1:27" ht="14.25" x14ac:dyDescent="0.45">
      <c r="A523" s="12" t="s">
        <v>243</v>
      </c>
      <c r="B523" s="12" t="s">
        <v>1971</v>
      </c>
      <c r="C523" s="12" t="s">
        <v>1972</v>
      </c>
      <c r="D523" s="12" t="s">
        <v>1978</v>
      </c>
      <c r="E523" s="20">
        <v>29845</v>
      </c>
      <c r="F523" s="20">
        <v>43269</v>
      </c>
      <c r="G523" s="12">
        <v>628.07000000000005</v>
      </c>
      <c r="H523" s="12">
        <v>43.066666666666698</v>
      </c>
      <c r="I523" s="13">
        <v>14.583668730650199</v>
      </c>
      <c r="J523" s="12" t="s">
        <v>243</v>
      </c>
      <c r="K523" s="14">
        <v>196</v>
      </c>
      <c r="L523" s="14">
        <v>105</v>
      </c>
      <c r="M523" s="14">
        <v>108</v>
      </c>
      <c r="N523" s="12">
        <v>628.07000000000005</v>
      </c>
      <c r="O523" s="12" t="s">
        <v>243</v>
      </c>
      <c r="P523" s="12">
        <v>0.101033548086126</v>
      </c>
      <c r="Q523" s="12">
        <v>6.6407132490750906E-2</v>
      </c>
      <c r="R523" s="12">
        <v>0.65120967741935498</v>
      </c>
      <c r="S523" s="14">
        <v>41</v>
      </c>
      <c r="T523" s="12">
        <v>7.9392038339016704</v>
      </c>
      <c r="U523" s="14">
        <v>156</v>
      </c>
      <c r="V523" s="14">
        <v>8</v>
      </c>
      <c r="W523" s="12">
        <v>6.1999999999999998E-3</v>
      </c>
      <c r="X523" s="12">
        <v>7.9454038339016702</v>
      </c>
      <c r="Y523" s="14">
        <v>156</v>
      </c>
      <c r="Z523" s="14">
        <v>40</v>
      </c>
      <c r="AA523" s="12" t="s">
        <v>2369</v>
      </c>
    </row>
    <row r="524" spans="1:27" ht="14.25" x14ac:dyDescent="0.45">
      <c r="A524" s="12" t="s">
        <v>244</v>
      </c>
      <c r="B524" s="12" t="s">
        <v>1971</v>
      </c>
      <c r="C524" s="12" t="s">
        <v>1972</v>
      </c>
      <c r="D524" s="12" t="s">
        <v>1974</v>
      </c>
      <c r="E524" s="20">
        <v>29909</v>
      </c>
      <c r="F524" s="20">
        <v>43378</v>
      </c>
      <c r="G524" s="12">
        <v>638.32000000000005</v>
      </c>
      <c r="H524" s="12">
        <v>39.433333333333302</v>
      </c>
      <c r="I524" s="13">
        <v>16.187320371935801</v>
      </c>
      <c r="J524" s="12" t="s">
        <v>244</v>
      </c>
      <c r="K524" s="14">
        <v>172</v>
      </c>
      <c r="L524" s="14">
        <v>193</v>
      </c>
      <c r="M524" s="14">
        <v>105</v>
      </c>
      <c r="N524" s="12">
        <v>638.32000000000005</v>
      </c>
      <c r="O524" s="12" t="s">
        <v>244</v>
      </c>
      <c r="P524" s="12">
        <v>0.10268239911846801</v>
      </c>
      <c r="Q524" s="12">
        <v>7.3709403886154198E-2</v>
      </c>
      <c r="R524" s="12">
        <v>0.59627016129032295</v>
      </c>
      <c r="S524" s="14">
        <v>41</v>
      </c>
      <c r="T524" s="12">
        <v>8.4574277098271793</v>
      </c>
      <c r="U524" s="14">
        <v>136</v>
      </c>
      <c r="V524" s="14">
        <v>8</v>
      </c>
      <c r="W524" s="12">
        <v>6.1999999999999998E-3</v>
      </c>
      <c r="X524" s="12">
        <v>8.4636277098271808</v>
      </c>
      <c r="Y524" s="14">
        <v>136</v>
      </c>
      <c r="Z524" s="14">
        <v>40</v>
      </c>
      <c r="AA524" s="12" t="s">
        <v>2369</v>
      </c>
    </row>
    <row r="525" spans="1:27" ht="14.25" x14ac:dyDescent="0.45">
      <c r="A525" s="12" t="s">
        <v>252</v>
      </c>
      <c r="B525" s="12" t="s">
        <v>1971</v>
      </c>
      <c r="C525" s="12" t="s">
        <v>1972</v>
      </c>
      <c r="D525" s="12" t="s">
        <v>1975</v>
      </c>
      <c r="E525" s="20">
        <v>31179</v>
      </c>
      <c r="F525" s="20">
        <v>43874</v>
      </c>
      <c r="G525" s="12">
        <v>3.73</v>
      </c>
      <c r="H525" s="12">
        <v>22.9</v>
      </c>
      <c r="I525" s="13">
        <v>0.162882096069869</v>
      </c>
      <c r="J525" s="12" t="s">
        <v>252</v>
      </c>
      <c r="K525" s="14">
        <v>1399</v>
      </c>
      <c r="L525" s="14">
        <v>413</v>
      </c>
      <c r="M525" s="14">
        <v>1141</v>
      </c>
      <c r="N525" s="12">
        <v>3.73</v>
      </c>
      <c r="O525" s="12" t="s">
        <v>252</v>
      </c>
      <c r="P525" s="12">
        <v>6.0002091225699503E-4</v>
      </c>
      <c r="Q525" s="12">
        <v>7.4168805763875803E-4</v>
      </c>
      <c r="R525" s="12">
        <v>0.34627016129032301</v>
      </c>
      <c r="S525" s="14">
        <v>37</v>
      </c>
      <c r="T525" s="12">
        <v>6.8856287812059699E-2</v>
      </c>
      <c r="U525" s="14">
        <v>1450</v>
      </c>
      <c r="V525" s="14">
        <v>2</v>
      </c>
      <c r="W525" s="12">
        <v>5.5999999999999999E-3</v>
      </c>
      <c r="X525" s="12">
        <v>7.4456287812059693E-2</v>
      </c>
      <c r="Y525" s="14">
        <v>1450</v>
      </c>
      <c r="Z525" s="14">
        <v>37</v>
      </c>
      <c r="AA525" s="12" t="s">
        <v>2369</v>
      </c>
    </row>
    <row r="526" spans="1:27" ht="14.25" x14ac:dyDescent="0.45">
      <c r="A526" s="12" t="s">
        <v>255</v>
      </c>
      <c r="B526" s="12" t="s">
        <v>1971</v>
      </c>
      <c r="C526" s="12" t="s">
        <v>1972</v>
      </c>
      <c r="D526" s="12" t="s">
        <v>2020</v>
      </c>
      <c r="E526" s="20">
        <v>31583</v>
      </c>
      <c r="F526" s="20">
        <v>43152</v>
      </c>
      <c r="G526" s="12">
        <v>66.69</v>
      </c>
      <c r="H526" s="12">
        <v>46.966666666666697</v>
      </c>
      <c r="I526" s="13">
        <v>1.4199432221433601</v>
      </c>
      <c r="J526" s="12" t="s">
        <v>255</v>
      </c>
      <c r="K526" s="14">
        <v>740</v>
      </c>
      <c r="L526" s="14">
        <v>72</v>
      </c>
      <c r="M526" s="14">
        <v>432</v>
      </c>
      <c r="N526" s="12">
        <v>66.69</v>
      </c>
      <c r="O526" s="12" t="s">
        <v>255</v>
      </c>
      <c r="P526" s="12">
        <v>1.07279878387182E-2</v>
      </c>
      <c r="Q526" s="12">
        <v>6.4657501088215101E-3</v>
      </c>
      <c r="R526" s="12">
        <v>0.71018145161290303</v>
      </c>
      <c r="S526" s="14">
        <v>36</v>
      </c>
      <c r="T526" s="12">
        <v>0.80640892575327805</v>
      </c>
      <c r="U526" s="14">
        <v>666</v>
      </c>
      <c r="V526" s="14">
        <v>4</v>
      </c>
      <c r="W526" s="12">
        <v>5.7999999999999996E-3</v>
      </c>
      <c r="X526" s="12">
        <v>0.81220892575327897</v>
      </c>
      <c r="Y526" s="14">
        <v>666</v>
      </c>
      <c r="Z526" s="14">
        <v>36</v>
      </c>
      <c r="AA526" s="12" t="s">
        <v>2369</v>
      </c>
    </row>
    <row r="527" spans="1:27" ht="14.25" x14ac:dyDescent="0.45">
      <c r="A527" s="12" t="s">
        <v>262</v>
      </c>
      <c r="B527" s="12" t="s">
        <v>1971</v>
      </c>
      <c r="C527" s="12" t="s">
        <v>1972</v>
      </c>
      <c r="D527" s="12" t="s">
        <v>1990</v>
      </c>
      <c r="E527" s="20">
        <v>31047</v>
      </c>
      <c r="F527" s="20">
        <v>43858</v>
      </c>
      <c r="G527" s="12">
        <v>114.14</v>
      </c>
      <c r="H527" s="12">
        <v>23.433333333333302</v>
      </c>
      <c r="I527" s="13">
        <v>4.8708392603129402</v>
      </c>
      <c r="J527" s="12" t="s">
        <v>262</v>
      </c>
      <c r="K527" s="14">
        <v>451</v>
      </c>
      <c r="L527" s="14">
        <v>398</v>
      </c>
      <c r="M527" s="14">
        <v>364</v>
      </c>
      <c r="N527" s="12">
        <v>114.14</v>
      </c>
      <c r="O527" s="12" t="s">
        <v>262</v>
      </c>
      <c r="P527" s="12">
        <v>1.83609616420948E-2</v>
      </c>
      <c r="Q527" s="12">
        <v>2.2179499142143001E-2</v>
      </c>
      <c r="R527" s="12">
        <v>0.35433467741935498</v>
      </c>
      <c r="S527" s="14">
        <v>38</v>
      </c>
      <c r="T527" s="12">
        <v>2.0747547579624901</v>
      </c>
      <c r="U527" s="14">
        <v>434</v>
      </c>
      <c r="V527" s="14">
        <v>15</v>
      </c>
      <c r="W527" s="12">
        <v>6.7999999999999996E-3</v>
      </c>
      <c r="X527" s="12">
        <v>2.0815547579624898</v>
      </c>
      <c r="Y527" s="14">
        <v>434</v>
      </c>
      <c r="Z527" s="14">
        <v>37</v>
      </c>
      <c r="AA527" s="12" t="s">
        <v>2369</v>
      </c>
    </row>
    <row r="528" spans="1:27" ht="14.25" x14ac:dyDescent="0.45">
      <c r="A528" s="12" t="s">
        <v>270</v>
      </c>
      <c r="B528" s="12" t="s">
        <v>1971</v>
      </c>
      <c r="C528" s="12" t="s">
        <v>1972</v>
      </c>
      <c r="D528" s="12" t="s">
        <v>1973</v>
      </c>
      <c r="E528" s="20">
        <v>28598</v>
      </c>
      <c r="F528" s="20">
        <v>43322</v>
      </c>
      <c r="G528" s="12">
        <v>1860.33</v>
      </c>
      <c r="H528" s="12">
        <v>41.3</v>
      </c>
      <c r="I528" s="13">
        <v>45.0443099273608</v>
      </c>
      <c r="J528" s="12" t="s">
        <v>270</v>
      </c>
      <c r="K528" s="14">
        <v>51</v>
      </c>
      <c r="L528" s="14">
        <v>151</v>
      </c>
      <c r="M528" s="14">
        <v>24</v>
      </c>
      <c r="N528" s="12">
        <v>1860.33</v>
      </c>
      <c r="O528" s="12" t="s">
        <v>270</v>
      </c>
      <c r="P528" s="12">
        <v>0.299259223511811</v>
      </c>
      <c r="Q528" s="12">
        <v>0.20511049123147099</v>
      </c>
      <c r="R528" s="12">
        <v>0.62449596774193505</v>
      </c>
      <c r="S528" s="14">
        <v>44</v>
      </c>
      <c r="T528" s="12">
        <v>24.041626583659902</v>
      </c>
      <c r="U528" s="14">
        <v>42</v>
      </c>
      <c r="V528" s="14">
        <v>60</v>
      </c>
      <c r="W528" s="12">
        <v>8.9999999999999993E-3</v>
      </c>
      <c r="X528" s="12">
        <v>24.050626583659898</v>
      </c>
      <c r="Y528" s="14">
        <v>42</v>
      </c>
      <c r="Z528" s="14">
        <v>44</v>
      </c>
      <c r="AA528" s="12" t="s">
        <v>2369</v>
      </c>
    </row>
    <row r="529" spans="1:27" ht="14.25" x14ac:dyDescent="0.45">
      <c r="A529" s="12" t="s">
        <v>277</v>
      </c>
      <c r="B529" s="12" t="s">
        <v>1971</v>
      </c>
      <c r="C529" s="12" t="s">
        <v>1972</v>
      </c>
      <c r="D529" s="12" t="s">
        <v>2020</v>
      </c>
      <c r="E529" s="20">
        <v>29005</v>
      </c>
      <c r="F529" s="20">
        <v>43329</v>
      </c>
      <c r="G529" s="12">
        <v>932.16</v>
      </c>
      <c r="H529" s="12">
        <v>41.066666666666698</v>
      </c>
      <c r="I529" s="13">
        <v>22.698701298701302</v>
      </c>
      <c r="J529" s="12" t="s">
        <v>277</v>
      </c>
      <c r="K529" s="14">
        <v>119</v>
      </c>
      <c r="L529" s="14">
        <v>166</v>
      </c>
      <c r="M529" s="14">
        <v>56</v>
      </c>
      <c r="N529" s="12">
        <v>932.16</v>
      </c>
      <c r="O529" s="12" t="s">
        <v>277</v>
      </c>
      <c r="P529" s="12">
        <v>0.14995053446903001</v>
      </c>
      <c r="Q529" s="12">
        <v>0.103359154157339</v>
      </c>
      <c r="R529" s="12">
        <v>0.62096774193548399</v>
      </c>
      <c r="S529" s="14">
        <v>43</v>
      </c>
      <c r="T529" s="12">
        <v>12.0830921774223</v>
      </c>
      <c r="U529" s="14">
        <v>88</v>
      </c>
      <c r="V529" s="14">
        <v>7</v>
      </c>
      <c r="W529" s="12">
        <v>6.1000000000000004E-3</v>
      </c>
      <c r="X529" s="12">
        <v>12.0891921774223</v>
      </c>
      <c r="Y529" s="14">
        <v>88</v>
      </c>
      <c r="Z529" s="14">
        <v>43</v>
      </c>
      <c r="AA529" s="12" t="s">
        <v>2369</v>
      </c>
    </row>
    <row r="530" spans="1:27" ht="14.25" x14ac:dyDescent="0.45">
      <c r="A530" s="12" t="s">
        <v>281</v>
      </c>
      <c r="B530" s="12" t="s">
        <v>1971</v>
      </c>
      <c r="C530" s="12" t="s">
        <v>1972</v>
      </c>
      <c r="D530" s="12" t="s">
        <v>1993</v>
      </c>
      <c r="E530" s="20">
        <v>30809</v>
      </c>
      <c r="F530" s="20">
        <v>42857</v>
      </c>
      <c r="G530" s="12">
        <v>142.12</v>
      </c>
      <c r="H530" s="12">
        <v>56.8</v>
      </c>
      <c r="I530" s="13">
        <v>2.5021126760563401</v>
      </c>
      <c r="J530" s="12" t="s">
        <v>281</v>
      </c>
      <c r="K530" s="14">
        <v>592</v>
      </c>
      <c r="L530" s="14">
        <v>26</v>
      </c>
      <c r="M530" s="14">
        <v>330</v>
      </c>
      <c r="N530" s="12">
        <v>142.12</v>
      </c>
      <c r="O530" s="12" t="s">
        <v>281</v>
      </c>
      <c r="P530" s="12">
        <v>2.2861922801598999E-2</v>
      </c>
      <c r="Q530" s="12">
        <v>1.13934381707704E-2</v>
      </c>
      <c r="R530" s="12">
        <v>0.85887096774193505</v>
      </c>
      <c r="S530" s="14">
        <v>38</v>
      </c>
      <c r="T530" s="12">
        <v>1.5694119907331101</v>
      </c>
      <c r="U530" s="14">
        <v>486</v>
      </c>
      <c r="V530" s="14">
        <v>5</v>
      </c>
      <c r="W530" s="12">
        <v>5.8999999999999999E-3</v>
      </c>
      <c r="X530" s="12">
        <v>1.5753119907331099</v>
      </c>
      <c r="Y530" s="14">
        <v>486</v>
      </c>
      <c r="Z530" s="14">
        <v>38</v>
      </c>
      <c r="AA530" s="12" t="s">
        <v>2369</v>
      </c>
    </row>
    <row r="531" spans="1:27" ht="14.25" x14ac:dyDescent="0.45">
      <c r="A531" s="12" t="s">
        <v>284</v>
      </c>
      <c r="B531" s="12" t="s">
        <v>1971</v>
      </c>
      <c r="C531" s="12" t="s">
        <v>1972</v>
      </c>
      <c r="D531" s="12" t="s">
        <v>1973</v>
      </c>
      <c r="E531" s="20">
        <v>31167</v>
      </c>
      <c r="F531" s="20">
        <v>44222</v>
      </c>
      <c r="G531" s="12">
        <v>22.9</v>
      </c>
      <c r="H531" s="12">
        <v>11.3</v>
      </c>
      <c r="I531" s="13">
        <v>2.0265486725663702</v>
      </c>
      <c r="J531" s="12" t="s">
        <v>284</v>
      </c>
      <c r="K531" s="14">
        <v>651</v>
      </c>
      <c r="L531" s="14">
        <v>879</v>
      </c>
      <c r="M531" s="14">
        <v>700</v>
      </c>
      <c r="N531" s="12">
        <v>22.9</v>
      </c>
      <c r="O531" s="12" t="s">
        <v>284</v>
      </c>
      <c r="P531" s="12">
        <v>3.6837745015241802E-3</v>
      </c>
      <c r="Q531" s="12">
        <v>9.2279445373874003E-3</v>
      </c>
      <c r="R531" s="12">
        <v>0.170866935483871</v>
      </c>
      <c r="S531" s="14">
        <v>37</v>
      </c>
      <c r="T531" s="12">
        <v>0.71488807739386895</v>
      </c>
      <c r="U531" s="14">
        <v>705</v>
      </c>
      <c r="V531" s="14">
        <v>2</v>
      </c>
      <c r="W531" s="12">
        <v>5.5999999999999999E-3</v>
      </c>
      <c r="X531" s="12">
        <v>0.720488077393869</v>
      </c>
      <c r="Y531" s="14">
        <v>705</v>
      </c>
      <c r="Z531" s="14">
        <v>37</v>
      </c>
      <c r="AA531" s="12" t="s">
        <v>2369</v>
      </c>
    </row>
    <row r="532" spans="1:27" ht="14.25" x14ac:dyDescent="0.45">
      <c r="A532" s="12" t="s">
        <v>286</v>
      </c>
      <c r="B532" s="12" t="s">
        <v>1971</v>
      </c>
      <c r="C532" s="12" t="s">
        <v>1972</v>
      </c>
      <c r="D532" s="12" t="s">
        <v>1995</v>
      </c>
      <c r="E532" s="20">
        <v>28543</v>
      </c>
      <c r="F532" s="20">
        <v>43339</v>
      </c>
      <c r="G532" s="12">
        <v>162.75</v>
      </c>
      <c r="H532" s="12">
        <v>40.733333333333299</v>
      </c>
      <c r="I532" s="13">
        <v>3.9954991816693899</v>
      </c>
      <c r="J532" s="12" t="s">
        <v>286</v>
      </c>
      <c r="K532" s="14">
        <v>497</v>
      </c>
      <c r="L532" s="14">
        <v>177</v>
      </c>
      <c r="M532" s="14">
        <v>312</v>
      </c>
      <c r="N532" s="12">
        <v>162.75</v>
      </c>
      <c r="O532" s="12" t="s">
        <v>286</v>
      </c>
      <c r="P532" s="12">
        <v>2.6180537123277701E-2</v>
      </c>
      <c r="Q532" s="12">
        <v>1.81936142697872E-2</v>
      </c>
      <c r="R532" s="12">
        <v>0.61592741935483897</v>
      </c>
      <c r="S532" s="14">
        <v>44</v>
      </c>
      <c r="T532" s="12">
        <v>2.11887103398462</v>
      </c>
      <c r="U532" s="14">
        <v>433</v>
      </c>
      <c r="V532" s="14">
        <v>4</v>
      </c>
      <c r="W532" s="12">
        <v>5.7999999999999996E-3</v>
      </c>
      <c r="X532" s="12">
        <v>2.1246710339846202</v>
      </c>
      <c r="Y532" s="14">
        <v>433</v>
      </c>
      <c r="Z532" s="14">
        <v>44</v>
      </c>
      <c r="AA532" s="12" t="s">
        <v>2369</v>
      </c>
    </row>
    <row r="533" spans="1:27" ht="14.25" x14ac:dyDescent="0.45">
      <c r="A533" s="12" t="s">
        <v>297</v>
      </c>
      <c r="B533" s="12" t="s">
        <v>1971</v>
      </c>
      <c r="C533" s="12" t="s">
        <v>1972</v>
      </c>
      <c r="D533" s="12" t="s">
        <v>1974</v>
      </c>
      <c r="E533" s="20">
        <v>28847</v>
      </c>
      <c r="F533" s="20">
        <v>44195</v>
      </c>
      <c r="G533" s="12">
        <v>215.38</v>
      </c>
      <c r="H533" s="12">
        <v>12.2</v>
      </c>
      <c r="I533" s="13">
        <v>17.654098360655698</v>
      </c>
      <c r="J533" s="12" t="s">
        <v>297</v>
      </c>
      <c r="K533" s="14">
        <v>157</v>
      </c>
      <c r="L533" s="14">
        <v>761</v>
      </c>
      <c r="M533" s="14">
        <v>277</v>
      </c>
      <c r="N533" s="12">
        <v>215.38</v>
      </c>
      <c r="O533" s="12" t="s">
        <v>297</v>
      </c>
      <c r="P533" s="12">
        <v>3.4646783936169302E-2</v>
      </c>
      <c r="Q533" s="12">
        <v>8.0388417379290603E-2</v>
      </c>
      <c r="R533" s="12">
        <v>0.18447580645161299</v>
      </c>
      <c r="S533" s="14">
        <v>44</v>
      </c>
      <c r="T533" s="12">
        <v>6.3235304838120197</v>
      </c>
      <c r="U533" s="14">
        <v>211</v>
      </c>
      <c r="V533" s="14">
        <v>3</v>
      </c>
      <c r="W533" s="12">
        <v>5.7000000000000002E-3</v>
      </c>
      <c r="X533" s="12">
        <v>6.3292304838120197</v>
      </c>
      <c r="Y533" s="14">
        <v>211</v>
      </c>
      <c r="Z533" s="14">
        <v>43</v>
      </c>
      <c r="AA533" s="12" t="s">
        <v>2369</v>
      </c>
    </row>
    <row r="534" spans="1:27" ht="14.25" x14ac:dyDescent="0.45">
      <c r="A534" s="12" t="s">
        <v>307</v>
      </c>
      <c r="B534" s="12" t="s">
        <v>1971</v>
      </c>
      <c r="C534" s="12" t="s">
        <v>1972</v>
      </c>
      <c r="D534" s="12" t="s">
        <v>1974</v>
      </c>
      <c r="E534" s="20">
        <v>29804</v>
      </c>
      <c r="F534" s="20">
        <v>43721</v>
      </c>
      <c r="G534" s="12">
        <v>22.3</v>
      </c>
      <c r="H534" s="12">
        <v>28</v>
      </c>
      <c r="I534" s="13">
        <v>0.79642857142857104</v>
      </c>
      <c r="J534" s="12" t="s">
        <v>307</v>
      </c>
      <c r="K534" s="14">
        <v>889</v>
      </c>
      <c r="L534" s="14">
        <v>290</v>
      </c>
      <c r="M534" s="14">
        <v>706</v>
      </c>
      <c r="N534" s="12">
        <v>22.3</v>
      </c>
      <c r="O534" s="12" t="s">
        <v>307</v>
      </c>
      <c r="P534" s="12">
        <v>3.5872563923139401E-3</v>
      </c>
      <c r="Q534" s="12">
        <v>3.6265591765069398E-3</v>
      </c>
      <c r="R534" s="12">
        <v>0.42338709677419401</v>
      </c>
      <c r="S534" s="14">
        <v>41</v>
      </c>
      <c r="T534" s="12">
        <v>0.36118206324345598</v>
      </c>
      <c r="U534" s="14">
        <v>862</v>
      </c>
      <c r="V534" s="14">
        <v>30</v>
      </c>
      <c r="W534" s="12">
        <v>7.7000000000000002E-3</v>
      </c>
      <c r="X534" s="12">
        <v>0.36888206324345602</v>
      </c>
      <c r="Y534" s="14">
        <v>860</v>
      </c>
      <c r="Z534" s="14">
        <v>40</v>
      </c>
      <c r="AA534" s="12" t="s">
        <v>2369</v>
      </c>
    </row>
    <row r="535" spans="1:27" ht="14.25" x14ac:dyDescent="0.45">
      <c r="A535" s="12" t="s">
        <v>311</v>
      </c>
      <c r="B535" s="12" t="s">
        <v>1971</v>
      </c>
      <c r="C535" s="12" t="s">
        <v>1972</v>
      </c>
      <c r="D535" s="12" t="s">
        <v>1993</v>
      </c>
      <c r="E535" s="20">
        <v>30018</v>
      </c>
      <c r="F535" s="20">
        <v>44216</v>
      </c>
      <c r="G535" s="12">
        <v>0.1</v>
      </c>
      <c r="H535" s="12">
        <v>11.5</v>
      </c>
      <c r="I535" s="13">
        <v>8.6956521739130401E-3</v>
      </c>
      <c r="J535" s="12" t="s">
        <v>311</v>
      </c>
      <c r="K535" s="14">
        <v>1754</v>
      </c>
      <c r="L535" s="14">
        <v>841</v>
      </c>
      <c r="M535" s="14">
        <v>1833</v>
      </c>
      <c r="N535" s="12">
        <v>0.1</v>
      </c>
      <c r="O535" s="12" t="s">
        <v>311</v>
      </c>
      <c r="P535" s="12">
        <v>1.6086351535040099E-5</v>
      </c>
      <c r="Q535" s="12">
        <v>3.9595888844684903E-5</v>
      </c>
      <c r="R535" s="12">
        <v>0.17389112903225801</v>
      </c>
      <c r="S535" s="14">
        <v>40</v>
      </c>
      <c r="T535" s="12">
        <v>3.07798123535681E-3</v>
      </c>
      <c r="U535" s="14">
        <v>1854</v>
      </c>
      <c r="V535" s="14">
        <v>1</v>
      </c>
      <c r="W535" s="12">
        <v>5.4999999999999997E-3</v>
      </c>
      <c r="X535" s="12">
        <v>8.5779812353568106E-3</v>
      </c>
      <c r="Y535" s="14">
        <v>1854</v>
      </c>
      <c r="Z535" s="14">
        <v>40</v>
      </c>
      <c r="AA535" s="12" t="s">
        <v>2369</v>
      </c>
    </row>
    <row r="536" spans="1:27" ht="14.25" x14ac:dyDescent="0.45">
      <c r="A536" s="12" t="s">
        <v>313</v>
      </c>
      <c r="B536" s="12" t="s">
        <v>1971</v>
      </c>
      <c r="C536" s="12" t="s">
        <v>1972</v>
      </c>
      <c r="D536" s="12" t="s">
        <v>2020</v>
      </c>
      <c r="E536" s="20">
        <v>30638</v>
      </c>
      <c r="F536" s="20">
        <v>43850</v>
      </c>
      <c r="G536" s="12">
        <v>2.79</v>
      </c>
      <c r="H536" s="12">
        <v>23.7</v>
      </c>
      <c r="I536" s="13">
        <v>0.117721518987342</v>
      </c>
      <c r="J536" s="12" t="s">
        <v>313</v>
      </c>
      <c r="K536" s="14">
        <v>1453</v>
      </c>
      <c r="L536" s="14">
        <v>390</v>
      </c>
      <c r="M536" s="14">
        <v>1250</v>
      </c>
      <c r="N536" s="12">
        <v>2.79</v>
      </c>
      <c r="O536" s="12" t="s">
        <v>313</v>
      </c>
      <c r="P536" s="12">
        <v>4.4880920782761898E-4</v>
      </c>
      <c r="Q536" s="12">
        <v>5.3604814075177798E-4</v>
      </c>
      <c r="R536" s="12">
        <v>0.358366935483871</v>
      </c>
      <c r="S536" s="14">
        <v>39</v>
      </c>
      <c r="T536" s="12">
        <v>5.0333354090521802E-2</v>
      </c>
      <c r="U536" s="14">
        <v>1519</v>
      </c>
      <c r="V536" s="14">
        <v>8</v>
      </c>
      <c r="W536" s="12">
        <v>6.1999999999999998E-3</v>
      </c>
      <c r="X536" s="12">
        <v>5.6533354090521799E-2</v>
      </c>
      <c r="Y536" s="14">
        <v>1515</v>
      </c>
      <c r="Z536" s="14">
        <v>38</v>
      </c>
      <c r="AA536" s="12" t="s">
        <v>2369</v>
      </c>
    </row>
    <row r="537" spans="1:27" ht="14.25" x14ac:dyDescent="0.45">
      <c r="A537" s="12" t="s">
        <v>324</v>
      </c>
      <c r="B537" s="12" t="s">
        <v>1971</v>
      </c>
      <c r="C537" s="12" t="s">
        <v>1972</v>
      </c>
      <c r="D537" s="12" t="s">
        <v>2091</v>
      </c>
      <c r="E537" s="20">
        <v>31746</v>
      </c>
      <c r="F537" s="20">
        <v>44088</v>
      </c>
      <c r="G537" s="12">
        <v>71.03</v>
      </c>
      <c r="H537" s="12">
        <v>15.766666666666699</v>
      </c>
      <c r="I537" s="13">
        <v>4.5050739957716699</v>
      </c>
      <c r="J537" s="12" t="s">
        <v>324</v>
      </c>
      <c r="K537" s="14">
        <v>468</v>
      </c>
      <c r="L537" s="14">
        <v>487</v>
      </c>
      <c r="M537" s="14">
        <v>423</v>
      </c>
      <c r="N537" s="12">
        <v>71.03</v>
      </c>
      <c r="O537" s="12" t="s">
        <v>324</v>
      </c>
      <c r="P537" s="12">
        <v>1.1426135495338999E-2</v>
      </c>
      <c r="Q537" s="12">
        <v>2.0513977054970399E-2</v>
      </c>
      <c r="R537" s="12">
        <v>0.23840725806451599</v>
      </c>
      <c r="S537" s="14">
        <v>36</v>
      </c>
      <c r="T537" s="12">
        <v>1.7106036470108601</v>
      </c>
      <c r="U537" s="14">
        <v>464</v>
      </c>
      <c r="V537" s="14">
        <v>15</v>
      </c>
      <c r="W537" s="12">
        <v>6.7999999999999996E-3</v>
      </c>
      <c r="X537" s="12">
        <v>1.71740364701086</v>
      </c>
      <c r="Y537" s="14">
        <v>464</v>
      </c>
      <c r="Z537" s="14">
        <v>35</v>
      </c>
      <c r="AA537" s="12" t="s">
        <v>2369</v>
      </c>
    </row>
    <row r="538" spans="1:27" ht="14.25" x14ac:dyDescent="0.45">
      <c r="A538" s="12" t="s">
        <v>330</v>
      </c>
      <c r="B538" s="12" t="s">
        <v>1971</v>
      </c>
      <c r="C538" s="12" t="s">
        <v>1972</v>
      </c>
      <c r="D538" s="12" t="s">
        <v>1993</v>
      </c>
      <c r="E538" s="20">
        <v>29499</v>
      </c>
      <c r="F538" s="20">
        <v>43277</v>
      </c>
      <c r="G538" s="12">
        <v>141.93</v>
      </c>
      <c r="H538" s="12">
        <v>42.8</v>
      </c>
      <c r="I538" s="13">
        <v>3.3161214953271001</v>
      </c>
      <c r="J538" s="12" t="s">
        <v>330</v>
      </c>
      <c r="K538" s="14">
        <v>536</v>
      </c>
      <c r="L538" s="14">
        <v>108</v>
      </c>
      <c r="M538" s="14">
        <v>331</v>
      </c>
      <c r="N538" s="12">
        <v>141.93</v>
      </c>
      <c r="O538" s="12" t="s">
        <v>330</v>
      </c>
      <c r="P538" s="12">
        <v>2.2831358733682399E-2</v>
      </c>
      <c r="Q538" s="12">
        <v>1.5100049484310801E-2</v>
      </c>
      <c r="R538" s="12">
        <v>0.64717741935483897</v>
      </c>
      <c r="S538" s="14">
        <v>42</v>
      </c>
      <c r="T538" s="12">
        <v>1.7999290452825201</v>
      </c>
      <c r="U538" s="14">
        <v>455</v>
      </c>
      <c r="V538" s="14">
        <v>7</v>
      </c>
      <c r="W538" s="12">
        <v>6.1000000000000004E-3</v>
      </c>
      <c r="X538" s="12">
        <v>1.8060290452825201</v>
      </c>
      <c r="Y538" s="14">
        <v>455</v>
      </c>
      <c r="Z538" s="14">
        <v>41</v>
      </c>
      <c r="AA538" s="12" t="s">
        <v>2369</v>
      </c>
    </row>
    <row r="539" spans="1:27" ht="14.25" x14ac:dyDescent="0.45">
      <c r="A539" s="12" t="s">
        <v>331</v>
      </c>
      <c r="B539" s="12" t="s">
        <v>1971</v>
      </c>
      <c r="C539" s="12" t="s">
        <v>1972</v>
      </c>
      <c r="D539" s="12" t="s">
        <v>1974</v>
      </c>
      <c r="E539" s="20">
        <v>29319</v>
      </c>
      <c r="F539" s="20">
        <v>43256</v>
      </c>
      <c r="G539" s="12">
        <v>875.25</v>
      </c>
      <c r="H539" s="12">
        <v>43.5</v>
      </c>
      <c r="I539" s="13">
        <v>20.120689655172399</v>
      </c>
      <c r="J539" s="12" t="s">
        <v>331</v>
      </c>
      <c r="K539" s="14">
        <v>134</v>
      </c>
      <c r="L539" s="14">
        <v>101</v>
      </c>
      <c r="M539" s="14">
        <v>65</v>
      </c>
      <c r="N539" s="12">
        <v>875.25</v>
      </c>
      <c r="O539" s="12" t="s">
        <v>331</v>
      </c>
      <c r="P539" s="12">
        <v>0.140795791810438</v>
      </c>
      <c r="Q539" s="12">
        <v>9.1620107972429796E-2</v>
      </c>
      <c r="R539" s="12">
        <v>0.65776209677419395</v>
      </c>
      <c r="S539" s="14">
        <v>42</v>
      </c>
      <c r="T539" s="12">
        <v>11.0060989411683</v>
      </c>
      <c r="U539" s="14">
        <v>99</v>
      </c>
      <c r="V539" s="14">
        <v>12</v>
      </c>
      <c r="W539" s="12">
        <v>6.6E-3</v>
      </c>
      <c r="X539" s="12">
        <v>11.012698941168299</v>
      </c>
      <c r="Y539" s="14">
        <v>99</v>
      </c>
      <c r="Z539" s="14">
        <v>42</v>
      </c>
      <c r="AA539" s="12" t="s">
        <v>2369</v>
      </c>
    </row>
    <row r="540" spans="1:27" ht="14.25" x14ac:dyDescent="0.45">
      <c r="A540" s="12" t="s">
        <v>333</v>
      </c>
      <c r="B540" s="12" t="s">
        <v>1971</v>
      </c>
      <c r="C540" s="12" t="s">
        <v>1972</v>
      </c>
      <c r="D540" s="12" t="s">
        <v>1974</v>
      </c>
      <c r="E540" s="20">
        <v>31864</v>
      </c>
      <c r="F540" s="20">
        <v>44127</v>
      </c>
      <c r="G540" s="12">
        <v>281.11</v>
      </c>
      <c r="H540" s="12">
        <v>14.466666666666701</v>
      </c>
      <c r="I540" s="13">
        <v>19.431566820276501</v>
      </c>
      <c r="J540" s="12" t="s">
        <v>333</v>
      </c>
      <c r="K540" s="14">
        <v>138</v>
      </c>
      <c r="L540" s="14">
        <v>574</v>
      </c>
      <c r="M540" s="14">
        <v>236</v>
      </c>
      <c r="N540" s="12">
        <v>281.11</v>
      </c>
      <c r="O540" s="12" t="s">
        <v>333</v>
      </c>
      <c r="P540" s="12">
        <v>4.5220342800151199E-2</v>
      </c>
      <c r="Q540" s="12">
        <v>8.8482168387779503E-2</v>
      </c>
      <c r="R540" s="12">
        <v>0.21875</v>
      </c>
      <c r="S540" s="14">
        <v>35</v>
      </c>
      <c r="T540" s="12">
        <v>7.2258983792418903</v>
      </c>
      <c r="U540" s="14">
        <v>182</v>
      </c>
      <c r="V540" s="14">
        <v>12</v>
      </c>
      <c r="W540" s="12">
        <v>6.6E-3</v>
      </c>
      <c r="X540" s="12">
        <v>7.23249837924189</v>
      </c>
      <c r="Y540" s="14">
        <v>182</v>
      </c>
      <c r="Z540" s="14">
        <v>35</v>
      </c>
      <c r="AA540" s="12" t="s">
        <v>2369</v>
      </c>
    </row>
    <row r="541" spans="1:27" ht="14.25" x14ac:dyDescent="0.45">
      <c r="A541" s="12" t="s">
        <v>337</v>
      </c>
      <c r="B541" s="12" t="s">
        <v>1971</v>
      </c>
      <c r="C541" s="12" t="s">
        <v>1972</v>
      </c>
      <c r="D541" s="12" t="s">
        <v>1993</v>
      </c>
      <c r="E541" s="20">
        <v>31443</v>
      </c>
      <c r="F541" s="20">
        <v>42821</v>
      </c>
      <c r="G541" s="12">
        <v>2539.25</v>
      </c>
      <c r="H541" s="12">
        <v>58</v>
      </c>
      <c r="I541" s="13">
        <v>43.780172413793103</v>
      </c>
      <c r="J541" s="12" t="s">
        <v>337</v>
      </c>
      <c r="K541" s="14">
        <v>53</v>
      </c>
      <c r="L541" s="14">
        <v>17</v>
      </c>
      <c r="M541" s="14">
        <v>11</v>
      </c>
      <c r="N541" s="12">
        <v>2539.25</v>
      </c>
      <c r="O541" s="12" t="s">
        <v>337</v>
      </c>
      <c r="P541" s="12">
        <v>0.40847268135350601</v>
      </c>
      <c r="Q541" s="12">
        <v>0.199354206657234</v>
      </c>
      <c r="R541" s="12">
        <v>0.87701612903225801</v>
      </c>
      <c r="S541" s="14">
        <v>36</v>
      </c>
      <c r="T541" s="12">
        <v>27.777363466833599</v>
      </c>
      <c r="U541" s="14">
        <v>31</v>
      </c>
      <c r="V541" s="14">
        <v>66</v>
      </c>
      <c r="W541" s="12">
        <v>9.1999999999999998E-3</v>
      </c>
      <c r="X541" s="12">
        <v>27.786563466833599</v>
      </c>
      <c r="Y541" s="14">
        <v>31</v>
      </c>
      <c r="Z541" s="14">
        <v>36</v>
      </c>
      <c r="AA541" s="12" t="s">
        <v>2369</v>
      </c>
    </row>
    <row r="542" spans="1:27" ht="14.25" x14ac:dyDescent="0.45">
      <c r="A542" s="12" t="s">
        <v>339</v>
      </c>
      <c r="B542" s="12" t="s">
        <v>1971</v>
      </c>
      <c r="C542" s="12" t="s">
        <v>1972</v>
      </c>
      <c r="D542" s="12" t="s">
        <v>1993</v>
      </c>
      <c r="E542" s="20">
        <v>29469</v>
      </c>
      <c r="F542" s="20">
        <v>44214</v>
      </c>
      <c r="G542" s="12">
        <v>25.68</v>
      </c>
      <c r="H542" s="12">
        <v>11.5666666666667</v>
      </c>
      <c r="I542" s="13">
        <v>2.2201729106628201</v>
      </c>
      <c r="J542" s="12" t="s">
        <v>339</v>
      </c>
      <c r="K542" s="14">
        <v>627</v>
      </c>
      <c r="L542" s="14">
        <v>834</v>
      </c>
      <c r="M542" s="14">
        <v>678</v>
      </c>
      <c r="N542" s="12">
        <v>25.68</v>
      </c>
      <c r="O542" s="12" t="s">
        <v>339</v>
      </c>
      <c r="P542" s="12">
        <v>4.1309750741982997E-3</v>
      </c>
      <c r="Q542" s="12">
        <v>1.01096177754573E-2</v>
      </c>
      <c r="R542" s="12">
        <v>0.17489919354838701</v>
      </c>
      <c r="S542" s="14">
        <v>42</v>
      </c>
      <c r="T542" s="12">
        <v>0.78676267624852003</v>
      </c>
      <c r="U542" s="14">
        <v>681</v>
      </c>
      <c r="V542" s="14">
        <v>3</v>
      </c>
      <c r="W542" s="12">
        <v>5.7000000000000002E-3</v>
      </c>
      <c r="X542" s="12">
        <v>0.79246267624851996</v>
      </c>
      <c r="Y542" s="14">
        <v>681</v>
      </c>
      <c r="Z542" s="14">
        <v>41</v>
      </c>
      <c r="AA542" s="12" t="s">
        <v>2369</v>
      </c>
    </row>
    <row r="543" spans="1:27" ht="14.25" x14ac:dyDescent="0.45">
      <c r="A543" s="12" t="s">
        <v>340</v>
      </c>
      <c r="B543" s="12" t="s">
        <v>1971</v>
      </c>
      <c r="C543" s="12" t="s">
        <v>1972</v>
      </c>
      <c r="D543" s="12" t="s">
        <v>1993</v>
      </c>
      <c r="E543" s="20">
        <v>30845</v>
      </c>
      <c r="F543" s="20">
        <v>43558</v>
      </c>
      <c r="G543" s="12">
        <v>2997.77</v>
      </c>
      <c r="H543" s="12">
        <v>33.433333333333302</v>
      </c>
      <c r="I543" s="13">
        <v>89.664107676969095</v>
      </c>
      <c r="J543" s="12" t="s">
        <v>340</v>
      </c>
      <c r="K543" s="14">
        <v>23</v>
      </c>
      <c r="L543" s="14">
        <v>236</v>
      </c>
      <c r="M543" s="14">
        <v>9</v>
      </c>
      <c r="N543" s="12">
        <v>2997.77</v>
      </c>
      <c r="O543" s="12" t="s">
        <v>340</v>
      </c>
      <c r="P543" s="12">
        <v>0.48223182041197099</v>
      </c>
      <c r="Q543" s="12">
        <v>0.40828795470753898</v>
      </c>
      <c r="R543" s="12">
        <v>0.50554435483870996</v>
      </c>
      <c r="S543" s="14">
        <v>38</v>
      </c>
      <c r="T543" s="12">
        <v>43.601690434670097</v>
      </c>
      <c r="U543" s="14">
        <v>14</v>
      </c>
      <c r="V543" s="14">
        <v>20</v>
      </c>
      <c r="W543" s="12">
        <v>7.1000000000000004E-3</v>
      </c>
      <c r="X543" s="12">
        <v>43.608790434670098</v>
      </c>
      <c r="Y543" s="14">
        <v>14</v>
      </c>
      <c r="Z543" s="14">
        <v>38</v>
      </c>
      <c r="AA543" s="12" t="s">
        <v>2369</v>
      </c>
    </row>
    <row r="544" spans="1:27" ht="14.25" x14ac:dyDescent="0.45">
      <c r="A544" s="12" t="s">
        <v>345</v>
      </c>
      <c r="B544" s="12" t="s">
        <v>1971</v>
      </c>
      <c r="C544" s="12" t="s">
        <v>1972</v>
      </c>
      <c r="D544" s="12" t="s">
        <v>1974</v>
      </c>
      <c r="E544" s="20">
        <v>30429</v>
      </c>
      <c r="F544" s="20">
        <v>43858</v>
      </c>
      <c r="G544" s="12">
        <v>0.66</v>
      </c>
      <c r="H544" s="12">
        <v>23.433333333333302</v>
      </c>
      <c r="I544" s="13">
        <v>2.81650071123755E-2</v>
      </c>
      <c r="J544" s="12" t="s">
        <v>345</v>
      </c>
      <c r="K544" s="14">
        <v>1662</v>
      </c>
      <c r="L544" s="14">
        <v>398</v>
      </c>
      <c r="M544" s="14">
        <v>1643</v>
      </c>
      <c r="N544" s="12">
        <v>0.66</v>
      </c>
      <c r="O544" s="12" t="s">
        <v>345</v>
      </c>
      <c r="P544" s="12">
        <v>1.06169920131265E-4</v>
      </c>
      <c r="Q544" s="12">
        <v>1.28250126457109E-4</v>
      </c>
      <c r="R544" s="12">
        <v>0.35433467741935498</v>
      </c>
      <c r="S544" s="14">
        <v>39</v>
      </c>
      <c r="T544" s="12">
        <v>1.1997004908491701E-2</v>
      </c>
      <c r="U544" s="14">
        <v>1743</v>
      </c>
      <c r="V544" s="14">
        <v>2</v>
      </c>
      <c r="W544" s="12">
        <v>5.5999999999999999E-3</v>
      </c>
      <c r="X544" s="12">
        <v>1.7597004908491701E-2</v>
      </c>
      <c r="Y544" s="14">
        <v>1741</v>
      </c>
      <c r="Z544" s="14">
        <v>39</v>
      </c>
      <c r="AA544" s="12" t="s">
        <v>2369</v>
      </c>
    </row>
    <row r="545" spans="1:27" ht="14.25" x14ac:dyDescent="0.45">
      <c r="A545" s="12" t="s">
        <v>352</v>
      </c>
      <c r="B545" s="12" t="s">
        <v>1971</v>
      </c>
      <c r="C545" s="12" t="s">
        <v>1972</v>
      </c>
      <c r="D545" s="12" t="s">
        <v>1997</v>
      </c>
      <c r="E545" s="20">
        <v>30805</v>
      </c>
      <c r="F545" s="20">
        <v>43356</v>
      </c>
      <c r="G545" s="12">
        <v>65.819999999999993</v>
      </c>
      <c r="H545" s="12">
        <v>40.1666666666667</v>
      </c>
      <c r="I545" s="13">
        <v>1.6386721991701201</v>
      </c>
      <c r="J545" s="12" t="s">
        <v>352</v>
      </c>
      <c r="K545" s="14">
        <v>714</v>
      </c>
      <c r="L545" s="14">
        <v>185</v>
      </c>
      <c r="M545" s="14">
        <v>438</v>
      </c>
      <c r="N545" s="12">
        <v>65.819999999999993</v>
      </c>
      <c r="O545" s="12" t="s">
        <v>352</v>
      </c>
      <c r="P545" s="12">
        <v>1.05880365803634E-2</v>
      </c>
      <c r="Q545" s="12">
        <v>7.4617384588897898E-3</v>
      </c>
      <c r="R545" s="12">
        <v>0.60735887096774199</v>
      </c>
      <c r="S545" s="14">
        <v>38</v>
      </c>
      <c r="T545" s="12">
        <v>0.86341002544423895</v>
      </c>
      <c r="U545" s="14">
        <v>645</v>
      </c>
      <c r="V545" s="14">
        <v>4</v>
      </c>
      <c r="W545" s="12">
        <v>5.7999999999999996E-3</v>
      </c>
      <c r="X545" s="12">
        <v>0.86921002544423898</v>
      </c>
      <c r="Y545" s="14">
        <v>645</v>
      </c>
      <c r="Z545" s="14">
        <v>38</v>
      </c>
      <c r="AA545" s="12" t="s">
        <v>2369</v>
      </c>
    </row>
    <row r="546" spans="1:27" ht="14.25" x14ac:dyDescent="0.45">
      <c r="A546" s="12" t="s">
        <v>353</v>
      </c>
      <c r="B546" s="12" t="s">
        <v>1971</v>
      </c>
      <c r="C546" s="12" t="s">
        <v>1972</v>
      </c>
      <c r="D546" s="12" t="s">
        <v>1993</v>
      </c>
      <c r="E546" s="20">
        <v>30595</v>
      </c>
      <c r="F546" s="20">
        <v>43327</v>
      </c>
      <c r="G546" s="12">
        <v>454.43</v>
      </c>
      <c r="H546" s="12">
        <v>41.133333333333297</v>
      </c>
      <c r="I546" s="13">
        <v>11.047730956239899</v>
      </c>
      <c r="J546" s="12" t="s">
        <v>353</v>
      </c>
      <c r="K546" s="14">
        <v>261</v>
      </c>
      <c r="L546" s="14">
        <v>160</v>
      </c>
      <c r="M546" s="14">
        <v>160</v>
      </c>
      <c r="N546" s="12">
        <v>454.43</v>
      </c>
      <c r="O546" s="12" t="s">
        <v>353</v>
      </c>
      <c r="P546" s="12">
        <v>7.3101207280682701E-2</v>
      </c>
      <c r="Q546" s="12">
        <v>5.0306143596864701E-2</v>
      </c>
      <c r="R546" s="12">
        <v>0.62197580645161299</v>
      </c>
      <c r="S546" s="14">
        <v>39</v>
      </c>
      <c r="T546" s="12">
        <v>5.8854292478296397</v>
      </c>
      <c r="U546" s="14">
        <v>226</v>
      </c>
      <c r="V546" s="14">
        <v>10</v>
      </c>
      <c r="W546" s="12">
        <v>6.4000000000000003E-3</v>
      </c>
      <c r="X546" s="12">
        <v>5.8918292478296399</v>
      </c>
      <c r="Y546" s="14">
        <v>226</v>
      </c>
      <c r="Z546" s="14">
        <v>38</v>
      </c>
      <c r="AA546" s="12" t="s">
        <v>2369</v>
      </c>
    </row>
    <row r="547" spans="1:27" ht="14.25" x14ac:dyDescent="0.45">
      <c r="A547" s="12" t="s">
        <v>358</v>
      </c>
      <c r="B547" s="12" t="s">
        <v>1971</v>
      </c>
      <c r="C547" s="12" t="s">
        <v>1972</v>
      </c>
      <c r="D547" s="12" t="s">
        <v>1974</v>
      </c>
      <c r="E547" s="20">
        <v>28908</v>
      </c>
      <c r="F547" s="20">
        <v>43209</v>
      </c>
      <c r="G547" s="12">
        <v>652.48</v>
      </c>
      <c r="H547" s="12">
        <v>45.066666666666698</v>
      </c>
      <c r="I547" s="13">
        <v>14.478106508875699</v>
      </c>
      <c r="J547" s="12" t="s">
        <v>358</v>
      </c>
      <c r="K547" s="14">
        <v>198</v>
      </c>
      <c r="L547" s="14">
        <v>92</v>
      </c>
      <c r="M547" s="14">
        <v>102</v>
      </c>
      <c r="N547" s="12">
        <v>652.48</v>
      </c>
      <c r="O547" s="12" t="s">
        <v>358</v>
      </c>
      <c r="P547" s="12">
        <v>0.10496022649583001</v>
      </c>
      <c r="Q547" s="12">
        <v>6.5926452040799499E-2</v>
      </c>
      <c r="R547" s="12">
        <v>0.68145161290322598</v>
      </c>
      <c r="S547" s="14">
        <v>43</v>
      </c>
      <c r="T547" s="12">
        <v>8.0564117461435796</v>
      </c>
      <c r="U547" s="14">
        <v>152</v>
      </c>
      <c r="V547" s="14">
        <v>18</v>
      </c>
      <c r="W547" s="12">
        <v>7.0000000000000001E-3</v>
      </c>
      <c r="X547" s="12">
        <v>8.0634117461435793</v>
      </c>
      <c r="Y547" s="14">
        <v>152</v>
      </c>
      <c r="Z547" s="14">
        <v>43</v>
      </c>
      <c r="AA547" s="12" t="s">
        <v>2369</v>
      </c>
    </row>
    <row r="548" spans="1:27" ht="14.25" x14ac:dyDescent="0.45">
      <c r="A548" s="12" t="s">
        <v>362</v>
      </c>
      <c r="B548" s="12" t="s">
        <v>1971</v>
      </c>
      <c r="C548" s="12" t="s">
        <v>1972</v>
      </c>
      <c r="D548" s="12" t="s">
        <v>1974</v>
      </c>
      <c r="E548" s="20">
        <v>31621</v>
      </c>
      <c r="F548" s="20">
        <v>43691</v>
      </c>
      <c r="G548" s="12">
        <v>378.67</v>
      </c>
      <c r="H548" s="12">
        <v>29</v>
      </c>
      <c r="I548" s="13">
        <v>13.0575862068966</v>
      </c>
      <c r="J548" s="12" t="s">
        <v>362</v>
      </c>
      <c r="K548" s="14">
        <v>225</v>
      </c>
      <c r="L548" s="14">
        <v>262</v>
      </c>
      <c r="M548" s="14">
        <v>191</v>
      </c>
      <c r="N548" s="12">
        <v>378.67</v>
      </c>
      <c r="O548" s="12" t="s">
        <v>362</v>
      </c>
      <c r="P548" s="12">
        <v>6.09141873577363E-2</v>
      </c>
      <c r="Q548" s="12">
        <v>5.9458074183239097E-2</v>
      </c>
      <c r="R548" s="12">
        <v>0.438508064516129</v>
      </c>
      <c r="S548" s="14">
        <v>36</v>
      </c>
      <c r="T548" s="12">
        <v>6.0004116623675596</v>
      </c>
      <c r="U548" s="14">
        <v>219</v>
      </c>
      <c r="V548" s="14">
        <v>56</v>
      </c>
      <c r="W548" s="12">
        <v>8.8999999999999999E-3</v>
      </c>
      <c r="X548" s="12">
        <v>6.0093116623675504</v>
      </c>
      <c r="Y548" s="14">
        <v>219</v>
      </c>
      <c r="Z548" s="14">
        <v>35</v>
      </c>
      <c r="AA548" s="12" t="s">
        <v>2369</v>
      </c>
    </row>
    <row r="549" spans="1:27" ht="14.25" x14ac:dyDescent="0.45">
      <c r="A549" s="12" t="s">
        <v>363</v>
      </c>
      <c r="B549" s="12" t="s">
        <v>1971</v>
      </c>
      <c r="C549" s="12" t="s">
        <v>1972</v>
      </c>
      <c r="D549" s="12" t="s">
        <v>2072</v>
      </c>
      <c r="E549" s="20">
        <v>31592</v>
      </c>
      <c r="F549" s="20">
        <v>43608</v>
      </c>
      <c r="G549" s="12">
        <v>0.01</v>
      </c>
      <c r="H549" s="12">
        <v>31.766666666666701</v>
      </c>
      <c r="I549" s="13">
        <v>3.1479538300104899E-4</v>
      </c>
      <c r="J549" s="12" t="s">
        <v>363</v>
      </c>
      <c r="K549" s="14">
        <v>1846</v>
      </c>
      <c r="L549" s="14">
        <v>248</v>
      </c>
      <c r="M549" s="14">
        <v>1944</v>
      </c>
      <c r="N549" s="12">
        <v>0.01</v>
      </c>
      <c r="O549" s="12" t="s">
        <v>363</v>
      </c>
      <c r="P549" s="12">
        <v>1.6086351535040101E-6</v>
      </c>
      <c r="Q549" s="12">
        <v>1.4334293443249001E-6</v>
      </c>
      <c r="R549" s="12">
        <v>0.48034274193548399</v>
      </c>
      <c r="S549" s="14">
        <v>36</v>
      </c>
      <c r="T549" s="12">
        <v>1.49913152276706E-4</v>
      </c>
      <c r="U549" s="14">
        <v>1962</v>
      </c>
      <c r="V549" s="14">
        <v>1</v>
      </c>
      <c r="W549" s="12">
        <v>5.4999999999999997E-3</v>
      </c>
      <c r="X549" s="12">
        <v>5.6499131522767098E-3</v>
      </c>
      <c r="Y549" s="14">
        <v>1962</v>
      </c>
      <c r="Z549" s="14">
        <v>36</v>
      </c>
      <c r="AA549" s="12" t="s">
        <v>2369</v>
      </c>
    </row>
    <row r="550" spans="1:27" ht="14.25" x14ac:dyDescent="0.45">
      <c r="A550" s="12" t="s">
        <v>402</v>
      </c>
      <c r="B550" s="12" t="s">
        <v>1971</v>
      </c>
      <c r="C550" s="12" t="s">
        <v>1972</v>
      </c>
      <c r="D550" s="12" t="s">
        <v>1975</v>
      </c>
      <c r="E550" s="20">
        <v>31002</v>
      </c>
      <c r="F550" s="20">
        <v>42880</v>
      </c>
      <c r="G550" s="12">
        <v>120.19</v>
      </c>
      <c r="H550" s="12">
        <v>56.033333333333303</v>
      </c>
      <c r="I550" s="13">
        <v>2.1449732302201099</v>
      </c>
      <c r="J550" s="12" t="s">
        <v>402</v>
      </c>
      <c r="K550" s="14">
        <v>641</v>
      </c>
      <c r="L550" s="14">
        <v>29</v>
      </c>
      <c r="M550" s="14">
        <v>353</v>
      </c>
      <c r="N550" s="12">
        <v>120.19</v>
      </c>
      <c r="O550" s="12" t="s">
        <v>402</v>
      </c>
      <c r="P550" s="12">
        <v>1.9334185909964701E-2</v>
      </c>
      <c r="Q550" s="12">
        <v>9.7671939838413005E-3</v>
      </c>
      <c r="R550" s="12">
        <v>0.84727822580645196</v>
      </c>
      <c r="S550" s="14">
        <v>38</v>
      </c>
      <c r="T550" s="12">
        <v>1.33548159561376</v>
      </c>
      <c r="U550" s="14">
        <v>524</v>
      </c>
      <c r="V550" s="14">
        <v>6</v>
      </c>
      <c r="W550" s="12">
        <v>6.0000000000000001E-3</v>
      </c>
      <c r="X550" s="12">
        <v>1.34148159561376</v>
      </c>
      <c r="Y550" s="14">
        <v>524</v>
      </c>
      <c r="Z550" s="14">
        <v>37</v>
      </c>
      <c r="AA550" s="12" t="s">
        <v>2369</v>
      </c>
    </row>
    <row r="551" spans="1:27" ht="14.25" x14ac:dyDescent="0.45">
      <c r="A551" s="12" t="s">
        <v>406</v>
      </c>
      <c r="B551" s="12" t="s">
        <v>1971</v>
      </c>
      <c r="C551" s="12" t="s">
        <v>1972</v>
      </c>
      <c r="D551" s="12" t="s">
        <v>1978</v>
      </c>
      <c r="E551" s="20">
        <v>30934</v>
      </c>
      <c r="F551" s="20">
        <v>43328</v>
      </c>
      <c r="G551" s="12">
        <v>305.31</v>
      </c>
      <c r="H551" s="12">
        <v>41.1</v>
      </c>
      <c r="I551" s="13">
        <v>7.4284671532846698</v>
      </c>
      <c r="J551" s="12" t="s">
        <v>406</v>
      </c>
      <c r="K551" s="14">
        <v>368</v>
      </c>
      <c r="L551" s="14">
        <v>162</v>
      </c>
      <c r="M551" s="14">
        <v>219</v>
      </c>
      <c r="N551" s="12">
        <v>305.31</v>
      </c>
      <c r="O551" s="12" t="s">
        <v>406</v>
      </c>
      <c r="P551" s="12">
        <v>4.9113239871630902E-2</v>
      </c>
      <c r="Q551" s="12">
        <v>3.3825727364102998E-2</v>
      </c>
      <c r="R551" s="12">
        <v>0.62147177419354804</v>
      </c>
      <c r="S551" s="14">
        <v>38</v>
      </c>
      <c r="T551" s="12">
        <v>3.9558544554426001</v>
      </c>
      <c r="U551" s="14">
        <v>311</v>
      </c>
      <c r="V551" s="14">
        <v>14</v>
      </c>
      <c r="W551" s="12">
        <v>6.7000000000000002E-3</v>
      </c>
      <c r="X551" s="12">
        <v>3.9625544554426</v>
      </c>
      <c r="Y551" s="14">
        <v>311</v>
      </c>
      <c r="Z551" s="14">
        <v>37</v>
      </c>
      <c r="AA551" s="12" t="s">
        <v>2369</v>
      </c>
    </row>
    <row r="552" spans="1:27" ht="14.25" x14ac:dyDescent="0.45">
      <c r="A552" s="12" t="s">
        <v>419</v>
      </c>
      <c r="B552" s="12" t="s">
        <v>1971</v>
      </c>
      <c r="C552" s="12" t="s">
        <v>1972</v>
      </c>
      <c r="D552" s="12" t="s">
        <v>1993</v>
      </c>
      <c r="E552" s="20">
        <v>29178</v>
      </c>
      <c r="F552" s="20">
        <v>43747</v>
      </c>
      <c r="G552" s="12">
        <v>318.85000000000002</v>
      </c>
      <c r="H552" s="12">
        <v>27.133333333333301</v>
      </c>
      <c r="I552" s="13">
        <v>11.7512285012285</v>
      </c>
      <c r="J552" s="12" t="s">
        <v>419</v>
      </c>
      <c r="K552" s="14">
        <v>249</v>
      </c>
      <c r="L552" s="14">
        <v>318</v>
      </c>
      <c r="M552" s="14">
        <v>210</v>
      </c>
      <c r="N552" s="12">
        <v>318.85000000000002</v>
      </c>
      <c r="O552" s="12" t="s">
        <v>419</v>
      </c>
      <c r="P552" s="12">
        <v>5.12913318694753E-2</v>
      </c>
      <c r="Q552" s="12">
        <v>5.3509538815160698E-2</v>
      </c>
      <c r="R552" s="12">
        <v>0.41028225806451601</v>
      </c>
      <c r="S552" s="14">
        <v>43</v>
      </c>
      <c r="T552" s="12">
        <v>5.2677711210528697</v>
      </c>
      <c r="U552" s="14">
        <v>251</v>
      </c>
      <c r="V552" s="14">
        <v>24</v>
      </c>
      <c r="W552" s="12">
        <v>7.4000000000000003E-3</v>
      </c>
      <c r="X552" s="12">
        <v>5.2751711210528702</v>
      </c>
      <c r="Y552" s="14">
        <v>251</v>
      </c>
      <c r="Z552" s="14">
        <v>42</v>
      </c>
      <c r="AA552" s="12" t="s">
        <v>2369</v>
      </c>
    </row>
    <row r="553" spans="1:27" ht="14.25" x14ac:dyDescent="0.45">
      <c r="A553" s="12" t="s">
        <v>428</v>
      </c>
      <c r="B553" s="12" t="s">
        <v>1971</v>
      </c>
      <c r="C553" s="12" t="s">
        <v>1972</v>
      </c>
      <c r="D553" s="12" t="s">
        <v>2026</v>
      </c>
      <c r="E553" s="20">
        <v>31843</v>
      </c>
      <c r="F553" s="20">
        <v>44221</v>
      </c>
      <c r="G553" s="12">
        <v>0.95</v>
      </c>
      <c r="H553" s="12">
        <v>11.3333333333333</v>
      </c>
      <c r="I553" s="13">
        <v>8.38235294117647E-2</v>
      </c>
      <c r="J553" s="12" t="s">
        <v>428</v>
      </c>
      <c r="K553" s="14">
        <v>1539</v>
      </c>
      <c r="L553" s="14">
        <v>860</v>
      </c>
      <c r="M553" s="14">
        <v>1568</v>
      </c>
      <c r="N553" s="12">
        <v>0.95</v>
      </c>
      <c r="O553" s="12" t="s">
        <v>428</v>
      </c>
      <c r="P553" s="12">
        <v>1.5282033958288101E-4</v>
      </c>
      <c r="Q553" s="12">
        <v>3.81692722613102E-4</v>
      </c>
      <c r="R553" s="12">
        <v>0.171370967741935</v>
      </c>
      <c r="S553" s="14">
        <v>35</v>
      </c>
      <c r="T553" s="12">
        <v>2.9586557897676901E-2</v>
      </c>
      <c r="U553" s="14">
        <v>1623</v>
      </c>
      <c r="V553" s="14">
        <v>1</v>
      </c>
      <c r="W553" s="12">
        <v>5.4999999999999997E-3</v>
      </c>
      <c r="X553" s="12">
        <v>3.5086557897676902E-2</v>
      </c>
      <c r="Y553" s="14">
        <v>1624</v>
      </c>
      <c r="Z553" s="14">
        <v>35</v>
      </c>
      <c r="AA553" s="12" t="s">
        <v>2369</v>
      </c>
    </row>
    <row r="554" spans="1:27" ht="14.25" x14ac:dyDescent="0.45">
      <c r="A554" s="12" t="s">
        <v>430</v>
      </c>
      <c r="B554" s="12" t="s">
        <v>1971</v>
      </c>
      <c r="C554" s="12" t="s">
        <v>1972</v>
      </c>
      <c r="D554" s="12" t="s">
        <v>2012</v>
      </c>
      <c r="E554" s="20">
        <v>31720</v>
      </c>
      <c r="F554" s="20">
        <v>42831</v>
      </c>
      <c r="G554" s="12">
        <v>329.76</v>
      </c>
      <c r="H554" s="12">
        <v>57.6666666666667</v>
      </c>
      <c r="I554" s="13">
        <v>5.7183815028901703</v>
      </c>
      <c r="J554" s="12" t="s">
        <v>430</v>
      </c>
      <c r="K554" s="14">
        <v>418</v>
      </c>
      <c r="L554" s="14">
        <v>20</v>
      </c>
      <c r="M554" s="14">
        <v>204</v>
      </c>
      <c r="N554" s="12">
        <v>329.76</v>
      </c>
      <c r="O554" s="12" t="s">
        <v>430</v>
      </c>
      <c r="P554" s="12">
        <v>5.3046352821948202E-2</v>
      </c>
      <c r="Q554" s="12">
        <v>2.6038805811393201E-2</v>
      </c>
      <c r="R554" s="12">
        <v>0.87197580645161299</v>
      </c>
      <c r="S554" s="14">
        <v>36</v>
      </c>
      <c r="T554" s="12">
        <v>3.6166635940351402</v>
      </c>
      <c r="U554" s="14">
        <v>335</v>
      </c>
      <c r="V554" s="14">
        <v>5</v>
      </c>
      <c r="W554" s="12">
        <v>5.8999999999999999E-3</v>
      </c>
      <c r="X554" s="12">
        <v>3.6225635940351402</v>
      </c>
      <c r="Y554" s="14">
        <v>335</v>
      </c>
      <c r="Z554" s="14">
        <v>35</v>
      </c>
      <c r="AA554" s="12" t="s">
        <v>2369</v>
      </c>
    </row>
    <row r="555" spans="1:27" ht="14.25" x14ac:dyDescent="0.45">
      <c r="A555" s="12" t="s">
        <v>450</v>
      </c>
      <c r="B555" s="12" t="s">
        <v>1971</v>
      </c>
      <c r="C555" s="12" t="s">
        <v>1972</v>
      </c>
      <c r="D555" s="12" t="s">
        <v>1975</v>
      </c>
      <c r="E555" s="20">
        <v>30529</v>
      </c>
      <c r="F555" s="20">
        <v>43908</v>
      </c>
      <c r="G555" s="12">
        <v>0.06</v>
      </c>
      <c r="H555" s="12">
        <v>21.766666666666701</v>
      </c>
      <c r="I555" s="13">
        <v>2.7565084226646198E-3</v>
      </c>
      <c r="J555" s="12" t="s">
        <v>450</v>
      </c>
      <c r="K555" s="14">
        <v>1799</v>
      </c>
      <c r="L555" s="14">
        <v>433</v>
      </c>
      <c r="M555" s="14">
        <v>1867</v>
      </c>
      <c r="N555" s="12">
        <v>0.06</v>
      </c>
      <c r="O555" s="12" t="s">
        <v>450</v>
      </c>
      <c r="P555" s="12">
        <v>9.6518109210240504E-6</v>
      </c>
      <c r="Q555" s="12">
        <v>1.2551836126875601E-5</v>
      </c>
      <c r="R555" s="12">
        <v>0.329133064516129</v>
      </c>
      <c r="S555" s="14">
        <v>39</v>
      </c>
      <c r="T555" s="12">
        <v>1.14643266746813E-3</v>
      </c>
      <c r="U555" s="14">
        <v>1901</v>
      </c>
      <c r="V555" s="14">
        <v>1</v>
      </c>
      <c r="W555" s="12">
        <v>5.4999999999999997E-3</v>
      </c>
      <c r="X555" s="12">
        <v>6.6464326674681301E-3</v>
      </c>
      <c r="Y555" s="14">
        <v>1902</v>
      </c>
      <c r="Z555" s="14">
        <v>38</v>
      </c>
      <c r="AA555" s="12" t="s">
        <v>2369</v>
      </c>
    </row>
    <row r="556" spans="1:27" ht="14.25" x14ac:dyDescent="0.45">
      <c r="A556" s="12" t="s">
        <v>454</v>
      </c>
      <c r="B556" s="12" t="s">
        <v>1971</v>
      </c>
      <c r="C556" s="12" t="s">
        <v>1972</v>
      </c>
      <c r="D556" s="12" t="s">
        <v>1990</v>
      </c>
      <c r="E556" s="20">
        <v>31308</v>
      </c>
      <c r="F556" s="20">
        <v>44221</v>
      </c>
      <c r="G556" s="12">
        <v>19.989999999999998</v>
      </c>
      <c r="H556" s="12">
        <v>11.3333333333333</v>
      </c>
      <c r="I556" s="13">
        <v>1.7638235294117599</v>
      </c>
      <c r="J556" s="12" t="s">
        <v>454</v>
      </c>
      <c r="K556" s="14">
        <v>697</v>
      </c>
      <c r="L556" s="14">
        <v>860</v>
      </c>
      <c r="M556" s="14">
        <v>719</v>
      </c>
      <c r="N556" s="12">
        <v>19.989999999999998</v>
      </c>
      <c r="O556" s="12" t="s">
        <v>454</v>
      </c>
      <c r="P556" s="12">
        <v>3.2156616718545098E-3</v>
      </c>
      <c r="Q556" s="12">
        <v>8.0316184474062205E-3</v>
      </c>
      <c r="R556" s="12">
        <v>0.171370967741935</v>
      </c>
      <c r="S556" s="14">
        <v>37</v>
      </c>
      <c r="T556" s="12">
        <v>0.62256346565743304</v>
      </c>
      <c r="U556" s="14">
        <v>744</v>
      </c>
      <c r="V556" s="14">
        <v>1</v>
      </c>
      <c r="W556" s="12">
        <v>5.4999999999999997E-3</v>
      </c>
      <c r="X556" s="12">
        <v>0.62806346565743298</v>
      </c>
      <c r="Y556" s="14">
        <v>744</v>
      </c>
      <c r="Z556" s="14">
        <v>36</v>
      </c>
      <c r="AA556" s="12" t="s">
        <v>2369</v>
      </c>
    </row>
    <row r="557" spans="1:27" ht="14.25" x14ac:dyDescent="0.45">
      <c r="A557" s="12" t="s">
        <v>460</v>
      </c>
      <c r="B557" s="12" t="s">
        <v>1971</v>
      </c>
      <c r="C557" s="12" t="s">
        <v>1972</v>
      </c>
      <c r="D557" s="12" t="s">
        <v>2020</v>
      </c>
      <c r="E557" s="20">
        <v>29075</v>
      </c>
      <c r="F557" s="20">
        <v>43864</v>
      </c>
      <c r="G557" s="12">
        <v>261.75</v>
      </c>
      <c r="H557" s="12">
        <v>23.233333333333299</v>
      </c>
      <c r="I557" s="13">
        <v>11.266140602582499</v>
      </c>
      <c r="J557" s="12" t="s">
        <v>460</v>
      </c>
      <c r="K557" s="14">
        <v>258</v>
      </c>
      <c r="L557" s="14">
        <v>404</v>
      </c>
      <c r="M557" s="14">
        <v>250</v>
      </c>
      <c r="N557" s="12">
        <v>261.75</v>
      </c>
      <c r="O557" s="12" t="s">
        <v>460</v>
      </c>
      <c r="P557" s="12">
        <v>4.21060251429674E-2</v>
      </c>
      <c r="Q557" s="12">
        <v>5.1300677865971499E-2</v>
      </c>
      <c r="R557" s="12">
        <v>0.35131048387096803</v>
      </c>
      <c r="S557" s="14">
        <v>43</v>
      </c>
      <c r="T557" s="12">
        <v>4.7852683094844899</v>
      </c>
      <c r="U557" s="14">
        <v>273</v>
      </c>
      <c r="V557" s="14">
        <v>20</v>
      </c>
      <c r="W557" s="12">
        <v>7.1000000000000004E-3</v>
      </c>
      <c r="X557" s="12">
        <v>4.7923683094844902</v>
      </c>
      <c r="Y557" s="14">
        <v>273</v>
      </c>
      <c r="Z557" s="14">
        <v>42</v>
      </c>
      <c r="AA557" s="12" t="s">
        <v>2369</v>
      </c>
    </row>
    <row r="558" spans="1:27" ht="14.25" x14ac:dyDescent="0.45">
      <c r="A558" s="12" t="s">
        <v>465</v>
      </c>
      <c r="B558" s="12" t="s">
        <v>1971</v>
      </c>
      <c r="C558" s="12" t="s">
        <v>1972</v>
      </c>
      <c r="D558" s="12" t="s">
        <v>1974</v>
      </c>
      <c r="E558" s="20">
        <v>31473</v>
      </c>
      <c r="F558" s="20">
        <v>43250</v>
      </c>
      <c r="G558" s="12">
        <v>352.35</v>
      </c>
      <c r="H558" s="12">
        <v>43.7</v>
      </c>
      <c r="I558" s="13">
        <v>8.0629290617848994</v>
      </c>
      <c r="J558" s="12" t="s">
        <v>465</v>
      </c>
      <c r="K558" s="14">
        <v>349</v>
      </c>
      <c r="L558" s="14">
        <v>99</v>
      </c>
      <c r="M558" s="14">
        <v>196</v>
      </c>
      <c r="N558" s="12">
        <v>352.35</v>
      </c>
      <c r="O558" s="12" t="s">
        <v>465</v>
      </c>
      <c r="P558" s="12">
        <v>5.66802596337138E-2</v>
      </c>
      <c r="Q558" s="12">
        <v>3.6714766932696603E-2</v>
      </c>
      <c r="R558" s="12">
        <v>0.66078629032258096</v>
      </c>
      <c r="S558" s="14">
        <v>36</v>
      </c>
      <c r="T558" s="12">
        <v>4.4201826695577999</v>
      </c>
      <c r="U558" s="14">
        <v>285</v>
      </c>
      <c r="V558" s="14">
        <v>5</v>
      </c>
      <c r="W558" s="12">
        <v>5.8999999999999999E-3</v>
      </c>
      <c r="X558" s="12">
        <v>4.4260826695578004</v>
      </c>
      <c r="Y558" s="14">
        <v>285</v>
      </c>
      <c r="Z558" s="14">
        <v>36</v>
      </c>
      <c r="AA558" s="12" t="s">
        <v>2369</v>
      </c>
    </row>
    <row r="559" spans="1:27" ht="14.25" x14ac:dyDescent="0.45">
      <c r="A559" s="12" t="s">
        <v>468</v>
      </c>
      <c r="B559" s="12" t="s">
        <v>1971</v>
      </c>
      <c r="C559" s="12" t="s">
        <v>1972</v>
      </c>
      <c r="D559" s="12" t="s">
        <v>1990</v>
      </c>
      <c r="E559" s="20">
        <v>30758</v>
      </c>
      <c r="F559" s="20">
        <v>44209</v>
      </c>
      <c r="G559" s="12">
        <v>5.56</v>
      </c>
      <c r="H559" s="12">
        <v>11.733333333333301</v>
      </c>
      <c r="I559" s="13">
        <v>0.47386363636363599</v>
      </c>
      <c r="J559" s="12" t="s">
        <v>468</v>
      </c>
      <c r="K559" s="14">
        <v>1073</v>
      </c>
      <c r="L559" s="14">
        <v>812</v>
      </c>
      <c r="M559" s="14">
        <v>995</v>
      </c>
      <c r="N559" s="12">
        <v>5.56</v>
      </c>
      <c r="O559" s="12" t="s">
        <v>468</v>
      </c>
      <c r="P559" s="12">
        <v>8.9440114534822897E-4</v>
      </c>
      <c r="Q559" s="12">
        <v>2.15775096539416E-3</v>
      </c>
      <c r="R559" s="12">
        <v>0.17741935483870999</v>
      </c>
      <c r="S559" s="14">
        <v>38</v>
      </c>
      <c r="T559" s="12">
        <v>0.168399478287694</v>
      </c>
      <c r="U559" s="14">
        <v>1111</v>
      </c>
      <c r="V559" s="14">
        <v>3</v>
      </c>
      <c r="W559" s="12">
        <v>5.7000000000000002E-3</v>
      </c>
      <c r="X559" s="12">
        <v>0.17409947828769401</v>
      </c>
      <c r="Y559" s="14">
        <v>1111</v>
      </c>
      <c r="Z559" s="14">
        <v>38</v>
      </c>
      <c r="AA559" s="12" t="s">
        <v>2369</v>
      </c>
    </row>
    <row r="560" spans="1:27" ht="14.25" x14ac:dyDescent="0.45">
      <c r="A560" s="12" t="s">
        <v>473</v>
      </c>
      <c r="B560" s="12" t="s">
        <v>1971</v>
      </c>
      <c r="C560" s="12" t="s">
        <v>1972</v>
      </c>
      <c r="D560" s="12" t="s">
        <v>1995</v>
      </c>
      <c r="E560" s="20">
        <v>30546</v>
      </c>
      <c r="F560" s="20">
        <v>43311</v>
      </c>
      <c r="G560" s="12">
        <v>649.77</v>
      </c>
      <c r="H560" s="12">
        <v>41.6666666666667</v>
      </c>
      <c r="I560" s="13">
        <v>15.594480000000001</v>
      </c>
      <c r="J560" s="12" t="s">
        <v>473</v>
      </c>
      <c r="K560" s="14">
        <v>182</v>
      </c>
      <c r="L560" s="14">
        <v>135</v>
      </c>
      <c r="M560" s="14">
        <v>103</v>
      </c>
      <c r="N560" s="12">
        <v>649.77</v>
      </c>
      <c r="O560" s="12" t="s">
        <v>473</v>
      </c>
      <c r="P560" s="12">
        <v>0.10452428636923</v>
      </c>
      <c r="Q560" s="12">
        <v>7.1009889117125996E-2</v>
      </c>
      <c r="R560" s="12">
        <v>0.63004032258064502</v>
      </c>
      <c r="S560" s="14">
        <v>39</v>
      </c>
      <c r="T560" s="12">
        <v>8.3577788086665006</v>
      </c>
      <c r="U560" s="14">
        <v>140</v>
      </c>
      <c r="V560" s="14">
        <v>7</v>
      </c>
      <c r="W560" s="12">
        <v>6.1000000000000004E-3</v>
      </c>
      <c r="X560" s="12">
        <v>8.3638788086665006</v>
      </c>
      <c r="Y560" s="14">
        <v>140</v>
      </c>
      <c r="Z560" s="14">
        <v>38</v>
      </c>
      <c r="AA560" s="12" t="s">
        <v>2369</v>
      </c>
    </row>
    <row r="561" spans="1:27" ht="14.25" x14ac:dyDescent="0.45">
      <c r="A561" s="12" t="s">
        <v>474</v>
      </c>
      <c r="B561" s="12" t="s">
        <v>1971</v>
      </c>
      <c r="C561" s="12" t="s">
        <v>1972</v>
      </c>
      <c r="D561" s="12" t="s">
        <v>1993</v>
      </c>
      <c r="E561" s="20">
        <v>29664</v>
      </c>
      <c r="F561" s="20">
        <v>43859</v>
      </c>
      <c r="G561" s="12">
        <v>388.09</v>
      </c>
      <c r="H561" s="12">
        <v>23.4</v>
      </c>
      <c r="I561" s="13">
        <v>16.585042735042698</v>
      </c>
      <c r="J561" s="12" t="s">
        <v>474</v>
      </c>
      <c r="K561" s="14">
        <v>166</v>
      </c>
      <c r="L561" s="14">
        <v>402</v>
      </c>
      <c r="M561" s="14">
        <v>184</v>
      </c>
      <c r="N561" s="12">
        <v>388.09</v>
      </c>
      <c r="O561" s="12" t="s">
        <v>474</v>
      </c>
      <c r="P561" s="12">
        <v>6.2429521672337097E-2</v>
      </c>
      <c r="Q561" s="12">
        <v>7.5520443491426503E-2</v>
      </c>
      <c r="R561" s="12">
        <v>0.35383064516128998</v>
      </c>
      <c r="S561" s="14">
        <v>41</v>
      </c>
      <c r="T561" s="12">
        <v>7.0611347809267997</v>
      </c>
      <c r="U561" s="14">
        <v>186</v>
      </c>
      <c r="V561" s="14">
        <v>16</v>
      </c>
      <c r="W561" s="12">
        <v>6.8999999999999999E-3</v>
      </c>
      <c r="X561" s="12">
        <v>7.0680347809267996</v>
      </c>
      <c r="Y561" s="14">
        <v>186</v>
      </c>
      <c r="Z561" s="14">
        <v>41</v>
      </c>
      <c r="AA561" s="12" t="s">
        <v>2369</v>
      </c>
    </row>
    <row r="562" spans="1:27" ht="14.25" x14ac:dyDescent="0.45">
      <c r="A562" s="12" t="s">
        <v>475</v>
      </c>
      <c r="B562" s="12" t="s">
        <v>1971</v>
      </c>
      <c r="C562" s="12" t="s">
        <v>1972</v>
      </c>
      <c r="D562" s="12" t="s">
        <v>1978</v>
      </c>
      <c r="E562" s="20">
        <v>30161</v>
      </c>
      <c r="F562" s="20">
        <v>43711</v>
      </c>
      <c r="G562" s="12">
        <v>0.02</v>
      </c>
      <c r="H562" s="12">
        <v>28.3333333333333</v>
      </c>
      <c r="I562" s="13">
        <v>7.0588235294117695E-4</v>
      </c>
      <c r="J562" s="12" t="s">
        <v>475</v>
      </c>
      <c r="K562" s="14">
        <v>1841</v>
      </c>
      <c r="L562" s="14">
        <v>277</v>
      </c>
      <c r="M562" s="14">
        <v>1922</v>
      </c>
      <c r="N562" s="12">
        <v>0.02</v>
      </c>
      <c r="O562" s="12" t="s">
        <v>475</v>
      </c>
      <c r="P562" s="12">
        <v>3.2172703070080202E-6</v>
      </c>
      <c r="Q562" s="12">
        <v>3.21425450621559E-6</v>
      </c>
      <c r="R562" s="12">
        <v>0.42842741935483902</v>
      </c>
      <c r="S562" s="14">
        <v>40</v>
      </c>
      <c r="T562" s="12">
        <v>3.21538543151275E-4</v>
      </c>
      <c r="U562" s="14">
        <v>1953</v>
      </c>
      <c r="V562" s="14">
        <v>1</v>
      </c>
      <c r="W562" s="12">
        <v>5.4999999999999997E-3</v>
      </c>
      <c r="X562" s="12">
        <v>5.8215385431512803E-3</v>
      </c>
      <c r="Y562" s="14">
        <v>1953</v>
      </c>
      <c r="Z562" s="14">
        <v>39</v>
      </c>
      <c r="AA562" s="12" t="s">
        <v>2369</v>
      </c>
    </row>
    <row r="563" spans="1:27" ht="14.25" x14ac:dyDescent="0.45">
      <c r="A563" s="12" t="s">
        <v>476</v>
      </c>
      <c r="B563" s="12" t="s">
        <v>1971</v>
      </c>
      <c r="C563" s="12" t="s">
        <v>1972</v>
      </c>
      <c r="D563" s="12" t="s">
        <v>1995</v>
      </c>
      <c r="E563" s="20">
        <v>30710</v>
      </c>
      <c r="F563" s="20">
        <v>43550</v>
      </c>
      <c r="G563" s="12">
        <v>1.53</v>
      </c>
      <c r="H563" s="12">
        <v>33.700000000000003</v>
      </c>
      <c r="I563" s="13">
        <v>4.5400593471810101E-2</v>
      </c>
      <c r="J563" s="12" t="s">
        <v>476</v>
      </c>
      <c r="K563" s="14">
        <v>1619</v>
      </c>
      <c r="L563" s="14">
        <v>235</v>
      </c>
      <c r="M563" s="14">
        <v>1478</v>
      </c>
      <c r="N563" s="12">
        <v>1.53</v>
      </c>
      <c r="O563" s="12" t="s">
        <v>476</v>
      </c>
      <c r="P563" s="12">
        <v>2.4612117848611301E-4</v>
      </c>
      <c r="Q563" s="12">
        <v>2.0673283804813899E-4</v>
      </c>
      <c r="R563" s="12">
        <v>0.50957661290322598</v>
      </c>
      <c r="S563" s="14">
        <v>38</v>
      </c>
      <c r="T563" s="12">
        <v>2.2150346571237999E-2</v>
      </c>
      <c r="U563" s="14">
        <v>1675</v>
      </c>
      <c r="V563" s="14">
        <v>2</v>
      </c>
      <c r="W563" s="12">
        <v>5.5999999999999999E-3</v>
      </c>
      <c r="X563" s="12">
        <v>2.7750346571238E-2</v>
      </c>
      <c r="Y563" s="14">
        <v>1673</v>
      </c>
      <c r="Z563" s="14">
        <v>38</v>
      </c>
      <c r="AA563" s="12" t="s">
        <v>2369</v>
      </c>
    </row>
    <row r="564" spans="1:27" ht="14.25" x14ac:dyDescent="0.45">
      <c r="A564" s="12" t="s">
        <v>480</v>
      </c>
      <c r="B564" s="12" t="s">
        <v>1971</v>
      </c>
      <c r="C564" s="12" t="s">
        <v>1972</v>
      </c>
      <c r="D564" s="12" t="s">
        <v>1997</v>
      </c>
      <c r="E564" s="20">
        <v>29861</v>
      </c>
      <c r="F564" s="20">
        <v>43759</v>
      </c>
      <c r="G564" s="12">
        <v>3.97</v>
      </c>
      <c r="H564" s="12">
        <v>26.733333333333299</v>
      </c>
      <c r="I564" s="13">
        <v>0.14850374064837901</v>
      </c>
      <c r="J564" s="12" t="s">
        <v>480</v>
      </c>
      <c r="K564" s="14">
        <v>1415</v>
      </c>
      <c r="L564" s="14">
        <v>336</v>
      </c>
      <c r="M564" s="14">
        <v>1122</v>
      </c>
      <c r="N564" s="12">
        <v>3.97</v>
      </c>
      <c r="O564" s="12" t="s">
        <v>480</v>
      </c>
      <c r="P564" s="12">
        <v>6.3862815594109199E-4</v>
      </c>
      <c r="Q564" s="12">
        <v>6.7621582488930896E-4</v>
      </c>
      <c r="R564" s="12">
        <v>0.40423387096774199</v>
      </c>
      <c r="S564" s="14">
        <v>41</v>
      </c>
      <c r="T564" s="12">
        <v>6.6212044903372805E-2</v>
      </c>
      <c r="U564" s="14">
        <v>1457</v>
      </c>
      <c r="V564" s="14">
        <v>3</v>
      </c>
      <c r="W564" s="12">
        <v>5.7000000000000002E-3</v>
      </c>
      <c r="X564" s="12">
        <v>7.1912044903372802E-2</v>
      </c>
      <c r="Y564" s="14">
        <v>1457</v>
      </c>
      <c r="Z564" s="14">
        <v>40</v>
      </c>
      <c r="AA564" s="12" t="s">
        <v>2369</v>
      </c>
    </row>
    <row r="565" spans="1:27" ht="14.25" x14ac:dyDescent="0.45">
      <c r="A565" s="12" t="s">
        <v>484</v>
      </c>
      <c r="B565" s="12" t="s">
        <v>1971</v>
      </c>
      <c r="C565" s="12" t="s">
        <v>1972</v>
      </c>
      <c r="D565" s="12" t="s">
        <v>2026</v>
      </c>
      <c r="E565" s="20">
        <v>30515</v>
      </c>
      <c r="F565" s="20">
        <v>44195</v>
      </c>
      <c r="G565" s="12">
        <v>227.27</v>
      </c>
      <c r="H565" s="12">
        <v>12.2</v>
      </c>
      <c r="I565" s="13">
        <v>18.628688524590199</v>
      </c>
      <c r="J565" s="12" t="s">
        <v>484</v>
      </c>
      <c r="K565" s="14">
        <v>144</v>
      </c>
      <c r="L565" s="14">
        <v>761</v>
      </c>
      <c r="M565" s="14">
        <v>268</v>
      </c>
      <c r="N565" s="12">
        <v>227.27</v>
      </c>
      <c r="O565" s="12" t="s">
        <v>484</v>
      </c>
      <c r="P565" s="12">
        <v>3.6559451133685597E-2</v>
      </c>
      <c r="Q565" s="12">
        <v>8.4826240216321805E-2</v>
      </c>
      <c r="R565" s="12">
        <v>0.18447580645161299</v>
      </c>
      <c r="S565" s="14">
        <v>39</v>
      </c>
      <c r="T565" s="12">
        <v>6.6726194310333202</v>
      </c>
      <c r="U565" s="14">
        <v>197</v>
      </c>
      <c r="V565" s="14">
        <v>6</v>
      </c>
      <c r="W565" s="12">
        <v>6.0000000000000001E-3</v>
      </c>
      <c r="X565" s="12">
        <v>6.6786194310333196</v>
      </c>
      <c r="Y565" s="14">
        <v>197</v>
      </c>
      <c r="Z565" s="14">
        <v>38</v>
      </c>
      <c r="AA565" s="12" t="s">
        <v>2369</v>
      </c>
    </row>
    <row r="566" spans="1:27" ht="14.25" x14ac:dyDescent="0.45">
      <c r="A566" s="12" t="s">
        <v>488</v>
      </c>
      <c r="B566" s="12" t="s">
        <v>1971</v>
      </c>
      <c r="C566" s="12" t="s">
        <v>1972</v>
      </c>
      <c r="D566" s="12" t="s">
        <v>1975</v>
      </c>
      <c r="E566" s="20">
        <v>31648</v>
      </c>
      <c r="F566" s="20">
        <v>44175</v>
      </c>
      <c r="G566" s="12">
        <v>64.56</v>
      </c>
      <c r="H566" s="12">
        <v>12.866666666666699</v>
      </c>
      <c r="I566" s="13">
        <v>5.0176165803108796</v>
      </c>
      <c r="J566" s="12" t="s">
        <v>488</v>
      </c>
      <c r="K566" s="14">
        <v>443</v>
      </c>
      <c r="L566" s="14">
        <v>692</v>
      </c>
      <c r="M566" s="14">
        <v>440</v>
      </c>
      <c r="N566" s="12">
        <v>64.56</v>
      </c>
      <c r="O566" s="12" t="s">
        <v>488</v>
      </c>
      <c r="P566" s="12">
        <v>1.0385348551021901E-2</v>
      </c>
      <c r="Q566" s="12">
        <v>2.2847853663612298E-2</v>
      </c>
      <c r="R566" s="12">
        <v>0.194556451612903</v>
      </c>
      <c r="S566" s="14">
        <v>36</v>
      </c>
      <c r="T566" s="12">
        <v>1.81744142463909</v>
      </c>
      <c r="U566" s="14">
        <v>453</v>
      </c>
      <c r="V566" s="14">
        <v>4</v>
      </c>
      <c r="W566" s="12">
        <v>5.7999999999999996E-3</v>
      </c>
      <c r="X566" s="12">
        <v>1.82324142463909</v>
      </c>
      <c r="Y566" s="14">
        <v>453</v>
      </c>
      <c r="Z566" s="14">
        <v>35</v>
      </c>
      <c r="AA566" s="12" t="s">
        <v>2369</v>
      </c>
    </row>
    <row r="567" spans="1:27" ht="14.25" x14ac:dyDescent="0.45">
      <c r="A567" s="12" t="s">
        <v>492</v>
      </c>
      <c r="B567" s="12" t="s">
        <v>1971</v>
      </c>
      <c r="C567" s="12" t="s">
        <v>1972</v>
      </c>
      <c r="D567" s="12" t="s">
        <v>1987</v>
      </c>
      <c r="E567" s="20">
        <v>30892</v>
      </c>
      <c r="F567" s="20">
        <v>44200</v>
      </c>
      <c r="G567" s="12">
        <v>22.43</v>
      </c>
      <c r="H567" s="12">
        <v>12.033333333333299</v>
      </c>
      <c r="I567" s="13">
        <v>1.8639889196675901</v>
      </c>
      <c r="J567" s="12" t="s">
        <v>492</v>
      </c>
      <c r="K567" s="14">
        <v>678</v>
      </c>
      <c r="L567" s="14">
        <v>767</v>
      </c>
      <c r="M567" s="14">
        <v>704</v>
      </c>
      <c r="N567" s="12">
        <v>22.43</v>
      </c>
      <c r="O567" s="12" t="s">
        <v>492</v>
      </c>
      <c r="P567" s="12">
        <v>3.60816864930949E-3</v>
      </c>
      <c r="Q567" s="12">
        <v>8.4877242781514397E-3</v>
      </c>
      <c r="R567" s="12">
        <v>0.18195564516129001</v>
      </c>
      <c r="S567" s="14">
        <v>38</v>
      </c>
      <c r="T567" s="12">
        <v>0.66578909173357104</v>
      </c>
      <c r="U567" s="14">
        <v>734</v>
      </c>
      <c r="V567" s="14">
        <v>4</v>
      </c>
      <c r="W567" s="12">
        <v>5.7999999999999996E-3</v>
      </c>
      <c r="X567" s="12">
        <v>0.67158909173357095</v>
      </c>
      <c r="Y567" s="14">
        <v>734</v>
      </c>
      <c r="Z567" s="14">
        <v>37</v>
      </c>
      <c r="AA567" s="12" t="s">
        <v>2369</v>
      </c>
    </row>
    <row r="568" spans="1:27" ht="14.25" x14ac:dyDescent="0.45">
      <c r="A568" s="12" t="s">
        <v>496</v>
      </c>
      <c r="B568" s="12" t="s">
        <v>1971</v>
      </c>
      <c r="C568" s="12" t="s">
        <v>1972</v>
      </c>
      <c r="D568" s="12" t="s">
        <v>1974</v>
      </c>
      <c r="E568" s="20">
        <v>30190</v>
      </c>
      <c r="F568" s="20">
        <v>43770</v>
      </c>
      <c r="G568" s="12">
        <v>12.63</v>
      </c>
      <c r="H568" s="12">
        <v>26.366666666666699</v>
      </c>
      <c r="I568" s="13">
        <v>0.479013906447535</v>
      </c>
      <c r="J568" s="12" t="s">
        <v>496</v>
      </c>
      <c r="K568" s="14">
        <v>1069</v>
      </c>
      <c r="L568" s="14">
        <v>355</v>
      </c>
      <c r="M568" s="14">
        <v>797</v>
      </c>
      <c r="N568" s="12">
        <v>12.63</v>
      </c>
      <c r="O568" s="12" t="s">
        <v>496</v>
      </c>
      <c r="P568" s="12">
        <v>2.03170619887556E-3</v>
      </c>
      <c r="Q568" s="12">
        <v>2.1812028603968099E-3</v>
      </c>
      <c r="R568" s="12">
        <v>0.39868951612903197</v>
      </c>
      <c r="S568" s="14">
        <v>40</v>
      </c>
      <c r="T568" s="12">
        <v>0.212514161232634</v>
      </c>
      <c r="U568" s="14">
        <v>1022</v>
      </c>
      <c r="V568" s="14">
        <v>12</v>
      </c>
      <c r="W568" s="12">
        <v>6.6E-3</v>
      </c>
      <c r="X568" s="12">
        <v>0.219114161232634</v>
      </c>
      <c r="Y568" s="14">
        <v>1021</v>
      </c>
      <c r="Z568" s="14">
        <v>39</v>
      </c>
      <c r="AA568" s="12" t="s">
        <v>2369</v>
      </c>
    </row>
    <row r="569" spans="1:27" ht="14.25" x14ac:dyDescent="0.45">
      <c r="A569" s="12" t="s">
        <v>500</v>
      </c>
      <c r="B569" s="12" t="s">
        <v>1971</v>
      </c>
      <c r="C569" s="12" t="s">
        <v>1972</v>
      </c>
      <c r="D569" s="12" t="s">
        <v>1978</v>
      </c>
      <c r="E569" s="20">
        <v>31692</v>
      </c>
      <c r="F569" s="20">
        <v>43963</v>
      </c>
      <c r="G569" s="12">
        <v>1357.32</v>
      </c>
      <c r="H569" s="12">
        <v>19.933333333333302</v>
      </c>
      <c r="I569" s="13">
        <v>68.092976588628801</v>
      </c>
      <c r="J569" s="12" t="s">
        <v>500</v>
      </c>
      <c r="K569" s="14">
        <v>35</v>
      </c>
      <c r="L569" s="14">
        <v>448</v>
      </c>
      <c r="M569" s="14">
        <v>35</v>
      </c>
      <c r="N569" s="12">
        <v>1357.32</v>
      </c>
      <c r="O569" s="12" t="s">
        <v>500</v>
      </c>
      <c r="P569" s="12">
        <v>0.21834326665540599</v>
      </c>
      <c r="Q569" s="12">
        <v>0.31006322219231303</v>
      </c>
      <c r="R569" s="12">
        <v>0.30141129032258102</v>
      </c>
      <c r="S569" s="14">
        <v>36</v>
      </c>
      <c r="T569" s="12">
        <v>27.566823886597302</v>
      </c>
      <c r="U569" s="14">
        <v>33</v>
      </c>
      <c r="V569" s="14">
        <v>56</v>
      </c>
      <c r="W569" s="12">
        <v>8.8999999999999999E-3</v>
      </c>
      <c r="X569" s="12">
        <v>27.575723886597299</v>
      </c>
      <c r="Y569" s="14">
        <v>33</v>
      </c>
      <c r="Z569" s="14">
        <v>35</v>
      </c>
      <c r="AA569" s="12" t="s">
        <v>2369</v>
      </c>
    </row>
    <row r="570" spans="1:27" ht="14.25" x14ac:dyDescent="0.45">
      <c r="A570" s="12" t="s">
        <v>505</v>
      </c>
      <c r="B570" s="12" t="s">
        <v>1971</v>
      </c>
      <c r="C570" s="12" t="s">
        <v>1972</v>
      </c>
      <c r="D570" s="12" t="s">
        <v>1975</v>
      </c>
      <c r="E570" s="20">
        <v>31248</v>
      </c>
      <c r="F570" s="20">
        <v>44062</v>
      </c>
      <c r="G570" s="12">
        <v>34.14</v>
      </c>
      <c r="H570" s="12">
        <v>16.633333333333301</v>
      </c>
      <c r="I570" s="13">
        <v>2.0525050100200399</v>
      </c>
      <c r="J570" s="12" t="s">
        <v>505</v>
      </c>
      <c r="K570" s="14">
        <v>649</v>
      </c>
      <c r="L570" s="14">
        <v>463</v>
      </c>
      <c r="M570" s="14">
        <v>548</v>
      </c>
      <c r="N570" s="12">
        <v>34.14</v>
      </c>
      <c r="O570" s="12" t="s">
        <v>505</v>
      </c>
      <c r="P570" s="12">
        <v>5.4918804140626897E-3</v>
      </c>
      <c r="Q570" s="12">
        <v>9.3461374264399103E-3</v>
      </c>
      <c r="R570" s="12">
        <v>0.25151209677419401</v>
      </c>
      <c r="S570" s="14">
        <v>37</v>
      </c>
      <c r="T570" s="12">
        <v>0.79007910467984499</v>
      </c>
      <c r="U570" s="14">
        <v>678</v>
      </c>
      <c r="V570" s="14">
        <v>5</v>
      </c>
      <c r="W570" s="12">
        <v>5.8999999999999999E-3</v>
      </c>
      <c r="X570" s="12">
        <v>0.79597910467984501</v>
      </c>
      <c r="Y570" s="14">
        <v>678</v>
      </c>
      <c r="Z570" s="14">
        <v>36</v>
      </c>
      <c r="AA570" s="12" t="s">
        <v>2369</v>
      </c>
    </row>
    <row r="571" spans="1:27" ht="14.25" x14ac:dyDescent="0.45">
      <c r="A571" s="12" t="s">
        <v>518</v>
      </c>
      <c r="B571" s="12" t="s">
        <v>1971</v>
      </c>
      <c r="C571" s="12" t="s">
        <v>1972</v>
      </c>
      <c r="D571" s="12" t="s">
        <v>2003</v>
      </c>
      <c r="E571" s="20">
        <v>30547</v>
      </c>
      <c r="F571" s="20">
        <v>43060</v>
      </c>
      <c r="G571" s="12">
        <v>968.57</v>
      </c>
      <c r="H571" s="12">
        <v>50.033333333333303</v>
      </c>
      <c r="I571" s="13">
        <v>19.358494337108599</v>
      </c>
      <c r="J571" s="12" t="s">
        <v>518</v>
      </c>
      <c r="K571" s="14">
        <v>140</v>
      </c>
      <c r="L571" s="14">
        <v>62</v>
      </c>
      <c r="M571" s="14">
        <v>53</v>
      </c>
      <c r="N571" s="12">
        <v>968.57</v>
      </c>
      <c r="O571" s="12" t="s">
        <v>518</v>
      </c>
      <c r="P571" s="12">
        <v>0.15580757506293799</v>
      </c>
      <c r="Q571" s="12">
        <v>8.8149430846850493E-2</v>
      </c>
      <c r="R571" s="12">
        <v>0.75655241935483897</v>
      </c>
      <c r="S571" s="14">
        <v>39</v>
      </c>
      <c r="T571" s="12">
        <v>11.3521234927883</v>
      </c>
      <c r="U571" s="14">
        <v>94</v>
      </c>
      <c r="V571" s="14">
        <v>33</v>
      </c>
      <c r="W571" s="12">
        <v>7.9000000000000008E-3</v>
      </c>
      <c r="X571" s="12">
        <v>11.360023492788301</v>
      </c>
      <c r="Y571" s="14">
        <v>94</v>
      </c>
      <c r="Z571" s="14">
        <v>38</v>
      </c>
      <c r="AA571" s="12" t="s">
        <v>2369</v>
      </c>
    </row>
    <row r="572" spans="1:27" ht="14.25" x14ac:dyDescent="0.45">
      <c r="A572" s="12" t="s">
        <v>519</v>
      </c>
      <c r="B572" s="12" t="s">
        <v>1971</v>
      </c>
      <c r="C572" s="12" t="s">
        <v>1972</v>
      </c>
      <c r="D572" s="12" t="s">
        <v>1975</v>
      </c>
      <c r="E572" s="20">
        <v>29290</v>
      </c>
      <c r="F572" s="20">
        <v>44124</v>
      </c>
      <c r="G572" s="12">
        <v>543.89</v>
      </c>
      <c r="H572" s="12">
        <v>14.5666666666667</v>
      </c>
      <c r="I572" s="13">
        <v>37.337986270022903</v>
      </c>
      <c r="J572" s="12" t="s">
        <v>519</v>
      </c>
      <c r="K572" s="14">
        <v>65</v>
      </c>
      <c r="L572" s="14">
        <v>557</v>
      </c>
      <c r="M572" s="14">
        <v>136</v>
      </c>
      <c r="N572" s="12">
        <v>543.89</v>
      </c>
      <c r="O572" s="12" t="s">
        <v>519</v>
      </c>
      <c r="P572" s="12">
        <v>8.7492057363929607E-2</v>
      </c>
      <c r="Q572" s="12">
        <v>0.17001953671370201</v>
      </c>
      <c r="R572" s="12">
        <v>0.22026209677419401</v>
      </c>
      <c r="S572" s="14">
        <v>42</v>
      </c>
      <c r="T572" s="12">
        <v>13.907173195753799</v>
      </c>
      <c r="U572" s="14">
        <v>75</v>
      </c>
      <c r="V572" s="14">
        <v>28</v>
      </c>
      <c r="W572" s="12">
        <v>7.6E-3</v>
      </c>
      <c r="X572" s="12">
        <v>13.914773195753799</v>
      </c>
      <c r="Y572" s="14">
        <v>75</v>
      </c>
      <c r="Z572" s="14">
        <v>42</v>
      </c>
      <c r="AA572" s="12" t="s">
        <v>2369</v>
      </c>
    </row>
    <row r="573" spans="1:27" ht="14.25" x14ac:dyDescent="0.45">
      <c r="A573" s="12" t="s">
        <v>553</v>
      </c>
      <c r="B573" s="12" t="s">
        <v>1971</v>
      </c>
      <c r="C573" s="12" t="s">
        <v>1972</v>
      </c>
      <c r="D573" s="12" t="s">
        <v>2020</v>
      </c>
      <c r="E573" s="20">
        <v>31168</v>
      </c>
      <c r="F573" s="20">
        <v>42943</v>
      </c>
      <c r="G573" s="12">
        <v>61.03</v>
      </c>
      <c r="H573" s="12">
        <v>53.933333333333302</v>
      </c>
      <c r="I573" s="13">
        <v>1.13158220024722</v>
      </c>
      <c r="J573" s="12" t="s">
        <v>553</v>
      </c>
      <c r="K573" s="14">
        <v>785</v>
      </c>
      <c r="L573" s="14">
        <v>44</v>
      </c>
      <c r="M573" s="14">
        <v>450</v>
      </c>
      <c r="N573" s="12">
        <v>61.03</v>
      </c>
      <c r="O573" s="12" t="s">
        <v>553</v>
      </c>
      <c r="P573" s="12">
        <v>9.8175003418349699E-3</v>
      </c>
      <c r="Q573" s="12">
        <v>5.1526903472554697E-3</v>
      </c>
      <c r="R573" s="12">
        <v>0.81552419354838701</v>
      </c>
      <c r="S573" s="14">
        <v>37</v>
      </c>
      <c r="T573" s="12">
        <v>0.69019940952227798</v>
      </c>
      <c r="U573" s="14">
        <v>719</v>
      </c>
      <c r="V573" s="14">
        <v>9</v>
      </c>
      <c r="W573" s="12">
        <v>6.3E-3</v>
      </c>
      <c r="X573" s="12">
        <v>0.69649940952227796</v>
      </c>
      <c r="Y573" s="14">
        <v>718</v>
      </c>
      <c r="Z573" s="14">
        <v>37</v>
      </c>
      <c r="AA573" s="12" t="s">
        <v>2369</v>
      </c>
    </row>
    <row r="574" spans="1:27" ht="14.25" x14ac:dyDescent="0.45">
      <c r="A574" s="12" t="s">
        <v>555</v>
      </c>
      <c r="B574" s="12" t="s">
        <v>1971</v>
      </c>
      <c r="C574" s="12" t="s">
        <v>1972</v>
      </c>
      <c r="D574" s="12" t="s">
        <v>1978</v>
      </c>
      <c r="E574" s="20">
        <v>29519</v>
      </c>
      <c r="F574" s="20">
        <v>43767</v>
      </c>
      <c r="G574" s="12">
        <v>534.82000000000005</v>
      </c>
      <c r="H574" s="12">
        <v>26.466666666666701</v>
      </c>
      <c r="I574" s="13">
        <v>20.207304785894198</v>
      </c>
      <c r="J574" s="12" t="s">
        <v>555</v>
      </c>
      <c r="K574" s="14">
        <v>133</v>
      </c>
      <c r="L574" s="14">
        <v>347</v>
      </c>
      <c r="M574" s="14">
        <v>140</v>
      </c>
      <c r="N574" s="12">
        <v>534.82000000000005</v>
      </c>
      <c r="O574" s="12" t="s">
        <v>555</v>
      </c>
      <c r="P574" s="12">
        <v>8.60330252797014E-2</v>
      </c>
      <c r="Q574" s="12">
        <v>9.2014512327587603E-2</v>
      </c>
      <c r="R574" s="12">
        <v>0.40020161290322598</v>
      </c>
      <c r="S574" s="14">
        <v>42</v>
      </c>
      <c r="T574" s="12">
        <v>8.9771454684630303</v>
      </c>
      <c r="U574" s="14">
        <v>117</v>
      </c>
      <c r="V574" s="14">
        <v>10</v>
      </c>
      <c r="W574" s="12">
        <v>6.4000000000000003E-3</v>
      </c>
      <c r="X574" s="12">
        <v>8.9835454684630296</v>
      </c>
      <c r="Y574" s="14">
        <v>117</v>
      </c>
      <c r="Z574" s="14">
        <v>41</v>
      </c>
      <c r="AA574" s="12" t="s">
        <v>2369</v>
      </c>
    </row>
    <row r="575" spans="1:27" ht="14.25" x14ac:dyDescent="0.45">
      <c r="A575" s="12" t="s">
        <v>562</v>
      </c>
      <c r="B575" s="12" t="s">
        <v>1971</v>
      </c>
      <c r="C575" s="12" t="s">
        <v>1972</v>
      </c>
      <c r="D575" s="12" t="s">
        <v>1974</v>
      </c>
      <c r="E575" s="20">
        <v>30416</v>
      </c>
      <c r="F575" s="20">
        <v>44116</v>
      </c>
      <c r="G575" s="12">
        <v>13.37</v>
      </c>
      <c r="H575" s="12">
        <v>14.8333333333333</v>
      </c>
      <c r="I575" s="13">
        <v>0.90134831460674203</v>
      </c>
      <c r="J575" s="12" t="s">
        <v>562</v>
      </c>
      <c r="K575" s="14">
        <v>854</v>
      </c>
      <c r="L575" s="14">
        <v>534</v>
      </c>
      <c r="M575" s="14">
        <v>785</v>
      </c>
      <c r="N575" s="12">
        <v>13.37</v>
      </c>
      <c r="O575" s="12" t="s">
        <v>562</v>
      </c>
      <c r="P575" s="12">
        <v>2.1507452002348599E-3</v>
      </c>
      <c r="Q575" s="12">
        <v>4.1043140826839504E-3</v>
      </c>
      <c r="R575" s="12">
        <v>0.22429435483870999</v>
      </c>
      <c r="S575" s="14">
        <v>39</v>
      </c>
      <c r="T575" s="12">
        <v>0.33717257517655402</v>
      </c>
      <c r="U575" s="14">
        <v>885</v>
      </c>
      <c r="V575" s="14">
        <v>3</v>
      </c>
      <c r="W575" s="12">
        <v>5.7000000000000002E-3</v>
      </c>
      <c r="X575" s="12">
        <v>0.34287257517655401</v>
      </c>
      <c r="Y575" s="14">
        <v>885</v>
      </c>
      <c r="Z575" s="14">
        <v>39</v>
      </c>
      <c r="AA575" s="12" t="s">
        <v>2369</v>
      </c>
    </row>
    <row r="576" spans="1:27" ht="14.25" x14ac:dyDescent="0.45">
      <c r="A576" s="12" t="s">
        <v>566</v>
      </c>
      <c r="B576" s="12" t="s">
        <v>1971</v>
      </c>
      <c r="C576" s="12" t="s">
        <v>1972</v>
      </c>
      <c r="D576" s="12" t="s">
        <v>2072</v>
      </c>
      <c r="E576" s="20">
        <v>30670</v>
      </c>
      <c r="F576" s="20">
        <v>43326</v>
      </c>
      <c r="G576" s="12">
        <v>602.64</v>
      </c>
      <c r="H576" s="12">
        <v>41.1666666666667</v>
      </c>
      <c r="I576" s="13">
        <v>14.639028340081</v>
      </c>
      <c r="J576" s="12" t="s">
        <v>566</v>
      </c>
      <c r="K576" s="14">
        <v>194</v>
      </c>
      <c r="L576" s="14">
        <v>156</v>
      </c>
      <c r="M576" s="14">
        <v>116</v>
      </c>
      <c r="N576" s="12">
        <v>602.64</v>
      </c>
      <c r="O576" s="12" t="s">
        <v>566</v>
      </c>
      <c r="P576" s="12">
        <v>9.6942788890765602E-2</v>
      </c>
      <c r="Q576" s="12">
        <v>6.6659213979024301E-2</v>
      </c>
      <c r="R576" s="12">
        <v>0.62247983870967705</v>
      </c>
      <c r="S576" s="14">
        <v>39</v>
      </c>
      <c r="T576" s="12">
        <v>7.8015554570927304</v>
      </c>
      <c r="U576" s="14">
        <v>162</v>
      </c>
      <c r="V576" s="14">
        <v>8</v>
      </c>
      <c r="W576" s="12">
        <v>6.1999999999999998E-3</v>
      </c>
      <c r="X576" s="12">
        <v>7.8077554570927301</v>
      </c>
      <c r="Y576" s="14">
        <v>162</v>
      </c>
      <c r="Z576" s="14">
        <v>38</v>
      </c>
      <c r="AA576" s="12" t="s">
        <v>2369</v>
      </c>
    </row>
    <row r="577" spans="1:27" ht="14.25" x14ac:dyDescent="0.45">
      <c r="A577" s="12" t="s">
        <v>567</v>
      </c>
      <c r="B577" s="12" t="s">
        <v>1971</v>
      </c>
      <c r="C577" s="12" t="s">
        <v>1972</v>
      </c>
      <c r="D577" s="12" t="s">
        <v>1990</v>
      </c>
      <c r="E577" s="20">
        <v>29033</v>
      </c>
      <c r="F577" s="20">
        <v>43313</v>
      </c>
      <c r="G577" s="12">
        <v>690.93</v>
      </c>
      <c r="H577" s="12">
        <v>41.6</v>
      </c>
      <c r="I577" s="13">
        <v>16.608894230769199</v>
      </c>
      <c r="J577" s="12" t="s">
        <v>567</v>
      </c>
      <c r="K577" s="14">
        <v>164</v>
      </c>
      <c r="L577" s="14">
        <v>137</v>
      </c>
      <c r="M577" s="14">
        <v>92</v>
      </c>
      <c r="N577" s="12">
        <v>690.93</v>
      </c>
      <c r="O577" s="12" t="s">
        <v>567</v>
      </c>
      <c r="P577" s="12">
        <v>0.111145428661052</v>
      </c>
      <c r="Q577" s="12">
        <v>7.5629051926386595E-2</v>
      </c>
      <c r="R577" s="12">
        <v>0.62903225806451601</v>
      </c>
      <c r="S577" s="14">
        <v>43</v>
      </c>
      <c r="T577" s="12">
        <v>8.8947693201886295</v>
      </c>
      <c r="U577" s="14">
        <v>119</v>
      </c>
      <c r="V577" s="14">
        <v>7</v>
      </c>
      <c r="W577" s="12">
        <v>6.1000000000000004E-3</v>
      </c>
      <c r="X577" s="12">
        <v>8.9008693201886295</v>
      </c>
      <c r="Y577" s="14">
        <v>119</v>
      </c>
      <c r="Z577" s="14">
        <v>43</v>
      </c>
      <c r="AA577" s="12" t="s">
        <v>2369</v>
      </c>
    </row>
    <row r="578" spans="1:27" ht="14.25" x14ac:dyDescent="0.45">
      <c r="A578" s="12" t="s">
        <v>572</v>
      </c>
      <c r="B578" s="12" t="s">
        <v>1971</v>
      </c>
      <c r="C578" s="12" t="s">
        <v>1972</v>
      </c>
      <c r="D578" s="12" t="s">
        <v>1975</v>
      </c>
      <c r="E578" s="20">
        <v>30941</v>
      </c>
      <c r="F578" s="20">
        <v>42787</v>
      </c>
      <c r="G578" s="12">
        <v>399.18</v>
      </c>
      <c r="H578" s="12">
        <v>59.133333333333297</v>
      </c>
      <c r="I578" s="13">
        <v>6.7505073280721497</v>
      </c>
      <c r="J578" s="12" t="s">
        <v>572</v>
      </c>
      <c r="K578" s="14">
        <v>389</v>
      </c>
      <c r="L578" s="14">
        <v>3</v>
      </c>
      <c r="M578" s="14">
        <v>182</v>
      </c>
      <c r="N578" s="12">
        <v>399.18</v>
      </c>
      <c r="O578" s="12" t="s">
        <v>572</v>
      </c>
      <c r="P578" s="12">
        <v>6.4213498057572996E-2</v>
      </c>
      <c r="Q578" s="12">
        <v>3.0738618847871199E-2</v>
      </c>
      <c r="R578" s="12">
        <v>0.89415322580645196</v>
      </c>
      <c r="S578" s="14">
        <v>38</v>
      </c>
      <c r="T578" s="12">
        <v>4.3291698551509397</v>
      </c>
      <c r="U578" s="14">
        <v>289</v>
      </c>
      <c r="V578" s="14">
        <v>12</v>
      </c>
      <c r="W578" s="12">
        <v>6.6E-3</v>
      </c>
      <c r="X578" s="12">
        <v>4.3357698551509403</v>
      </c>
      <c r="Y578" s="14">
        <v>289</v>
      </c>
      <c r="Z578" s="14">
        <v>37</v>
      </c>
      <c r="AA578" s="12" t="s">
        <v>2369</v>
      </c>
    </row>
    <row r="579" spans="1:27" ht="14.25" x14ac:dyDescent="0.45">
      <c r="A579" s="12" t="s">
        <v>582</v>
      </c>
      <c r="B579" s="12" t="s">
        <v>1971</v>
      </c>
      <c r="C579" s="12" t="s">
        <v>1972</v>
      </c>
      <c r="D579" s="12" t="s">
        <v>1990</v>
      </c>
      <c r="E579" s="20">
        <v>29769</v>
      </c>
      <c r="F579" s="20">
        <v>43255</v>
      </c>
      <c r="G579" s="12">
        <v>127.52</v>
      </c>
      <c r="H579" s="12">
        <v>43.533333333333303</v>
      </c>
      <c r="I579" s="13">
        <v>2.9292496171516098</v>
      </c>
      <c r="J579" s="12" t="s">
        <v>582</v>
      </c>
      <c r="K579" s="14">
        <v>561</v>
      </c>
      <c r="L579" s="14">
        <v>100</v>
      </c>
      <c r="M579" s="14">
        <v>344</v>
      </c>
      <c r="N579" s="12">
        <v>127.52</v>
      </c>
      <c r="O579" s="12" t="s">
        <v>582</v>
      </c>
      <c r="P579" s="12">
        <v>2.0513315477483099E-2</v>
      </c>
      <c r="Q579" s="12">
        <v>1.3338417857493101E-2</v>
      </c>
      <c r="R579" s="12">
        <v>0.65826612903225801</v>
      </c>
      <c r="S579" s="14">
        <v>41</v>
      </c>
      <c r="T579" s="12">
        <v>1.60290044649894</v>
      </c>
      <c r="U579" s="14">
        <v>477</v>
      </c>
      <c r="V579" s="14">
        <v>4</v>
      </c>
      <c r="W579" s="12">
        <v>5.7999999999999996E-3</v>
      </c>
      <c r="X579" s="12">
        <v>1.6087004464989401</v>
      </c>
      <c r="Y579" s="14">
        <v>477</v>
      </c>
      <c r="Z579" s="14">
        <v>41</v>
      </c>
      <c r="AA579" s="12" t="s">
        <v>2369</v>
      </c>
    </row>
    <row r="580" spans="1:27" ht="14.25" x14ac:dyDescent="0.45">
      <c r="A580" s="12" t="s">
        <v>593</v>
      </c>
      <c r="B580" s="12" t="s">
        <v>1971</v>
      </c>
      <c r="C580" s="12" t="s">
        <v>1972</v>
      </c>
      <c r="D580" s="12" t="s">
        <v>1974</v>
      </c>
      <c r="E580" s="20">
        <v>31222</v>
      </c>
      <c r="F580" s="20">
        <v>43713</v>
      </c>
      <c r="G580" s="12">
        <v>249.88</v>
      </c>
      <c r="H580" s="12">
        <v>28.266666666666701</v>
      </c>
      <c r="I580" s="13">
        <v>8.8400943396226399</v>
      </c>
      <c r="J580" s="12" t="s">
        <v>593</v>
      </c>
      <c r="K580" s="14">
        <v>327</v>
      </c>
      <c r="L580" s="14">
        <v>279</v>
      </c>
      <c r="M580" s="14">
        <v>256</v>
      </c>
      <c r="N580" s="12">
        <v>249.88</v>
      </c>
      <c r="O580" s="12" t="s">
        <v>593</v>
      </c>
      <c r="P580" s="12">
        <v>4.0196575215758201E-2</v>
      </c>
      <c r="Q580" s="12">
        <v>4.0253610177546001E-2</v>
      </c>
      <c r="R580" s="12">
        <v>0.42741935483871002</v>
      </c>
      <c r="S580" s="14">
        <v>37</v>
      </c>
      <c r="T580" s="12">
        <v>4.02322220668756</v>
      </c>
      <c r="U580" s="14">
        <v>307</v>
      </c>
      <c r="V580" s="14">
        <v>6</v>
      </c>
      <c r="W580" s="12">
        <v>6.0000000000000001E-3</v>
      </c>
      <c r="X580" s="12">
        <v>4.0292222066875603</v>
      </c>
      <c r="Y580" s="14">
        <v>307</v>
      </c>
      <c r="Z580" s="14">
        <v>37</v>
      </c>
      <c r="AA580" s="12" t="s">
        <v>2369</v>
      </c>
    </row>
    <row r="581" spans="1:27" ht="14.25" x14ac:dyDescent="0.45">
      <c r="A581" s="12" t="s">
        <v>598</v>
      </c>
      <c r="B581" s="12" t="s">
        <v>1971</v>
      </c>
      <c r="C581" s="12" t="s">
        <v>1972</v>
      </c>
      <c r="D581" s="12" t="s">
        <v>1975</v>
      </c>
      <c r="E581" s="20">
        <v>31299</v>
      </c>
      <c r="F581" s="20">
        <v>44111</v>
      </c>
      <c r="G581" s="12">
        <v>339.98</v>
      </c>
      <c r="H581" s="12">
        <v>15</v>
      </c>
      <c r="I581" s="13">
        <v>22.665333333333301</v>
      </c>
      <c r="J581" s="12" t="s">
        <v>598</v>
      </c>
      <c r="K581" s="14">
        <v>120</v>
      </c>
      <c r="L581" s="14">
        <v>522</v>
      </c>
      <c r="M581" s="14">
        <v>201</v>
      </c>
      <c r="N581" s="12">
        <v>339.98</v>
      </c>
      <c r="O581" s="12" t="s">
        <v>598</v>
      </c>
      <c r="P581" s="12">
        <v>5.4690377948829298E-2</v>
      </c>
      <c r="Q581" s="12">
        <v>0.103207212218856</v>
      </c>
      <c r="R581" s="12">
        <v>0.226814516129032</v>
      </c>
      <c r="S581" s="14">
        <v>37</v>
      </c>
      <c r="T581" s="12">
        <v>8.5013399367595799</v>
      </c>
      <c r="U581" s="14">
        <v>133</v>
      </c>
      <c r="V581" s="14">
        <v>7</v>
      </c>
      <c r="W581" s="12">
        <v>6.1000000000000004E-3</v>
      </c>
      <c r="X581" s="12">
        <v>8.5074399367595799</v>
      </c>
      <c r="Y581" s="14">
        <v>133</v>
      </c>
      <c r="Z581" s="14">
        <v>36</v>
      </c>
      <c r="AA581" s="12" t="s">
        <v>2369</v>
      </c>
    </row>
    <row r="582" spans="1:27" ht="14.25" x14ac:dyDescent="0.45">
      <c r="A582" s="12" t="s">
        <v>608</v>
      </c>
      <c r="B582" s="12" t="s">
        <v>1971</v>
      </c>
      <c r="C582" s="12" t="s">
        <v>1972</v>
      </c>
      <c r="D582" s="12" t="s">
        <v>2072</v>
      </c>
      <c r="E582" s="20">
        <v>30671</v>
      </c>
      <c r="F582" s="20">
        <v>43661</v>
      </c>
      <c r="G582" s="12">
        <v>40.6</v>
      </c>
      <c r="H582" s="12">
        <v>30</v>
      </c>
      <c r="I582" s="13">
        <v>1.3533333333333299</v>
      </c>
      <c r="J582" s="12" t="s">
        <v>608</v>
      </c>
      <c r="K582" s="14">
        <v>746</v>
      </c>
      <c r="L582" s="14">
        <v>258</v>
      </c>
      <c r="M582" s="14">
        <v>517</v>
      </c>
      <c r="N582" s="12">
        <v>40.6</v>
      </c>
      <c r="O582" s="12" t="s">
        <v>608</v>
      </c>
      <c r="P582" s="12">
        <v>6.5310587232262803E-3</v>
      </c>
      <c r="Q582" s="12">
        <v>6.1624401671944501E-3</v>
      </c>
      <c r="R582" s="12">
        <v>0.453629032258064</v>
      </c>
      <c r="S582" s="14">
        <v>39</v>
      </c>
      <c r="T582" s="12">
        <v>0.63006721257063902</v>
      </c>
      <c r="U582" s="14">
        <v>739</v>
      </c>
      <c r="V582" s="14">
        <v>3</v>
      </c>
      <c r="W582" s="12">
        <v>5.7000000000000002E-3</v>
      </c>
      <c r="X582" s="12">
        <v>0.63576721257063895</v>
      </c>
      <c r="Y582" s="14">
        <v>739</v>
      </c>
      <c r="Z582" s="14">
        <v>38</v>
      </c>
      <c r="AA582" s="12" t="s">
        <v>2369</v>
      </c>
    </row>
    <row r="583" spans="1:27" ht="14.25" x14ac:dyDescent="0.45">
      <c r="A583" s="12" t="s">
        <v>610</v>
      </c>
      <c r="B583" s="12" t="s">
        <v>1971</v>
      </c>
      <c r="C583" s="12" t="s">
        <v>1972</v>
      </c>
      <c r="D583" s="12" t="s">
        <v>1990</v>
      </c>
      <c r="E583" s="20">
        <v>28533</v>
      </c>
      <c r="F583" s="20">
        <v>43285</v>
      </c>
      <c r="G583" s="12">
        <v>427.92</v>
      </c>
      <c r="H583" s="12">
        <v>42.533333333333303</v>
      </c>
      <c r="I583" s="13">
        <v>10.060815047021901</v>
      </c>
      <c r="J583" s="12" t="s">
        <v>610</v>
      </c>
      <c r="K583" s="14">
        <v>292</v>
      </c>
      <c r="L583" s="14">
        <v>115</v>
      </c>
      <c r="M583" s="14">
        <v>172</v>
      </c>
      <c r="N583" s="12">
        <v>427.92</v>
      </c>
      <c r="O583" s="12" t="s">
        <v>610</v>
      </c>
      <c r="P583" s="12">
        <v>6.8836715488743594E-2</v>
      </c>
      <c r="Q583" s="12">
        <v>4.5812195143213601E-2</v>
      </c>
      <c r="R583" s="12">
        <v>0.64314516129032295</v>
      </c>
      <c r="S583" s="14">
        <v>44</v>
      </c>
      <c r="T583" s="12">
        <v>5.4446390272787299</v>
      </c>
      <c r="U583" s="14">
        <v>244</v>
      </c>
      <c r="V583" s="14">
        <v>5</v>
      </c>
      <c r="W583" s="12">
        <v>5.8999999999999999E-3</v>
      </c>
      <c r="X583" s="12">
        <v>5.4505390272787304</v>
      </c>
      <c r="Y583" s="14">
        <v>244</v>
      </c>
      <c r="Z583" s="14">
        <v>44</v>
      </c>
      <c r="AA583" s="12" t="s">
        <v>2369</v>
      </c>
    </row>
    <row r="584" spans="1:27" ht="14.25" x14ac:dyDescent="0.45">
      <c r="A584" s="12" t="s">
        <v>612</v>
      </c>
      <c r="B584" s="12" t="s">
        <v>1971</v>
      </c>
      <c r="C584" s="12" t="s">
        <v>1972</v>
      </c>
      <c r="D584" s="12" t="s">
        <v>1990</v>
      </c>
      <c r="E584" s="20">
        <v>31772</v>
      </c>
      <c r="F584" s="20">
        <v>42817</v>
      </c>
      <c r="G584" s="12">
        <v>463.05</v>
      </c>
      <c r="H584" s="12">
        <v>58.133333333333297</v>
      </c>
      <c r="I584" s="13">
        <v>7.9653096330275197</v>
      </c>
      <c r="J584" s="12" t="s">
        <v>612</v>
      </c>
      <c r="K584" s="14">
        <v>353</v>
      </c>
      <c r="L584" s="14">
        <v>9</v>
      </c>
      <c r="M584" s="14">
        <v>155</v>
      </c>
      <c r="N584" s="12">
        <v>463.05</v>
      </c>
      <c r="O584" s="12" t="s">
        <v>612</v>
      </c>
      <c r="P584" s="12">
        <v>7.4487850783003101E-2</v>
      </c>
      <c r="Q584" s="12">
        <v>3.62702542069284E-2</v>
      </c>
      <c r="R584" s="12">
        <v>0.87903225806451601</v>
      </c>
      <c r="S584" s="14">
        <v>36</v>
      </c>
      <c r="T584" s="12">
        <v>5.0601852922956398</v>
      </c>
      <c r="U584" s="14">
        <v>257</v>
      </c>
      <c r="V584" s="14">
        <v>15</v>
      </c>
      <c r="W584" s="12">
        <v>6.7999999999999996E-3</v>
      </c>
      <c r="X584" s="12">
        <v>5.06698529229564</v>
      </c>
      <c r="Y584" s="14">
        <v>257</v>
      </c>
      <c r="Z584" s="14">
        <v>35</v>
      </c>
      <c r="AA584" s="12" t="s">
        <v>2369</v>
      </c>
    </row>
    <row r="585" spans="1:27" ht="14.25" x14ac:dyDescent="0.45">
      <c r="A585" s="12" t="s">
        <v>618</v>
      </c>
      <c r="B585" s="12" t="s">
        <v>1971</v>
      </c>
      <c r="C585" s="12" t="s">
        <v>1972</v>
      </c>
      <c r="D585" s="12" t="s">
        <v>2072</v>
      </c>
      <c r="E585" s="20">
        <v>30126</v>
      </c>
      <c r="F585" s="20">
        <v>44188</v>
      </c>
      <c r="G585" s="12">
        <v>1.17</v>
      </c>
      <c r="H585" s="12">
        <v>12.4333333333333</v>
      </c>
      <c r="I585" s="13">
        <v>9.4101876675603199E-2</v>
      </c>
      <c r="J585" s="12" t="s">
        <v>618</v>
      </c>
      <c r="K585" s="14">
        <v>1512</v>
      </c>
      <c r="L585" s="14">
        <v>737</v>
      </c>
      <c r="M585" s="14">
        <v>1524</v>
      </c>
      <c r="N585" s="12">
        <v>1.17</v>
      </c>
      <c r="O585" s="12" t="s">
        <v>618</v>
      </c>
      <c r="P585" s="12">
        <v>1.8821031295996899E-4</v>
      </c>
      <c r="Q585" s="12">
        <v>4.2849545662619398E-4</v>
      </c>
      <c r="R585" s="12">
        <v>0.188004032258065</v>
      </c>
      <c r="S585" s="14">
        <v>40</v>
      </c>
      <c r="T585" s="12">
        <v>3.3838852775136E-2</v>
      </c>
      <c r="U585" s="14">
        <v>1596</v>
      </c>
      <c r="V585" s="14">
        <v>1</v>
      </c>
      <c r="W585" s="12">
        <v>5.4999999999999997E-3</v>
      </c>
      <c r="X585" s="12">
        <v>3.9338852775135998E-2</v>
      </c>
      <c r="Y585" s="14">
        <v>1596</v>
      </c>
      <c r="Z585" s="14">
        <v>40</v>
      </c>
      <c r="AA585" s="12" t="s">
        <v>2369</v>
      </c>
    </row>
    <row r="586" spans="1:27" ht="14.25" x14ac:dyDescent="0.45">
      <c r="A586" s="12" t="s">
        <v>627</v>
      </c>
      <c r="B586" s="12" t="s">
        <v>1971</v>
      </c>
      <c r="C586" s="12" t="s">
        <v>1972</v>
      </c>
      <c r="D586" s="12" t="s">
        <v>1978</v>
      </c>
      <c r="E586" s="20">
        <v>28798</v>
      </c>
      <c r="F586" s="20">
        <v>42850</v>
      </c>
      <c r="G586" s="12">
        <v>284.52</v>
      </c>
      <c r="H586" s="12">
        <v>57.033333333333303</v>
      </c>
      <c r="I586" s="13">
        <v>4.9886616014026899</v>
      </c>
      <c r="J586" s="12" t="s">
        <v>627</v>
      </c>
      <c r="K586" s="14">
        <v>446</v>
      </c>
      <c r="L586" s="14">
        <v>24</v>
      </c>
      <c r="M586" s="14">
        <v>234</v>
      </c>
      <c r="N586" s="12">
        <v>284.52</v>
      </c>
      <c r="O586" s="12" t="s">
        <v>627</v>
      </c>
      <c r="P586" s="12">
        <v>4.5768887387496099E-2</v>
      </c>
      <c r="Q586" s="12">
        <v>2.27160063790822E-2</v>
      </c>
      <c r="R586" s="12">
        <v>0.86239919354838701</v>
      </c>
      <c r="S586" s="14">
        <v>44</v>
      </c>
      <c r="T586" s="12">
        <v>3.1360836757237398</v>
      </c>
      <c r="U586" s="14">
        <v>365</v>
      </c>
      <c r="V586" s="14">
        <v>10</v>
      </c>
      <c r="W586" s="12">
        <v>6.4000000000000003E-3</v>
      </c>
      <c r="X586" s="12">
        <v>3.14248367572374</v>
      </c>
      <c r="Y586" s="14">
        <v>365</v>
      </c>
      <c r="Z586" s="14">
        <v>43</v>
      </c>
      <c r="AA586" s="12" t="s">
        <v>2369</v>
      </c>
    </row>
    <row r="587" spans="1:27" ht="14.25" x14ac:dyDescent="0.45">
      <c r="A587" s="12" t="s">
        <v>656</v>
      </c>
      <c r="B587" s="12" t="s">
        <v>1971</v>
      </c>
      <c r="C587" s="12" t="s">
        <v>1972</v>
      </c>
      <c r="D587" s="12" t="s">
        <v>1974</v>
      </c>
      <c r="E587" s="20">
        <v>30236</v>
      </c>
      <c r="F587" s="20">
        <v>44207</v>
      </c>
      <c r="G587" s="12">
        <v>163.97</v>
      </c>
      <c r="H587" s="12">
        <v>11.8</v>
      </c>
      <c r="I587" s="13">
        <v>13.8957627118644</v>
      </c>
      <c r="J587" s="12" t="s">
        <v>656</v>
      </c>
      <c r="K587" s="14">
        <v>207</v>
      </c>
      <c r="L587" s="14">
        <v>798</v>
      </c>
      <c r="M587" s="14">
        <v>311</v>
      </c>
      <c r="N587" s="12">
        <v>163.97</v>
      </c>
      <c r="O587" s="12" t="s">
        <v>656</v>
      </c>
      <c r="P587" s="12">
        <v>2.6376790612005201E-2</v>
      </c>
      <c r="Q587" s="12">
        <v>6.3274733711376499E-2</v>
      </c>
      <c r="R587" s="12">
        <v>0.178427419354839</v>
      </c>
      <c r="S587" s="14">
        <v>40</v>
      </c>
      <c r="T587" s="12">
        <v>4.9438005049112297</v>
      </c>
      <c r="U587" s="14">
        <v>263</v>
      </c>
      <c r="V587" s="14">
        <v>10</v>
      </c>
      <c r="W587" s="12">
        <v>6.4000000000000003E-3</v>
      </c>
      <c r="X587" s="12">
        <v>4.9502005049112299</v>
      </c>
      <c r="Y587" s="14">
        <v>263</v>
      </c>
      <c r="Z587" s="14">
        <v>39</v>
      </c>
      <c r="AA587" s="12" t="s">
        <v>2369</v>
      </c>
    </row>
    <row r="588" spans="1:27" ht="14.25" x14ac:dyDescent="0.45">
      <c r="A588" s="12" t="s">
        <v>657</v>
      </c>
      <c r="B588" s="12" t="s">
        <v>1971</v>
      </c>
      <c r="C588" s="12" t="s">
        <v>1972</v>
      </c>
      <c r="D588" s="12" t="s">
        <v>1993</v>
      </c>
      <c r="E588" s="20">
        <v>31644</v>
      </c>
      <c r="F588" s="20">
        <v>44132</v>
      </c>
      <c r="G588" s="12">
        <v>70.16</v>
      </c>
      <c r="H588" s="12">
        <v>14.3</v>
      </c>
      <c r="I588" s="13">
        <v>4.9062937062937104</v>
      </c>
      <c r="J588" s="12" t="s">
        <v>657</v>
      </c>
      <c r="K588" s="14">
        <v>449</v>
      </c>
      <c r="L588" s="14">
        <v>588</v>
      </c>
      <c r="M588" s="14">
        <v>426</v>
      </c>
      <c r="N588" s="12">
        <v>70.16</v>
      </c>
      <c r="O588" s="12" t="s">
        <v>657</v>
      </c>
      <c r="P588" s="12">
        <v>1.12861842369841E-2</v>
      </c>
      <c r="Q588" s="12">
        <v>2.2340941926884999E-2</v>
      </c>
      <c r="R588" s="12">
        <v>0.21622983870967699</v>
      </c>
      <c r="S588" s="14">
        <v>36</v>
      </c>
      <c r="T588" s="12">
        <v>1.81954077931722</v>
      </c>
      <c r="U588" s="14">
        <v>451</v>
      </c>
      <c r="V588" s="14">
        <v>3</v>
      </c>
      <c r="W588" s="12">
        <v>5.7000000000000002E-3</v>
      </c>
      <c r="X588" s="12">
        <v>1.8252407793172201</v>
      </c>
      <c r="Y588" s="14">
        <v>452</v>
      </c>
      <c r="Z588" s="14">
        <v>35</v>
      </c>
      <c r="AA588" s="12" t="s">
        <v>2369</v>
      </c>
    </row>
    <row r="589" spans="1:27" ht="14.25" x14ac:dyDescent="0.45">
      <c r="A589" s="12" t="s">
        <v>682</v>
      </c>
      <c r="B589" s="12" t="s">
        <v>1971</v>
      </c>
      <c r="C589" s="12" t="s">
        <v>1972</v>
      </c>
      <c r="D589" s="12" t="s">
        <v>1975</v>
      </c>
      <c r="E589" s="20">
        <v>29310</v>
      </c>
      <c r="F589" s="20">
        <v>43714</v>
      </c>
      <c r="G589" s="12">
        <v>886.56</v>
      </c>
      <c r="H589" s="12">
        <v>28.233333333333299</v>
      </c>
      <c r="I589" s="13">
        <v>31.4011806375443</v>
      </c>
      <c r="J589" s="12" t="s">
        <v>682</v>
      </c>
      <c r="K589" s="14">
        <v>75</v>
      </c>
      <c r="L589" s="14">
        <v>280</v>
      </c>
      <c r="M589" s="14">
        <v>61</v>
      </c>
      <c r="N589" s="12">
        <v>886.56</v>
      </c>
      <c r="O589" s="12" t="s">
        <v>682</v>
      </c>
      <c r="P589" s="12">
        <v>0.14261515816905099</v>
      </c>
      <c r="Q589" s="12">
        <v>0.14298613068334801</v>
      </c>
      <c r="R589" s="12">
        <v>0.42691532258064502</v>
      </c>
      <c r="S589" s="14">
        <v>42</v>
      </c>
      <c r="T589" s="12">
        <v>14.284701599048701</v>
      </c>
      <c r="U589" s="14">
        <v>71</v>
      </c>
      <c r="V589" s="14">
        <v>72</v>
      </c>
      <c r="W589" s="12">
        <v>9.4000000000000004E-3</v>
      </c>
      <c r="X589" s="12">
        <v>14.2941015990487</v>
      </c>
      <c r="Y589" s="14">
        <v>71</v>
      </c>
      <c r="Z589" s="14">
        <v>42</v>
      </c>
      <c r="AA589" s="12" t="s">
        <v>2369</v>
      </c>
    </row>
    <row r="590" spans="1:27" ht="14.25" x14ac:dyDescent="0.45">
      <c r="A590" s="12" t="s">
        <v>723</v>
      </c>
      <c r="B590" s="12" t="s">
        <v>1971</v>
      </c>
      <c r="C590" s="12" t="s">
        <v>1972</v>
      </c>
      <c r="D590" s="12" t="s">
        <v>1975</v>
      </c>
      <c r="E590" s="20">
        <v>31409</v>
      </c>
      <c r="F590" s="20">
        <v>44061</v>
      </c>
      <c r="G590" s="12">
        <v>42.06</v>
      </c>
      <c r="H590" s="12">
        <v>16.6666666666667</v>
      </c>
      <c r="I590" s="13">
        <v>2.5236000000000001</v>
      </c>
      <c r="J590" s="12" t="s">
        <v>723</v>
      </c>
      <c r="K590" s="14">
        <v>590</v>
      </c>
      <c r="L590" s="14">
        <v>461</v>
      </c>
      <c r="M590" s="14">
        <v>508</v>
      </c>
      <c r="N590" s="12">
        <v>42.06</v>
      </c>
      <c r="O590" s="12" t="s">
        <v>723</v>
      </c>
      <c r="P590" s="12">
        <v>6.7659194556378604E-3</v>
      </c>
      <c r="Q590" s="12">
        <v>1.1491281285171399E-2</v>
      </c>
      <c r="R590" s="12">
        <v>0.25201612903225801</v>
      </c>
      <c r="S590" s="14">
        <v>37</v>
      </c>
      <c r="T590" s="12">
        <v>0.97192705990963102</v>
      </c>
      <c r="U590" s="14">
        <v>577</v>
      </c>
      <c r="V590" s="14">
        <v>6</v>
      </c>
      <c r="W590" s="12">
        <v>6.0000000000000001E-3</v>
      </c>
      <c r="X590" s="12">
        <v>0.97792705990963102</v>
      </c>
      <c r="Y590" s="14">
        <v>577</v>
      </c>
      <c r="Z590" s="14">
        <v>36</v>
      </c>
      <c r="AA590" s="12" t="s">
        <v>2369</v>
      </c>
    </row>
    <row r="591" spans="1:27" ht="14.25" x14ac:dyDescent="0.45">
      <c r="A591" s="12" t="s">
        <v>741</v>
      </c>
      <c r="B591" s="12" t="s">
        <v>1971</v>
      </c>
      <c r="C591" s="12" t="s">
        <v>1972</v>
      </c>
      <c r="D591" s="12" t="s">
        <v>1974</v>
      </c>
      <c r="E591" s="20">
        <v>29926</v>
      </c>
      <c r="F591" s="20">
        <v>44173</v>
      </c>
      <c r="G591" s="12">
        <v>5.25</v>
      </c>
      <c r="H591" s="12">
        <v>12.9333333333333</v>
      </c>
      <c r="I591" s="13">
        <v>0.405927835051546</v>
      </c>
      <c r="J591" s="12" t="s">
        <v>741</v>
      </c>
      <c r="K591" s="14">
        <v>1134</v>
      </c>
      <c r="L591" s="14">
        <v>680</v>
      </c>
      <c r="M591" s="14">
        <v>1019</v>
      </c>
      <c r="N591" s="12">
        <v>5.25</v>
      </c>
      <c r="O591" s="12" t="s">
        <v>741</v>
      </c>
      <c r="P591" s="12">
        <v>8.4453345558960495E-4</v>
      </c>
      <c r="Q591" s="12">
        <v>1.8484034451014301E-3</v>
      </c>
      <c r="R591" s="12">
        <v>0.195564516129032</v>
      </c>
      <c r="S591" s="14">
        <v>41</v>
      </c>
      <c r="T591" s="12">
        <v>0.147195219903449</v>
      </c>
      <c r="U591" s="14">
        <v>1166</v>
      </c>
      <c r="V591" s="14">
        <v>1</v>
      </c>
      <c r="W591" s="12">
        <v>5.4999999999999997E-3</v>
      </c>
      <c r="X591" s="12">
        <v>0.15269521990345</v>
      </c>
      <c r="Y591" s="14">
        <v>1166</v>
      </c>
      <c r="Z591" s="14">
        <v>40</v>
      </c>
      <c r="AA591" s="12" t="s">
        <v>2369</v>
      </c>
    </row>
    <row r="592" spans="1:27" ht="14.25" x14ac:dyDescent="0.45">
      <c r="A592" s="12" t="s">
        <v>759</v>
      </c>
      <c r="B592" s="12" t="s">
        <v>1971</v>
      </c>
      <c r="C592" s="12" t="s">
        <v>1972</v>
      </c>
      <c r="D592" s="12" t="s">
        <v>2020</v>
      </c>
      <c r="E592" s="20">
        <v>31566</v>
      </c>
      <c r="F592" s="20">
        <v>43152</v>
      </c>
      <c r="G592" s="12">
        <v>439.3</v>
      </c>
      <c r="H592" s="12">
        <v>46.966666666666697</v>
      </c>
      <c r="I592" s="13">
        <v>9.3534421575585505</v>
      </c>
      <c r="J592" s="12" t="s">
        <v>759</v>
      </c>
      <c r="K592" s="14">
        <v>312</v>
      </c>
      <c r="L592" s="14">
        <v>72</v>
      </c>
      <c r="M592" s="14">
        <v>164</v>
      </c>
      <c r="N592" s="12">
        <v>439.3</v>
      </c>
      <c r="O592" s="12" t="s">
        <v>759</v>
      </c>
      <c r="P592" s="12">
        <v>7.0667342293431107E-2</v>
      </c>
      <c r="Q592" s="12">
        <v>4.2591153438375898E-2</v>
      </c>
      <c r="R592" s="12">
        <v>0.71018145161290303</v>
      </c>
      <c r="S592" s="14">
        <v>36</v>
      </c>
      <c r="T592" s="12">
        <v>5.3119724259021597</v>
      </c>
      <c r="U592" s="14">
        <v>250</v>
      </c>
      <c r="V592" s="14">
        <v>6</v>
      </c>
      <c r="W592" s="12">
        <v>6.0000000000000001E-3</v>
      </c>
      <c r="X592" s="12">
        <v>5.3179724259021599</v>
      </c>
      <c r="Y592" s="14">
        <v>250</v>
      </c>
      <c r="Z592" s="14">
        <v>36</v>
      </c>
      <c r="AA592" s="12" t="s">
        <v>2369</v>
      </c>
    </row>
    <row r="593" spans="1:27" ht="14.25" x14ac:dyDescent="0.45">
      <c r="A593" s="12" t="s">
        <v>792</v>
      </c>
      <c r="B593" s="12" t="s">
        <v>1971</v>
      </c>
      <c r="C593" s="12" t="s">
        <v>1972</v>
      </c>
      <c r="D593" s="12" t="s">
        <v>1997</v>
      </c>
      <c r="E593" s="20">
        <v>29402</v>
      </c>
      <c r="F593" s="20">
        <v>44151</v>
      </c>
      <c r="G593" s="12">
        <v>0.72</v>
      </c>
      <c r="H593" s="12">
        <v>13.6666666666667</v>
      </c>
      <c r="I593" s="13">
        <v>5.2682926829268298E-2</v>
      </c>
      <c r="J593" s="12" t="s">
        <v>792</v>
      </c>
      <c r="K593" s="14">
        <v>1600</v>
      </c>
      <c r="L593" s="14">
        <v>625</v>
      </c>
      <c r="M593" s="14">
        <v>1618</v>
      </c>
      <c r="N593" s="12">
        <v>0.72</v>
      </c>
      <c r="O593" s="12" t="s">
        <v>792</v>
      </c>
      <c r="P593" s="12">
        <v>1.15821731052289E-4</v>
      </c>
      <c r="Q593" s="12">
        <v>2.3989314119560301E-4</v>
      </c>
      <c r="R593" s="12">
        <v>0.20665322580645201</v>
      </c>
      <c r="S593" s="14">
        <v>42</v>
      </c>
      <c r="T593" s="12">
        <v>1.9336636239186002E-2</v>
      </c>
      <c r="U593" s="14">
        <v>1688</v>
      </c>
      <c r="V593" s="14">
        <v>2</v>
      </c>
      <c r="W593" s="12">
        <v>5.5999999999999999E-3</v>
      </c>
      <c r="X593" s="12">
        <v>2.4936636239185999E-2</v>
      </c>
      <c r="Y593" s="14">
        <v>1688</v>
      </c>
      <c r="Z593" s="14">
        <v>42</v>
      </c>
      <c r="AA593" s="12" t="s">
        <v>2369</v>
      </c>
    </row>
    <row r="594" spans="1:27" ht="14.25" x14ac:dyDescent="0.45">
      <c r="A594" s="12" t="s">
        <v>801</v>
      </c>
      <c r="B594" s="12" t="s">
        <v>1971</v>
      </c>
      <c r="C594" s="12" t="s">
        <v>1972</v>
      </c>
      <c r="D594" s="12" t="s">
        <v>1978</v>
      </c>
      <c r="E594" s="20">
        <v>31819</v>
      </c>
      <c r="F594" s="20">
        <v>44280</v>
      </c>
      <c r="G594" s="12">
        <v>28.67</v>
      </c>
      <c r="H594" s="12">
        <v>9.3666666666666707</v>
      </c>
      <c r="I594" s="13">
        <v>3.0608540925266898</v>
      </c>
      <c r="J594" s="12" t="s">
        <v>801</v>
      </c>
      <c r="K594" s="14">
        <v>554</v>
      </c>
      <c r="L594" s="14">
        <v>1063</v>
      </c>
      <c r="M594" s="14">
        <v>582</v>
      </c>
      <c r="N594" s="12">
        <v>28.67</v>
      </c>
      <c r="O594" s="12" t="s">
        <v>801</v>
      </c>
      <c r="P594" s="12">
        <v>4.6119569850959904E-3</v>
      </c>
      <c r="Q594" s="12">
        <v>1.3937682418010799E-2</v>
      </c>
      <c r="R594" s="12">
        <v>0.141633064516129</v>
      </c>
      <c r="S594" s="14">
        <v>35</v>
      </c>
      <c r="T594" s="12">
        <v>1.0440535380667799</v>
      </c>
      <c r="U594" s="14">
        <v>567</v>
      </c>
      <c r="V594" s="14">
        <v>6</v>
      </c>
      <c r="W594" s="12">
        <v>6.0000000000000001E-3</v>
      </c>
      <c r="X594" s="12">
        <v>1.0500535380667799</v>
      </c>
      <c r="Y594" s="14">
        <v>567</v>
      </c>
      <c r="Z594" s="14">
        <v>35</v>
      </c>
      <c r="AA594" s="12" t="s">
        <v>2369</v>
      </c>
    </row>
    <row r="595" spans="1:27" ht="14.25" x14ac:dyDescent="0.45">
      <c r="A595" s="12" t="s">
        <v>804</v>
      </c>
      <c r="B595" s="12" t="s">
        <v>1971</v>
      </c>
      <c r="C595" s="12" t="s">
        <v>1972</v>
      </c>
      <c r="D595" s="12" t="s">
        <v>1990</v>
      </c>
      <c r="E595" s="20">
        <v>31899</v>
      </c>
      <c r="F595" s="20">
        <v>44307</v>
      </c>
      <c r="G595" s="12">
        <v>2.89</v>
      </c>
      <c r="H595" s="12">
        <v>8.4666666666666703</v>
      </c>
      <c r="I595" s="13">
        <v>0.34133858267716499</v>
      </c>
      <c r="J595" s="12" t="s">
        <v>804</v>
      </c>
      <c r="K595" s="14">
        <v>1195</v>
      </c>
      <c r="L595" s="14">
        <v>1215</v>
      </c>
      <c r="M595" s="14">
        <v>1240</v>
      </c>
      <c r="N595" s="12">
        <v>2.89</v>
      </c>
      <c r="O595" s="12" t="s">
        <v>804</v>
      </c>
      <c r="P595" s="12">
        <v>4.64895559362659E-4</v>
      </c>
      <c r="Q595" s="12">
        <v>1.55429452648004E-3</v>
      </c>
      <c r="R595" s="12">
        <v>0.12802419354838701</v>
      </c>
      <c r="S595" s="14">
        <v>35</v>
      </c>
      <c r="T595" s="12">
        <v>0.114576991381102</v>
      </c>
      <c r="U595" s="14">
        <v>1247</v>
      </c>
      <c r="V595" s="14">
        <v>2</v>
      </c>
      <c r="W595" s="12">
        <v>5.5999999999999999E-3</v>
      </c>
      <c r="X595" s="12">
        <v>0.12017699138110199</v>
      </c>
      <c r="Y595" s="14">
        <v>1247</v>
      </c>
      <c r="Z595" s="14">
        <v>35</v>
      </c>
      <c r="AA595" s="12" t="s">
        <v>2369</v>
      </c>
    </row>
    <row r="596" spans="1:27" ht="14.25" x14ac:dyDescent="0.45">
      <c r="A596" s="12" t="s">
        <v>827</v>
      </c>
      <c r="B596" s="12" t="s">
        <v>1971</v>
      </c>
      <c r="C596" s="12" t="s">
        <v>1972</v>
      </c>
      <c r="D596" s="12" t="s">
        <v>1993</v>
      </c>
      <c r="E596" s="20">
        <v>30671</v>
      </c>
      <c r="F596" s="20">
        <v>44280</v>
      </c>
      <c r="G596" s="12">
        <v>2</v>
      </c>
      <c r="H596" s="12">
        <v>9.3666666666666707</v>
      </c>
      <c r="I596" s="13">
        <v>0.21352313167259801</v>
      </c>
      <c r="J596" s="12" t="s">
        <v>827</v>
      </c>
      <c r="K596" s="14">
        <v>1330</v>
      </c>
      <c r="L596" s="14">
        <v>1063</v>
      </c>
      <c r="M596" s="14">
        <v>1359</v>
      </c>
      <c r="N596" s="12">
        <v>2</v>
      </c>
      <c r="O596" s="12" t="s">
        <v>827</v>
      </c>
      <c r="P596" s="12">
        <v>3.2172703070080199E-4</v>
      </c>
      <c r="Q596" s="12">
        <v>9.7228339155987697E-4</v>
      </c>
      <c r="R596" s="12">
        <v>0.141633064516129</v>
      </c>
      <c r="S596" s="14">
        <v>39</v>
      </c>
      <c r="T596" s="12">
        <v>7.2832475623772402E-2</v>
      </c>
      <c r="U596" s="14">
        <v>1424</v>
      </c>
      <c r="V596" s="14">
        <v>1</v>
      </c>
      <c r="W596" s="12">
        <v>5.4999999999999997E-3</v>
      </c>
      <c r="X596" s="12">
        <v>7.8332475623772393E-2</v>
      </c>
      <c r="Y596" s="14">
        <v>1424</v>
      </c>
      <c r="Z596" s="14">
        <v>38</v>
      </c>
      <c r="AA596" s="12" t="s">
        <v>2369</v>
      </c>
    </row>
    <row r="597" spans="1:27" ht="14.25" x14ac:dyDescent="0.45">
      <c r="A597" s="12" t="s">
        <v>831</v>
      </c>
      <c r="B597" s="12" t="s">
        <v>1971</v>
      </c>
      <c r="C597" s="12" t="s">
        <v>1972</v>
      </c>
      <c r="D597" s="12" t="s">
        <v>1974</v>
      </c>
      <c r="E597" s="20">
        <v>29401</v>
      </c>
      <c r="F597" s="20">
        <v>44280</v>
      </c>
      <c r="G597" s="12">
        <v>5.94</v>
      </c>
      <c r="H597" s="12">
        <v>9.3666666666666707</v>
      </c>
      <c r="I597" s="13">
        <v>0.63416370106761599</v>
      </c>
      <c r="J597" s="12" t="s">
        <v>831</v>
      </c>
      <c r="K597" s="14">
        <v>973</v>
      </c>
      <c r="L597" s="14">
        <v>1063</v>
      </c>
      <c r="M597" s="14">
        <v>967</v>
      </c>
      <c r="N597" s="12">
        <v>5.94</v>
      </c>
      <c r="O597" s="12" t="s">
        <v>831</v>
      </c>
      <c r="P597" s="12">
        <v>9.5552928118138101E-4</v>
      </c>
      <c r="Q597" s="12">
        <v>2.8876816729328301E-3</v>
      </c>
      <c r="R597" s="12">
        <v>0.141633064516129</v>
      </c>
      <c r="S597" s="14">
        <v>42</v>
      </c>
      <c r="T597" s="12">
        <v>0.21631245260260401</v>
      </c>
      <c r="U597" s="14">
        <v>1016</v>
      </c>
      <c r="V597" s="14">
        <v>3</v>
      </c>
      <c r="W597" s="12">
        <v>5.7000000000000002E-3</v>
      </c>
      <c r="X597" s="12">
        <v>0.22201245260260399</v>
      </c>
      <c r="Y597" s="14">
        <v>1016</v>
      </c>
      <c r="Z597" s="14">
        <v>42</v>
      </c>
      <c r="AA597" s="12" t="s">
        <v>2369</v>
      </c>
    </row>
    <row r="598" spans="1:27" ht="14.25" x14ac:dyDescent="0.45">
      <c r="A598" s="12" t="s">
        <v>841</v>
      </c>
      <c r="B598" s="12" t="s">
        <v>1971</v>
      </c>
      <c r="C598" s="12" t="s">
        <v>1972</v>
      </c>
      <c r="D598" s="12" t="s">
        <v>1990</v>
      </c>
      <c r="E598" s="20">
        <v>31904</v>
      </c>
      <c r="F598" s="20">
        <v>44271</v>
      </c>
      <c r="G598" s="12">
        <v>588.33000000000004</v>
      </c>
      <c r="H598" s="12">
        <v>9.6666666666666696</v>
      </c>
      <c r="I598" s="13">
        <v>60.861724137930999</v>
      </c>
      <c r="J598" s="12" t="s">
        <v>841</v>
      </c>
      <c r="K598" s="14">
        <v>39</v>
      </c>
      <c r="L598" s="14">
        <v>1004</v>
      </c>
      <c r="M598" s="14">
        <v>123</v>
      </c>
      <c r="N598" s="12">
        <v>588.33000000000004</v>
      </c>
      <c r="O598" s="12" t="s">
        <v>841</v>
      </c>
      <c r="P598" s="12">
        <v>9.4640831986101404E-2</v>
      </c>
      <c r="Q598" s="12">
        <v>0.27713551734406</v>
      </c>
      <c r="R598" s="12">
        <v>0.14616935483870999</v>
      </c>
      <c r="S598" s="14">
        <v>35</v>
      </c>
      <c r="T598" s="12">
        <v>20.870001033482499</v>
      </c>
      <c r="U598" s="14">
        <v>50</v>
      </c>
      <c r="V598" s="14">
        <v>5</v>
      </c>
      <c r="W598" s="12">
        <v>5.8999999999999999E-3</v>
      </c>
      <c r="X598" s="12">
        <v>20.875901033482499</v>
      </c>
      <c r="Y598" s="14">
        <v>50</v>
      </c>
      <c r="Z598" s="14">
        <v>35</v>
      </c>
      <c r="AA598" s="12" t="s">
        <v>2369</v>
      </c>
    </row>
    <row r="599" spans="1:27" ht="14.25" x14ac:dyDescent="0.45">
      <c r="A599" s="12" t="s">
        <v>883</v>
      </c>
      <c r="B599" s="12" t="s">
        <v>1971</v>
      </c>
      <c r="C599" s="12" t="s">
        <v>1972</v>
      </c>
      <c r="D599" s="12" t="s">
        <v>2007</v>
      </c>
      <c r="E599" s="20">
        <v>31565</v>
      </c>
      <c r="F599" s="20">
        <v>44291</v>
      </c>
      <c r="G599" s="12">
        <v>5.21</v>
      </c>
      <c r="H599" s="12">
        <v>9</v>
      </c>
      <c r="I599" s="13">
        <v>0.57888888888888901</v>
      </c>
      <c r="J599" s="12" t="s">
        <v>883</v>
      </c>
      <c r="K599" s="14">
        <v>1006</v>
      </c>
      <c r="L599" s="14">
        <v>1137</v>
      </c>
      <c r="M599" s="14">
        <v>1022</v>
      </c>
      <c r="N599" s="12">
        <v>5.21</v>
      </c>
      <c r="O599" s="12" t="s">
        <v>883</v>
      </c>
      <c r="P599" s="12">
        <v>8.3809891497558901E-4</v>
      </c>
      <c r="Q599" s="12">
        <v>2.6359863112547701E-3</v>
      </c>
      <c r="R599" s="12">
        <v>0.13608870967741901</v>
      </c>
      <c r="S599" s="14">
        <v>36</v>
      </c>
      <c r="T599" s="12">
        <v>0.19617785376500799</v>
      </c>
      <c r="U599" s="14">
        <v>1059</v>
      </c>
      <c r="V599" s="14">
        <v>4</v>
      </c>
      <c r="W599" s="12">
        <v>5.7999999999999996E-3</v>
      </c>
      <c r="X599" s="12">
        <v>0.20197785376500799</v>
      </c>
      <c r="Y599" s="14">
        <v>1058</v>
      </c>
      <c r="Z599" s="14">
        <v>36</v>
      </c>
      <c r="AA599" s="12" t="s">
        <v>2369</v>
      </c>
    </row>
    <row r="600" spans="1:27" ht="14.25" x14ac:dyDescent="0.45">
      <c r="A600" s="12" t="s">
        <v>903</v>
      </c>
      <c r="B600" s="12" t="s">
        <v>1971</v>
      </c>
      <c r="C600" s="12" t="s">
        <v>1972</v>
      </c>
      <c r="D600" s="12" t="s">
        <v>2007</v>
      </c>
      <c r="E600" s="20">
        <v>30605</v>
      </c>
      <c r="F600" s="20">
        <v>43770</v>
      </c>
      <c r="G600" s="12">
        <v>104.61</v>
      </c>
      <c r="H600" s="12">
        <v>26.366666666666699</v>
      </c>
      <c r="I600" s="13">
        <v>3.9675094816687699</v>
      </c>
      <c r="J600" s="12" t="s">
        <v>903</v>
      </c>
      <c r="K600" s="14">
        <v>499</v>
      </c>
      <c r="L600" s="14">
        <v>355</v>
      </c>
      <c r="M600" s="14">
        <v>378</v>
      </c>
      <c r="N600" s="12">
        <v>104.61</v>
      </c>
      <c r="O600" s="12" t="s">
        <v>903</v>
      </c>
      <c r="P600" s="12">
        <v>1.6827932340805402E-2</v>
      </c>
      <c r="Q600" s="12">
        <v>1.8066162409034799E-2</v>
      </c>
      <c r="R600" s="12">
        <v>0.39868951612903197</v>
      </c>
      <c r="S600" s="14">
        <v>39</v>
      </c>
      <c r="T600" s="12">
        <v>1.7601826133448799</v>
      </c>
      <c r="U600" s="14">
        <v>458</v>
      </c>
      <c r="V600" s="14">
        <v>4</v>
      </c>
      <c r="W600" s="12">
        <v>5.7999999999999996E-3</v>
      </c>
      <c r="X600" s="12">
        <v>1.7659826133448799</v>
      </c>
      <c r="Y600" s="14">
        <v>458</v>
      </c>
      <c r="Z600" s="14">
        <v>38</v>
      </c>
      <c r="AA600" s="12" t="s">
        <v>2369</v>
      </c>
    </row>
    <row r="601" spans="1:27" ht="14.25" x14ac:dyDescent="0.45">
      <c r="A601" s="12" t="s">
        <v>918</v>
      </c>
      <c r="B601" s="12" t="s">
        <v>1971</v>
      </c>
      <c r="C601" s="12" t="s">
        <v>1972</v>
      </c>
      <c r="D601" s="12" t="s">
        <v>1975</v>
      </c>
      <c r="E601" s="20">
        <v>30952</v>
      </c>
      <c r="F601" s="20">
        <v>44301</v>
      </c>
      <c r="G601" s="12">
        <v>2</v>
      </c>
      <c r="H601" s="12">
        <v>8.6666666666666696</v>
      </c>
      <c r="I601" s="13">
        <v>0.230769230769231</v>
      </c>
      <c r="J601" s="12" t="s">
        <v>918</v>
      </c>
      <c r="K601" s="14">
        <v>1304</v>
      </c>
      <c r="L601" s="14">
        <v>1179</v>
      </c>
      <c r="M601" s="14">
        <v>1359</v>
      </c>
      <c r="N601" s="12">
        <v>2</v>
      </c>
      <c r="O601" s="12" t="s">
        <v>918</v>
      </c>
      <c r="P601" s="12">
        <v>3.2172703070080199E-4</v>
      </c>
      <c r="Q601" s="12">
        <v>1.05081397318587E-3</v>
      </c>
      <c r="R601" s="12">
        <v>0.13104838709677399</v>
      </c>
      <c r="S601" s="14">
        <v>38</v>
      </c>
      <c r="T601" s="12">
        <v>7.7740636975396807E-2</v>
      </c>
      <c r="U601" s="14">
        <v>1377</v>
      </c>
      <c r="V601" s="14">
        <v>1</v>
      </c>
      <c r="W601" s="12">
        <v>5.4999999999999997E-3</v>
      </c>
      <c r="X601" s="12">
        <v>8.3240636975396798E-2</v>
      </c>
      <c r="Y601" s="14">
        <v>1377</v>
      </c>
      <c r="Z601" s="14">
        <v>37</v>
      </c>
      <c r="AA601" s="12" t="s">
        <v>2369</v>
      </c>
    </row>
    <row r="602" spans="1:27" ht="14.25" x14ac:dyDescent="0.45">
      <c r="A602" s="12" t="s">
        <v>933</v>
      </c>
      <c r="B602" s="12" t="s">
        <v>1971</v>
      </c>
      <c r="C602" s="12" t="s">
        <v>1972</v>
      </c>
      <c r="D602" s="12" t="s">
        <v>2072</v>
      </c>
      <c r="E602" s="20">
        <v>30648</v>
      </c>
      <c r="F602" s="20">
        <v>43328</v>
      </c>
      <c r="G602" s="12">
        <v>46.69</v>
      </c>
      <c r="H602" s="12">
        <v>41.1</v>
      </c>
      <c r="I602" s="13">
        <v>1.1360097323600999</v>
      </c>
      <c r="J602" s="12" t="s">
        <v>933</v>
      </c>
      <c r="K602" s="14">
        <v>783</v>
      </c>
      <c r="L602" s="14">
        <v>162</v>
      </c>
      <c r="M602" s="14">
        <v>495</v>
      </c>
      <c r="N602" s="12">
        <v>46.69</v>
      </c>
      <c r="O602" s="12" t="s">
        <v>933</v>
      </c>
      <c r="P602" s="12">
        <v>7.5107175317102202E-3</v>
      </c>
      <c r="Q602" s="12">
        <v>5.1728512352362203E-3</v>
      </c>
      <c r="R602" s="12">
        <v>0.62147177419354804</v>
      </c>
      <c r="S602" s="14">
        <v>39</v>
      </c>
      <c r="T602" s="12">
        <v>0.60495510964139698</v>
      </c>
      <c r="U602" s="14">
        <v>751</v>
      </c>
      <c r="V602" s="14">
        <v>3</v>
      </c>
      <c r="W602" s="12">
        <v>5.7000000000000002E-3</v>
      </c>
      <c r="X602" s="12">
        <v>0.61065510964139702</v>
      </c>
      <c r="Y602" s="14">
        <v>751</v>
      </c>
      <c r="Z602" s="14">
        <v>38</v>
      </c>
      <c r="AA602" s="12" t="s">
        <v>2369</v>
      </c>
    </row>
    <row r="603" spans="1:27" ht="14.25" x14ac:dyDescent="0.45">
      <c r="A603" s="12" t="s">
        <v>950</v>
      </c>
      <c r="B603" s="12" t="s">
        <v>1971</v>
      </c>
      <c r="C603" s="12" t="s">
        <v>1972</v>
      </c>
      <c r="D603" s="12" t="s">
        <v>2020</v>
      </c>
      <c r="E603" s="20">
        <v>31542</v>
      </c>
      <c r="F603" s="20">
        <v>44271</v>
      </c>
      <c r="G603" s="12">
        <v>8.5299999999999994</v>
      </c>
      <c r="H603" s="12">
        <v>9.6666666666666696</v>
      </c>
      <c r="I603" s="13">
        <v>0.88241379310344803</v>
      </c>
      <c r="J603" s="12" t="s">
        <v>950</v>
      </c>
      <c r="K603" s="14">
        <v>862</v>
      </c>
      <c r="L603" s="14">
        <v>1004</v>
      </c>
      <c r="M603" s="14">
        <v>875</v>
      </c>
      <c r="N603" s="12">
        <v>8.5299999999999994</v>
      </c>
      <c r="O603" s="12" t="s">
        <v>950</v>
      </c>
      <c r="P603" s="12">
        <v>1.3721657859389199E-3</v>
      </c>
      <c r="Q603" s="12">
        <v>4.0180952236752001E-3</v>
      </c>
      <c r="R603" s="12">
        <v>0.14616935483870999</v>
      </c>
      <c r="S603" s="14">
        <v>36</v>
      </c>
      <c r="T603" s="12">
        <v>0.30258716845241002</v>
      </c>
      <c r="U603" s="14">
        <v>915</v>
      </c>
      <c r="V603" s="14">
        <v>3</v>
      </c>
      <c r="W603" s="12">
        <v>5.7000000000000002E-3</v>
      </c>
      <c r="X603" s="12">
        <v>0.30828716845241</v>
      </c>
      <c r="Y603" s="14">
        <v>915</v>
      </c>
      <c r="Z603" s="14">
        <v>36</v>
      </c>
      <c r="AA603" s="12" t="s">
        <v>2369</v>
      </c>
    </row>
    <row r="604" spans="1:27" ht="14.25" x14ac:dyDescent="0.45">
      <c r="A604" s="12" t="s">
        <v>955</v>
      </c>
      <c r="B604" s="12" t="s">
        <v>1971</v>
      </c>
      <c r="C604" s="12" t="s">
        <v>1972</v>
      </c>
      <c r="D604" s="12" t="s">
        <v>2020</v>
      </c>
      <c r="E604" s="20">
        <v>29950</v>
      </c>
      <c r="F604" s="20">
        <v>42817</v>
      </c>
      <c r="G604" s="12">
        <v>558.58000000000004</v>
      </c>
      <c r="H604" s="12">
        <v>58.133333333333297</v>
      </c>
      <c r="I604" s="13">
        <v>9.6086009174311897</v>
      </c>
      <c r="J604" s="12" t="s">
        <v>955</v>
      </c>
      <c r="K604" s="14">
        <v>305</v>
      </c>
      <c r="L604" s="14">
        <v>9</v>
      </c>
      <c r="M604" s="14">
        <v>131</v>
      </c>
      <c r="N604" s="12">
        <v>558.58000000000004</v>
      </c>
      <c r="O604" s="12" t="s">
        <v>955</v>
      </c>
      <c r="P604" s="12">
        <v>8.9855142404426894E-2</v>
      </c>
      <c r="Q604" s="12">
        <v>4.3753025796147399E-2</v>
      </c>
      <c r="R604" s="12">
        <v>0.87903225806451601</v>
      </c>
      <c r="S604" s="14">
        <v>41</v>
      </c>
      <c r="T604" s="12">
        <v>6.1041319524252202</v>
      </c>
      <c r="U604" s="14">
        <v>217</v>
      </c>
      <c r="V604" s="14">
        <v>7</v>
      </c>
      <c r="W604" s="12">
        <v>6.1000000000000004E-3</v>
      </c>
      <c r="X604" s="12">
        <v>6.1102319524252202</v>
      </c>
      <c r="Y604" s="14">
        <v>217</v>
      </c>
      <c r="Z604" s="14">
        <v>40</v>
      </c>
      <c r="AA604" s="12" t="s">
        <v>2369</v>
      </c>
    </row>
    <row r="605" spans="1:27" ht="14.25" x14ac:dyDescent="0.45">
      <c r="A605" s="12" t="s">
        <v>956</v>
      </c>
      <c r="B605" s="12" t="s">
        <v>1971</v>
      </c>
      <c r="C605" s="12" t="s">
        <v>1972</v>
      </c>
      <c r="D605" s="12" t="s">
        <v>1978</v>
      </c>
      <c r="E605" s="20">
        <v>28826</v>
      </c>
      <c r="F605" s="20">
        <v>44287</v>
      </c>
      <c r="G605" s="12">
        <v>5.55</v>
      </c>
      <c r="H605" s="12">
        <v>9.1333333333333293</v>
      </c>
      <c r="I605" s="13">
        <v>0.60766423357664201</v>
      </c>
      <c r="J605" s="12" t="s">
        <v>956</v>
      </c>
      <c r="K605" s="14">
        <v>990</v>
      </c>
      <c r="L605" s="14">
        <v>1119</v>
      </c>
      <c r="M605" s="14">
        <v>997</v>
      </c>
      <c r="N605" s="12">
        <v>5.55</v>
      </c>
      <c r="O605" s="12" t="s">
        <v>956</v>
      </c>
      <c r="P605" s="12">
        <v>8.9279251019472501E-4</v>
      </c>
      <c r="Q605" s="12">
        <v>2.7670156264730001E-3</v>
      </c>
      <c r="R605" s="12">
        <v>0.13810483870967699</v>
      </c>
      <c r="S605" s="14">
        <v>44</v>
      </c>
      <c r="T605" s="12">
        <v>0.20641819578686499</v>
      </c>
      <c r="U605" s="14">
        <v>1036</v>
      </c>
      <c r="V605" s="14">
        <v>2</v>
      </c>
      <c r="W605" s="12">
        <v>5.5999999999999999E-3</v>
      </c>
      <c r="X605" s="12">
        <v>0.21201819578686501</v>
      </c>
      <c r="Y605" s="14">
        <v>1036</v>
      </c>
      <c r="Z605" s="14">
        <v>43</v>
      </c>
      <c r="AA605" s="12" t="s">
        <v>2369</v>
      </c>
    </row>
    <row r="606" spans="1:27" ht="14.25" x14ac:dyDescent="0.45">
      <c r="A606" s="12" t="s">
        <v>964</v>
      </c>
      <c r="B606" s="12" t="s">
        <v>1971</v>
      </c>
      <c r="C606" s="12" t="s">
        <v>1972</v>
      </c>
      <c r="D606" s="12" t="s">
        <v>1975</v>
      </c>
      <c r="E606" s="20">
        <v>31717</v>
      </c>
      <c r="F606" s="20">
        <v>44194</v>
      </c>
      <c r="G606" s="12">
        <v>27.37</v>
      </c>
      <c r="H606" s="12">
        <v>12.233333333333301</v>
      </c>
      <c r="I606" s="13">
        <v>2.2373297002724799</v>
      </c>
      <c r="J606" s="12" t="s">
        <v>964</v>
      </c>
      <c r="K606" s="14">
        <v>624</v>
      </c>
      <c r="L606" s="14">
        <v>745</v>
      </c>
      <c r="M606" s="14">
        <v>667</v>
      </c>
      <c r="N606" s="12">
        <v>27.37</v>
      </c>
      <c r="O606" s="12" t="s">
        <v>964</v>
      </c>
      <c r="P606" s="12">
        <v>4.4028344151404702E-3</v>
      </c>
      <c r="Q606" s="12">
        <v>1.0187741683903601E-2</v>
      </c>
      <c r="R606" s="12">
        <v>0.18497983870967699</v>
      </c>
      <c r="S606" s="14">
        <v>36</v>
      </c>
      <c r="T606" s="12">
        <v>0.80184014581174501</v>
      </c>
      <c r="U606" s="14">
        <v>669</v>
      </c>
      <c r="V606" s="14">
        <v>2</v>
      </c>
      <c r="W606" s="12">
        <v>5.5999999999999999E-3</v>
      </c>
      <c r="X606" s="12">
        <v>0.80744014581174495</v>
      </c>
      <c r="Y606" s="14">
        <v>669</v>
      </c>
      <c r="Z606" s="14">
        <v>35</v>
      </c>
      <c r="AA606" s="12" t="s">
        <v>2369</v>
      </c>
    </row>
    <row r="607" spans="1:27" ht="14.25" x14ac:dyDescent="0.45">
      <c r="A607" s="12" t="s">
        <v>966</v>
      </c>
      <c r="B607" s="12" t="s">
        <v>1971</v>
      </c>
      <c r="C607" s="12" t="s">
        <v>1972</v>
      </c>
      <c r="D607" s="12" t="s">
        <v>1990</v>
      </c>
      <c r="E607" s="20">
        <v>29425</v>
      </c>
      <c r="F607" s="20">
        <v>43304</v>
      </c>
      <c r="G607" s="12">
        <v>19.88</v>
      </c>
      <c r="H607" s="12">
        <v>41.9</v>
      </c>
      <c r="I607" s="13">
        <v>0.47446300715990503</v>
      </c>
      <c r="J607" s="12" t="s">
        <v>966</v>
      </c>
      <c r="K607" s="14">
        <v>1072</v>
      </c>
      <c r="L607" s="14">
        <v>129</v>
      </c>
      <c r="M607" s="14">
        <v>720</v>
      </c>
      <c r="N607" s="12">
        <v>19.88</v>
      </c>
      <c r="O607" s="12" t="s">
        <v>966</v>
      </c>
      <c r="P607" s="12">
        <v>3.19796668516597E-3</v>
      </c>
      <c r="Q607" s="12">
        <v>2.1604802166281301E-3</v>
      </c>
      <c r="R607" s="12">
        <v>0.63356854838709697</v>
      </c>
      <c r="S607" s="14">
        <v>42</v>
      </c>
      <c r="T607" s="12">
        <v>0.25495376423298199</v>
      </c>
      <c r="U607" s="14">
        <v>964</v>
      </c>
      <c r="V607" s="14">
        <v>4</v>
      </c>
      <c r="W607" s="12">
        <v>5.7999999999999996E-3</v>
      </c>
      <c r="X607" s="12">
        <v>0.26075376423298202</v>
      </c>
      <c r="Y607" s="14">
        <v>964</v>
      </c>
      <c r="Z607" s="14">
        <v>41</v>
      </c>
      <c r="AA607" s="12" t="s">
        <v>2369</v>
      </c>
    </row>
    <row r="608" spans="1:27" ht="14.25" x14ac:dyDescent="0.45">
      <c r="A608" s="12" t="s">
        <v>983</v>
      </c>
      <c r="B608" s="12" t="s">
        <v>1971</v>
      </c>
      <c r="C608" s="12" t="s">
        <v>1972</v>
      </c>
      <c r="D608" s="12" t="s">
        <v>2026</v>
      </c>
      <c r="E608" s="20">
        <v>29344</v>
      </c>
      <c r="F608" s="20">
        <v>44132</v>
      </c>
      <c r="G608" s="12">
        <v>16.34</v>
      </c>
      <c r="H608" s="12">
        <v>14.3</v>
      </c>
      <c r="I608" s="13">
        <v>1.1426573426573401</v>
      </c>
      <c r="J608" s="12" t="s">
        <v>983</v>
      </c>
      <c r="K608" s="14">
        <v>779</v>
      </c>
      <c r="L608" s="14">
        <v>588</v>
      </c>
      <c r="M608" s="14">
        <v>753</v>
      </c>
      <c r="N608" s="12">
        <v>16.34</v>
      </c>
      <c r="O608" s="12" t="s">
        <v>983</v>
      </c>
      <c r="P608" s="12">
        <v>2.62850984082555E-3</v>
      </c>
      <c r="Q608" s="12">
        <v>5.2031213096536601E-3</v>
      </c>
      <c r="R608" s="12">
        <v>0.21622983870967699</v>
      </c>
      <c r="S608" s="14">
        <v>42</v>
      </c>
      <c r="T608" s="12">
        <v>0.42376420088431199</v>
      </c>
      <c r="U608" s="14">
        <v>810</v>
      </c>
      <c r="V608" s="14">
        <v>1</v>
      </c>
      <c r="W608" s="12">
        <v>5.4999999999999997E-3</v>
      </c>
      <c r="X608" s="12">
        <v>0.429264200884312</v>
      </c>
      <c r="Y608" s="14">
        <v>810</v>
      </c>
      <c r="Z608" s="14">
        <v>42</v>
      </c>
      <c r="AA608" s="12" t="s">
        <v>2369</v>
      </c>
    </row>
    <row r="609" spans="1:27" ht="14.25" x14ac:dyDescent="0.45">
      <c r="A609" s="12" t="s">
        <v>988</v>
      </c>
      <c r="B609" s="12" t="s">
        <v>1971</v>
      </c>
      <c r="C609" s="12" t="s">
        <v>1972</v>
      </c>
      <c r="D609" s="12" t="s">
        <v>1974</v>
      </c>
      <c r="E609" s="20">
        <v>31409</v>
      </c>
      <c r="F609" s="20">
        <v>44306</v>
      </c>
      <c r="G609" s="12">
        <v>6.43</v>
      </c>
      <c r="H609" s="12">
        <v>8.5</v>
      </c>
      <c r="I609" s="13">
        <v>0.75647058823529401</v>
      </c>
      <c r="J609" s="12" t="s">
        <v>988</v>
      </c>
      <c r="K609" s="14">
        <v>905</v>
      </c>
      <c r="L609" s="14">
        <v>1204</v>
      </c>
      <c r="M609" s="14">
        <v>942</v>
      </c>
      <c r="N609" s="12">
        <v>6.43</v>
      </c>
      <c r="O609" s="12" t="s">
        <v>988</v>
      </c>
      <c r="P609" s="12">
        <v>1.03435240370308E-3</v>
      </c>
      <c r="Q609" s="12">
        <v>3.4446094124943802E-3</v>
      </c>
      <c r="R609" s="12">
        <v>0.12852822580645201</v>
      </c>
      <c r="S609" s="14">
        <v>37</v>
      </c>
      <c r="T609" s="12">
        <v>0.254076303419764</v>
      </c>
      <c r="U609" s="14">
        <v>965</v>
      </c>
      <c r="V609" s="14">
        <v>2</v>
      </c>
      <c r="W609" s="12">
        <v>5.5999999999999999E-3</v>
      </c>
      <c r="X609" s="12">
        <v>0.259676303419764</v>
      </c>
      <c r="Y609" s="14">
        <v>965</v>
      </c>
      <c r="Z609" s="14">
        <v>36</v>
      </c>
      <c r="AA609" s="12" t="s">
        <v>2369</v>
      </c>
    </row>
    <row r="610" spans="1:27" ht="14.25" x14ac:dyDescent="0.45">
      <c r="A610" s="12" t="s">
        <v>993</v>
      </c>
      <c r="B610" s="12" t="s">
        <v>1971</v>
      </c>
      <c r="C610" s="12" t="s">
        <v>1972</v>
      </c>
      <c r="D610" s="12" t="s">
        <v>2026</v>
      </c>
      <c r="E610" s="20">
        <v>29286</v>
      </c>
      <c r="F610" s="20">
        <v>43199</v>
      </c>
      <c r="G610" s="12">
        <v>278.08</v>
      </c>
      <c r="H610" s="12">
        <v>45.4</v>
      </c>
      <c r="I610" s="13">
        <v>6.1251101321585901</v>
      </c>
      <c r="J610" s="12" t="s">
        <v>993</v>
      </c>
      <c r="K610" s="14">
        <v>404</v>
      </c>
      <c r="L610" s="14">
        <v>90</v>
      </c>
      <c r="M610" s="14">
        <v>239</v>
      </c>
      <c r="N610" s="12">
        <v>278.08</v>
      </c>
      <c r="O610" s="12" t="s">
        <v>993</v>
      </c>
      <c r="P610" s="12">
        <v>4.4732926348639498E-2</v>
      </c>
      <c r="Q610" s="12">
        <v>2.7890855694756501E-2</v>
      </c>
      <c r="R610" s="12">
        <v>0.686491935483871</v>
      </c>
      <c r="S610" s="14">
        <v>42</v>
      </c>
      <c r="T610" s="12">
        <v>3.42066321899626</v>
      </c>
      <c r="U610" s="14">
        <v>347</v>
      </c>
      <c r="V610" s="14">
        <v>6</v>
      </c>
      <c r="W610" s="12">
        <v>6.0000000000000001E-3</v>
      </c>
      <c r="X610" s="12">
        <v>3.4266632189962598</v>
      </c>
      <c r="Y610" s="14">
        <v>347</v>
      </c>
      <c r="Z610" s="14">
        <v>42</v>
      </c>
      <c r="AA610" s="12" t="s">
        <v>2369</v>
      </c>
    </row>
    <row r="611" spans="1:27" ht="14.25" x14ac:dyDescent="0.45">
      <c r="A611" s="12" t="s">
        <v>1015</v>
      </c>
      <c r="B611" s="12" t="s">
        <v>1971</v>
      </c>
      <c r="C611" s="12" t="s">
        <v>1972</v>
      </c>
      <c r="D611" s="12" t="s">
        <v>1974</v>
      </c>
      <c r="E611" s="20">
        <v>30922</v>
      </c>
      <c r="F611" s="20">
        <v>44306</v>
      </c>
      <c r="G611" s="12">
        <v>8.3800000000000008</v>
      </c>
      <c r="H611" s="12">
        <v>8.5</v>
      </c>
      <c r="I611" s="13">
        <v>0.98588235294117699</v>
      </c>
      <c r="J611" s="12" t="s">
        <v>1015</v>
      </c>
      <c r="K611" s="14">
        <v>826</v>
      </c>
      <c r="L611" s="14">
        <v>1204</v>
      </c>
      <c r="M611" s="14">
        <v>882</v>
      </c>
      <c r="N611" s="12">
        <v>8.3800000000000008</v>
      </c>
      <c r="O611" s="12" t="s">
        <v>1015</v>
      </c>
      <c r="P611" s="12">
        <v>1.3480362586363601E-3</v>
      </c>
      <c r="Q611" s="12">
        <v>4.4892421270144502E-3</v>
      </c>
      <c r="R611" s="12">
        <v>0.12852822580645201</v>
      </c>
      <c r="S611" s="14">
        <v>38</v>
      </c>
      <c r="T611" s="12">
        <v>0.33112899263726597</v>
      </c>
      <c r="U611" s="14">
        <v>892</v>
      </c>
      <c r="V611" s="14">
        <v>2</v>
      </c>
      <c r="W611" s="12">
        <v>5.5999999999999999E-3</v>
      </c>
      <c r="X611" s="12">
        <v>0.33672899263726602</v>
      </c>
      <c r="Y611" s="14">
        <v>892</v>
      </c>
      <c r="Z611" s="14">
        <v>37</v>
      </c>
      <c r="AA611" s="12" t="s">
        <v>2369</v>
      </c>
    </row>
    <row r="612" spans="1:27" ht="14.25" x14ac:dyDescent="0.45">
      <c r="A612" s="12" t="s">
        <v>1019</v>
      </c>
      <c r="B612" s="12" t="s">
        <v>1971</v>
      </c>
      <c r="C612" s="12" t="s">
        <v>1972</v>
      </c>
      <c r="D612" s="12" t="s">
        <v>1974</v>
      </c>
      <c r="E612" s="20">
        <v>30600</v>
      </c>
      <c r="F612" s="20">
        <v>44194</v>
      </c>
      <c r="G612" s="12">
        <v>2</v>
      </c>
      <c r="H612" s="12">
        <v>12.233333333333301</v>
      </c>
      <c r="I612" s="13">
        <v>0.163487738419619</v>
      </c>
      <c r="J612" s="12" t="s">
        <v>1019</v>
      </c>
      <c r="K612" s="14">
        <v>1396</v>
      </c>
      <c r="L612" s="14">
        <v>745</v>
      </c>
      <c r="M612" s="14">
        <v>1359</v>
      </c>
      <c r="N612" s="12">
        <v>2</v>
      </c>
      <c r="O612" s="12" t="s">
        <v>1019</v>
      </c>
      <c r="P612" s="12">
        <v>3.2172703070080199E-4</v>
      </c>
      <c r="Q612" s="12">
        <v>7.4444586656219499E-4</v>
      </c>
      <c r="R612" s="12">
        <v>0.18497983870967699</v>
      </c>
      <c r="S612" s="14">
        <v>39</v>
      </c>
      <c r="T612" s="12">
        <v>5.8592630311417301E-2</v>
      </c>
      <c r="U612" s="14">
        <v>1487</v>
      </c>
      <c r="V612" s="14">
        <v>1</v>
      </c>
      <c r="W612" s="12">
        <v>5.4999999999999997E-3</v>
      </c>
      <c r="X612" s="12">
        <v>6.4092630311417306E-2</v>
      </c>
      <c r="Y612" s="14">
        <v>1487</v>
      </c>
      <c r="Z612" s="14">
        <v>38</v>
      </c>
      <c r="AA612" s="12" t="s">
        <v>2369</v>
      </c>
    </row>
    <row r="613" spans="1:27" ht="14.25" x14ac:dyDescent="0.45">
      <c r="A613" s="12" t="s">
        <v>1034</v>
      </c>
      <c r="B613" s="12" t="s">
        <v>1971</v>
      </c>
      <c r="C613" s="12" t="s">
        <v>1972</v>
      </c>
      <c r="D613" s="12" t="s">
        <v>1997</v>
      </c>
      <c r="E613" s="20">
        <v>31514</v>
      </c>
      <c r="F613" s="20">
        <v>44278</v>
      </c>
      <c r="G613" s="12">
        <v>0.67</v>
      </c>
      <c r="H613" s="12">
        <v>9.43333333333333</v>
      </c>
      <c r="I613" s="13">
        <v>7.1024734982332194E-2</v>
      </c>
      <c r="J613" s="12" t="s">
        <v>1034</v>
      </c>
      <c r="K613" s="14">
        <v>1562</v>
      </c>
      <c r="L613" s="14">
        <v>1048</v>
      </c>
      <c r="M613" s="14">
        <v>1641</v>
      </c>
      <c r="N613" s="12">
        <v>0.67</v>
      </c>
      <c r="O613" s="12" t="s">
        <v>1034</v>
      </c>
      <c r="P613" s="12">
        <v>1.07778555284769E-4</v>
      </c>
      <c r="Q613" s="12">
        <v>3.2341306383211699E-4</v>
      </c>
      <c r="R613" s="12">
        <v>0.14264112903225801</v>
      </c>
      <c r="S613" s="14">
        <v>36</v>
      </c>
      <c r="T613" s="12">
        <v>2.4255012312686099E-2</v>
      </c>
      <c r="U613" s="14">
        <v>1655</v>
      </c>
      <c r="V613" s="14">
        <v>2</v>
      </c>
      <c r="W613" s="12">
        <v>5.5999999999999999E-3</v>
      </c>
      <c r="X613" s="12">
        <v>2.9855012312686099E-2</v>
      </c>
      <c r="Y613" s="14">
        <v>1654</v>
      </c>
      <c r="Z613" s="14">
        <v>36</v>
      </c>
      <c r="AA613" s="12" t="s">
        <v>2369</v>
      </c>
    </row>
    <row r="614" spans="1:27" ht="14.25" x14ac:dyDescent="0.45">
      <c r="A614" s="12" t="s">
        <v>1058</v>
      </c>
      <c r="B614" s="12" t="s">
        <v>1971</v>
      </c>
      <c r="C614" s="12" t="s">
        <v>1972</v>
      </c>
      <c r="D614" s="12" t="s">
        <v>2007</v>
      </c>
      <c r="E614" s="20">
        <v>30832</v>
      </c>
      <c r="F614" s="20">
        <v>44263</v>
      </c>
      <c r="G614" s="12">
        <v>40.5</v>
      </c>
      <c r="H614" s="12">
        <v>9.93333333333333</v>
      </c>
      <c r="I614" s="13">
        <v>4.0771812080536902</v>
      </c>
      <c r="J614" s="12" t="s">
        <v>1058</v>
      </c>
      <c r="K614" s="14">
        <v>495</v>
      </c>
      <c r="L614" s="14">
        <v>962</v>
      </c>
      <c r="M614" s="14">
        <v>518</v>
      </c>
      <c r="N614" s="12">
        <v>40.5</v>
      </c>
      <c r="O614" s="12" t="s">
        <v>1058</v>
      </c>
      <c r="P614" s="12">
        <v>6.5149723716912402E-3</v>
      </c>
      <c r="Q614" s="12">
        <v>1.8565555600079199E-2</v>
      </c>
      <c r="R614" s="12">
        <v>0.15020161290322601</v>
      </c>
      <c r="S614" s="14">
        <v>38</v>
      </c>
      <c r="T614" s="12">
        <v>1.4046586889433701</v>
      </c>
      <c r="U614" s="14">
        <v>507</v>
      </c>
      <c r="V614" s="14">
        <v>2</v>
      </c>
      <c r="W614" s="12">
        <v>5.5999999999999999E-3</v>
      </c>
      <c r="X614" s="12">
        <v>1.4102586889433699</v>
      </c>
      <c r="Y614" s="14">
        <v>507</v>
      </c>
      <c r="Z614" s="14">
        <v>38</v>
      </c>
      <c r="AA614" s="12" t="s">
        <v>2369</v>
      </c>
    </row>
    <row r="615" spans="1:27" ht="14.25" x14ac:dyDescent="0.45">
      <c r="A615" s="12" t="s">
        <v>1059</v>
      </c>
      <c r="B615" s="12" t="s">
        <v>1971</v>
      </c>
      <c r="C615" s="12" t="s">
        <v>1972</v>
      </c>
      <c r="D615" s="12" t="s">
        <v>1995</v>
      </c>
      <c r="E615" s="20">
        <v>31811</v>
      </c>
      <c r="F615" s="20">
        <v>44274</v>
      </c>
      <c r="G615" s="12">
        <v>4.58</v>
      </c>
      <c r="H615" s="12">
        <v>9.56666666666667</v>
      </c>
      <c r="I615" s="13">
        <v>0.47874564459930302</v>
      </c>
      <c r="J615" s="12" t="s">
        <v>1059</v>
      </c>
      <c r="K615" s="14">
        <v>1070</v>
      </c>
      <c r="L615" s="14">
        <v>1036</v>
      </c>
      <c r="M615" s="14">
        <v>1062</v>
      </c>
      <c r="N615" s="12">
        <v>4.58</v>
      </c>
      <c r="O615" s="12" t="s">
        <v>1059</v>
      </c>
      <c r="P615" s="12">
        <v>7.3675490030483605E-4</v>
      </c>
      <c r="Q615" s="12">
        <v>2.1799813227695699E-3</v>
      </c>
      <c r="R615" s="12">
        <v>0.14465725806451599</v>
      </c>
      <c r="S615" s="14">
        <v>35</v>
      </c>
      <c r="T615" s="12">
        <v>0.163877141434529</v>
      </c>
      <c r="U615" s="14">
        <v>1122</v>
      </c>
      <c r="V615" s="14">
        <v>1</v>
      </c>
      <c r="W615" s="12">
        <v>5.4999999999999997E-3</v>
      </c>
      <c r="X615" s="12">
        <v>0.169377141434529</v>
      </c>
      <c r="Y615" s="14">
        <v>1123</v>
      </c>
      <c r="Z615" s="14">
        <v>35</v>
      </c>
      <c r="AA615" s="12" t="s">
        <v>2369</v>
      </c>
    </row>
    <row r="616" spans="1:27" ht="14.25" x14ac:dyDescent="0.45">
      <c r="A616" s="12" t="s">
        <v>1061</v>
      </c>
      <c r="B616" s="12" t="s">
        <v>1971</v>
      </c>
      <c r="C616" s="12" t="s">
        <v>1972</v>
      </c>
      <c r="D616" s="12" t="s">
        <v>1974</v>
      </c>
      <c r="E616" s="20">
        <v>29601</v>
      </c>
      <c r="F616" s="20">
        <v>44334</v>
      </c>
      <c r="G616" s="12">
        <v>7.2</v>
      </c>
      <c r="H616" s="12">
        <v>7.56666666666667</v>
      </c>
      <c r="I616" s="13">
        <v>0.95154185022026405</v>
      </c>
      <c r="J616" s="12" t="s">
        <v>1061</v>
      </c>
      <c r="K616" s="14">
        <v>839</v>
      </c>
      <c r="L616" s="14">
        <v>1269</v>
      </c>
      <c r="M616" s="14">
        <v>912</v>
      </c>
      <c r="N616" s="12">
        <v>7.2</v>
      </c>
      <c r="O616" s="12" t="s">
        <v>1061</v>
      </c>
      <c r="P616" s="12">
        <v>1.15821731052289E-3</v>
      </c>
      <c r="Q616" s="12">
        <v>4.33287171322455E-3</v>
      </c>
      <c r="R616" s="12">
        <v>0.114415322580645</v>
      </c>
      <c r="S616" s="14">
        <v>41</v>
      </c>
      <c r="T616" s="12">
        <v>0.31423763122114201</v>
      </c>
      <c r="U616" s="14">
        <v>903</v>
      </c>
      <c r="V616" s="14">
        <v>2</v>
      </c>
      <c r="W616" s="12">
        <v>5.5999999999999999E-3</v>
      </c>
      <c r="X616" s="12">
        <v>0.319837631221142</v>
      </c>
      <c r="Y616" s="14">
        <v>903</v>
      </c>
      <c r="Z616" s="14">
        <v>41</v>
      </c>
      <c r="AA616" s="12" t="s">
        <v>2369</v>
      </c>
    </row>
    <row r="617" spans="1:27" ht="14.25" x14ac:dyDescent="0.45">
      <c r="A617" s="12" t="s">
        <v>1102</v>
      </c>
      <c r="B617" s="12" t="s">
        <v>1971</v>
      </c>
      <c r="C617" s="12" t="s">
        <v>1972</v>
      </c>
      <c r="D617" s="12" t="s">
        <v>1993</v>
      </c>
      <c r="E617" s="20">
        <v>30569</v>
      </c>
      <c r="F617" s="20">
        <v>44327</v>
      </c>
      <c r="G617" s="12">
        <v>5.93</v>
      </c>
      <c r="H617" s="12">
        <v>7.8</v>
      </c>
      <c r="I617" s="13">
        <v>0.76025641025641</v>
      </c>
      <c r="J617" s="12" t="s">
        <v>1102</v>
      </c>
      <c r="K617" s="14">
        <v>903</v>
      </c>
      <c r="L617" s="14">
        <v>1252</v>
      </c>
      <c r="M617" s="14">
        <v>968</v>
      </c>
      <c r="N617" s="12">
        <v>5.93</v>
      </c>
      <c r="O617" s="12" t="s">
        <v>1102</v>
      </c>
      <c r="P617" s="12">
        <v>9.5392064602787695E-4</v>
      </c>
      <c r="Q617" s="12">
        <v>3.4618482561067699E-3</v>
      </c>
      <c r="R617" s="12">
        <v>0.117943548387097</v>
      </c>
      <c r="S617" s="14">
        <v>39</v>
      </c>
      <c r="T617" s="12">
        <v>0.252137540232719</v>
      </c>
      <c r="U617" s="14">
        <v>967</v>
      </c>
      <c r="V617" s="14">
        <v>1</v>
      </c>
      <c r="W617" s="12">
        <v>5.4999999999999997E-3</v>
      </c>
      <c r="X617" s="12">
        <v>0.25763754023271901</v>
      </c>
      <c r="Y617" s="14">
        <v>967</v>
      </c>
      <c r="Z617" s="14">
        <v>38</v>
      </c>
      <c r="AA617" s="12" t="s">
        <v>2369</v>
      </c>
    </row>
    <row r="618" spans="1:27" ht="14.25" x14ac:dyDescent="0.45">
      <c r="A618" s="12" t="s">
        <v>1109</v>
      </c>
      <c r="B618" s="12" t="s">
        <v>1971</v>
      </c>
      <c r="C618" s="12" t="s">
        <v>1972</v>
      </c>
      <c r="D618" s="12" t="s">
        <v>1974</v>
      </c>
      <c r="E618" s="20">
        <v>30419</v>
      </c>
      <c r="F618" s="20">
        <v>44337</v>
      </c>
      <c r="G618" s="12">
        <v>0.79</v>
      </c>
      <c r="H618" s="12">
        <v>7.4666666666666703</v>
      </c>
      <c r="I618" s="13">
        <v>0.105803571428571</v>
      </c>
      <c r="J618" s="12" t="s">
        <v>1109</v>
      </c>
      <c r="K618" s="14">
        <v>1477</v>
      </c>
      <c r="L618" s="14">
        <v>1428</v>
      </c>
      <c r="M618" s="14">
        <v>1602</v>
      </c>
      <c r="N618" s="12">
        <v>0.79</v>
      </c>
      <c r="O618" s="12" t="s">
        <v>1109</v>
      </c>
      <c r="P618" s="12">
        <v>1.27082177126817E-4</v>
      </c>
      <c r="Q618" s="12">
        <v>4.8177944217048501E-4</v>
      </c>
      <c r="R618" s="12">
        <v>0.112903225806452</v>
      </c>
      <c r="S618" s="14">
        <v>39</v>
      </c>
      <c r="T618" s="12">
        <v>3.4876796777910897E-2</v>
      </c>
      <c r="U618" s="14">
        <v>1586</v>
      </c>
      <c r="V618" s="14">
        <v>2</v>
      </c>
      <c r="W618" s="12">
        <v>5.5999999999999999E-3</v>
      </c>
      <c r="X618" s="12">
        <v>4.0476796777910898E-2</v>
      </c>
      <c r="Y618" s="14">
        <v>1586</v>
      </c>
      <c r="Z618" s="14">
        <v>39</v>
      </c>
      <c r="AA618" s="12" t="s">
        <v>2369</v>
      </c>
    </row>
    <row r="619" spans="1:27" ht="14.25" x14ac:dyDescent="0.45">
      <c r="A619" s="12" t="s">
        <v>1112</v>
      </c>
      <c r="B619" s="12" t="s">
        <v>1971</v>
      </c>
      <c r="C619" s="12" t="s">
        <v>1972</v>
      </c>
      <c r="D619" s="12" t="s">
        <v>1993</v>
      </c>
      <c r="E619" s="20">
        <v>30936</v>
      </c>
      <c r="F619" s="20">
        <v>44247</v>
      </c>
      <c r="G619" s="12">
        <v>0.43</v>
      </c>
      <c r="H619" s="12">
        <v>10.466666666666701</v>
      </c>
      <c r="I619" s="13">
        <v>4.1082802547770698E-2</v>
      </c>
      <c r="J619" s="12" t="s">
        <v>1112</v>
      </c>
      <c r="K619" s="14">
        <v>1628</v>
      </c>
      <c r="L619" s="14">
        <v>951</v>
      </c>
      <c r="M619" s="14">
        <v>1706</v>
      </c>
      <c r="N619" s="12">
        <v>0.43</v>
      </c>
      <c r="O619" s="12" t="s">
        <v>1112</v>
      </c>
      <c r="P619" s="12">
        <v>6.9171311600672394E-5</v>
      </c>
      <c r="Q619" s="12">
        <v>1.87071659557611E-4</v>
      </c>
      <c r="R619" s="12">
        <v>0.15826612903225801</v>
      </c>
      <c r="S619" s="14">
        <v>38</v>
      </c>
      <c r="T619" s="12">
        <v>1.42859029073759E-2</v>
      </c>
      <c r="U619" s="14">
        <v>1722</v>
      </c>
      <c r="V619" s="14">
        <v>1</v>
      </c>
      <c r="W619" s="12">
        <v>5.4999999999999997E-3</v>
      </c>
      <c r="X619" s="12">
        <v>1.9785902907375901E-2</v>
      </c>
      <c r="Y619" s="14">
        <v>1723</v>
      </c>
      <c r="Z619" s="14">
        <v>37</v>
      </c>
      <c r="AA619" s="12" t="s">
        <v>2369</v>
      </c>
    </row>
    <row r="620" spans="1:27" ht="14.25" x14ac:dyDescent="0.45">
      <c r="A620" s="12" t="s">
        <v>1117</v>
      </c>
      <c r="B620" s="12" t="s">
        <v>1971</v>
      </c>
      <c r="C620" s="12" t="s">
        <v>1972</v>
      </c>
      <c r="D620" s="12" t="s">
        <v>1974</v>
      </c>
      <c r="E620" s="20">
        <v>30326</v>
      </c>
      <c r="F620" s="20">
        <v>44334</v>
      </c>
      <c r="G620" s="12">
        <v>0.68</v>
      </c>
      <c r="H620" s="12">
        <v>7.56666666666667</v>
      </c>
      <c r="I620" s="13">
        <v>8.9867841409691604E-2</v>
      </c>
      <c r="J620" s="12" t="s">
        <v>1117</v>
      </c>
      <c r="K620" s="14">
        <v>1522</v>
      </c>
      <c r="L620" s="14">
        <v>1269</v>
      </c>
      <c r="M620" s="14">
        <v>1636</v>
      </c>
      <c r="N620" s="12">
        <v>0.68</v>
      </c>
      <c r="O620" s="12" t="s">
        <v>1117</v>
      </c>
      <c r="P620" s="12">
        <v>1.0938719043827299E-4</v>
      </c>
      <c r="Q620" s="12">
        <v>4.0921566180453998E-4</v>
      </c>
      <c r="R620" s="12">
        <v>0.114415322580645</v>
      </c>
      <c r="S620" s="14">
        <v>39</v>
      </c>
      <c r="T620" s="12">
        <v>2.9677998504219E-2</v>
      </c>
      <c r="U620" s="14">
        <v>1622</v>
      </c>
      <c r="V620" s="14">
        <v>5</v>
      </c>
      <c r="W620" s="12">
        <v>5.8999999999999999E-3</v>
      </c>
      <c r="X620" s="12">
        <v>3.5577998504218999E-2</v>
      </c>
      <c r="Y620" s="14">
        <v>1621</v>
      </c>
      <c r="Z620" s="14">
        <v>39</v>
      </c>
      <c r="AA620" s="12" t="s">
        <v>2369</v>
      </c>
    </row>
    <row r="621" spans="1:27" ht="14.25" x14ac:dyDescent="0.45">
      <c r="A621" s="12" t="s">
        <v>1132</v>
      </c>
      <c r="B621" s="12" t="s">
        <v>1971</v>
      </c>
      <c r="C621" s="12" t="s">
        <v>1972</v>
      </c>
      <c r="D621" s="12" t="s">
        <v>1993</v>
      </c>
      <c r="E621" s="20">
        <v>28326</v>
      </c>
      <c r="F621" s="20">
        <v>44186</v>
      </c>
      <c r="G621" s="12">
        <v>133.99</v>
      </c>
      <c r="H621" s="12">
        <v>12.5</v>
      </c>
      <c r="I621" s="13">
        <v>10.719200000000001</v>
      </c>
      <c r="J621" s="12" t="s">
        <v>1132</v>
      </c>
      <c r="K621" s="14">
        <v>268</v>
      </c>
      <c r="L621" s="14">
        <v>723</v>
      </c>
      <c r="M621" s="14">
        <v>338</v>
      </c>
      <c r="N621" s="12">
        <v>133.99</v>
      </c>
      <c r="O621" s="12" t="s">
        <v>1132</v>
      </c>
      <c r="P621" s="12">
        <v>2.1554102421800201E-2</v>
      </c>
      <c r="Q621" s="12">
        <v>4.8810168945953802E-2</v>
      </c>
      <c r="R621" s="12">
        <v>0.18901209677419401</v>
      </c>
      <c r="S621" s="14">
        <v>45</v>
      </c>
      <c r="T621" s="12">
        <v>3.85891439993962</v>
      </c>
      <c r="U621" s="14">
        <v>321</v>
      </c>
      <c r="V621" s="14">
        <v>1</v>
      </c>
      <c r="W621" s="12">
        <v>5.4999999999999997E-3</v>
      </c>
      <c r="X621" s="12">
        <v>3.8644143999396201</v>
      </c>
      <c r="Y621" s="14">
        <v>321</v>
      </c>
      <c r="Z621" s="14">
        <v>44</v>
      </c>
      <c r="AA621" s="12" t="s">
        <v>2369</v>
      </c>
    </row>
    <row r="622" spans="1:27" ht="14.25" x14ac:dyDescent="0.45">
      <c r="A622" s="12" t="s">
        <v>1144</v>
      </c>
      <c r="B622" s="12" t="s">
        <v>1971</v>
      </c>
      <c r="C622" s="12" t="s">
        <v>1972</v>
      </c>
      <c r="D622" s="12" t="s">
        <v>1974</v>
      </c>
      <c r="E622" s="20">
        <v>31687</v>
      </c>
      <c r="F622" s="20">
        <v>44285</v>
      </c>
      <c r="G622" s="12">
        <v>13.29</v>
      </c>
      <c r="H622" s="12">
        <v>9.1999999999999993</v>
      </c>
      <c r="I622" s="13">
        <v>1.4445652173912999</v>
      </c>
      <c r="J622" s="12" t="s">
        <v>1144</v>
      </c>
      <c r="K622" s="14">
        <v>736</v>
      </c>
      <c r="L622" s="14">
        <v>1105</v>
      </c>
      <c r="M622" s="14">
        <v>786</v>
      </c>
      <c r="N622" s="12">
        <v>13.29</v>
      </c>
      <c r="O622" s="12" t="s">
        <v>1144</v>
      </c>
      <c r="P622" s="12">
        <v>2.1378761190068299E-3</v>
      </c>
      <c r="Q622" s="12">
        <v>6.5778670343232702E-3</v>
      </c>
      <c r="R622" s="12">
        <v>0.13911290322580599</v>
      </c>
      <c r="S622" s="14">
        <v>36</v>
      </c>
      <c r="T622" s="12">
        <v>0.49128704410795998</v>
      </c>
      <c r="U622" s="14">
        <v>787</v>
      </c>
      <c r="V622" s="14">
        <v>1</v>
      </c>
      <c r="W622" s="12">
        <v>5.4999999999999997E-3</v>
      </c>
      <c r="X622" s="12">
        <v>0.49678704410795999</v>
      </c>
      <c r="Y622" s="14">
        <v>787</v>
      </c>
      <c r="Z622" s="14">
        <v>35</v>
      </c>
      <c r="AA622" s="12" t="s">
        <v>2369</v>
      </c>
    </row>
    <row r="623" spans="1:27" ht="14.25" x14ac:dyDescent="0.45">
      <c r="A623" s="12" t="s">
        <v>1145</v>
      </c>
      <c r="B623" s="12" t="s">
        <v>1971</v>
      </c>
      <c r="C623" s="12" t="s">
        <v>1972</v>
      </c>
      <c r="D623" s="12" t="s">
        <v>1995</v>
      </c>
      <c r="E623" s="20">
        <v>29638</v>
      </c>
      <c r="F623" s="20">
        <v>44305</v>
      </c>
      <c r="G623" s="12">
        <v>0.63</v>
      </c>
      <c r="H623" s="12">
        <v>8.5333333333333297</v>
      </c>
      <c r="I623" s="13">
        <v>7.3828124999999994E-2</v>
      </c>
      <c r="J623" s="12" t="s">
        <v>1145</v>
      </c>
      <c r="K623" s="14">
        <v>1554</v>
      </c>
      <c r="L623" s="14">
        <v>1193</v>
      </c>
      <c r="M623" s="14">
        <v>1646</v>
      </c>
      <c r="N623" s="12">
        <v>0.63</v>
      </c>
      <c r="O623" s="12" t="s">
        <v>1145</v>
      </c>
      <c r="P623" s="12">
        <v>1.01344014670753E-4</v>
      </c>
      <c r="Q623" s="12">
        <v>3.36178376577822E-4</v>
      </c>
      <c r="R623" s="12">
        <v>0.12903225806451599</v>
      </c>
      <c r="S623" s="14">
        <v>41</v>
      </c>
      <c r="T623" s="12">
        <v>2.48115490862671E-2</v>
      </c>
      <c r="U623" s="14">
        <v>1653</v>
      </c>
      <c r="V623" s="14">
        <v>1</v>
      </c>
      <c r="W623" s="12">
        <v>5.4999999999999997E-3</v>
      </c>
      <c r="X623" s="12">
        <v>3.0311549086267101E-2</v>
      </c>
      <c r="Y623" s="14">
        <v>1653</v>
      </c>
      <c r="Z623" s="14">
        <v>41</v>
      </c>
      <c r="AA623" s="12" t="s">
        <v>2369</v>
      </c>
    </row>
    <row r="624" spans="1:27" ht="14.25" x14ac:dyDescent="0.45">
      <c r="A624" s="12" t="s">
        <v>1149</v>
      </c>
      <c r="B624" s="12" t="s">
        <v>1971</v>
      </c>
      <c r="C624" s="12" t="s">
        <v>1972</v>
      </c>
      <c r="D624" s="12" t="s">
        <v>1974</v>
      </c>
      <c r="E624" s="20">
        <v>28973</v>
      </c>
      <c r="F624" s="20">
        <v>42818</v>
      </c>
      <c r="G624" s="12">
        <v>244.33</v>
      </c>
      <c r="H624" s="12">
        <v>58.1</v>
      </c>
      <c r="I624" s="13">
        <v>4.2053356282271901</v>
      </c>
      <c r="J624" s="12" t="s">
        <v>1149</v>
      </c>
      <c r="K624" s="14">
        <v>489</v>
      </c>
      <c r="L624" s="14">
        <v>16</v>
      </c>
      <c r="M624" s="14">
        <v>260</v>
      </c>
      <c r="N624" s="12">
        <v>244.33</v>
      </c>
      <c r="O624" s="12" t="s">
        <v>1149</v>
      </c>
      <c r="P624" s="12">
        <v>3.9303782705563499E-2</v>
      </c>
      <c r="Q624" s="12">
        <v>1.91491102403358E-2</v>
      </c>
      <c r="R624" s="12">
        <v>0.87852822580645196</v>
      </c>
      <c r="S624" s="14">
        <v>43</v>
      </c>
      <c r="T624" s="12">
        <v>2.6707112414796201</v>
      </c>
      <c r="U624" s="14">
        <v>392</v>
      </c>
      <c r="V624" s="14">
        <v>4</v>
      </c>
      <c r="W624" s="12">
        <v>5.7999999999999996E-3</v>
      </c>
      <c r="X624" s="12">
        <v>2.6765112414796199</v>
      </c>
      <c r="Y624" s="14">
        <v>392</v>
      </c>
      <c r="Z624" s="14">
        <v>43</v>
      </c>
      <c r="AA624" s="12" t="s">
        <v>2369</v>
      </c>
    </row>
    <row r="625" spans="1:27" ht="14.25" x14ac:dyDescent="0.45">
      <c r="A625" s="12" t="s">
        <v>1151</v>
      </c>
      <c r="B625" s="12" t="s">
        <v>1971</v>
      </c>
      <c r="C625" s="12" t="s">
        <v>1972</v>
      </c>
      <c r="D625" s="12" t="s">
        <v>1993</v>
      </c>
      <c r="E625" s="20">
        <v>31327</v>
      </c>
      <c r="F625" s="20">
        <v>44271</v>
      </c>
      <c r="G625" s="12">
        <v>37.89</v>
      </c>
      <c r="H625" s="12">
        <v>9.6666666666666696</v>
      </c>
      <c r="I625" s="13">
        <v>3.91965517241379</v>
      </c>
      <c r="J625" s="12" t="s">
        <v>1151</v>
      </c>
      <c r="K625" s="14">
        <v>500</v>
      </c>
      <c r="L625" s="14">
        <v>1004</v>
      </c>
      <c r="M625" s="14">
        <v>532</v>
      </c>
      <c r="N625" s="12">
        <v>37.89</v>
      </c>
      <c r="O625" s="12" t="s">
        <v>1151</v>
      </c>
      <c r="P625" s="12">
        <v>6.09511859662669E-3</v>
      </c>
      <c r="Q625" s="12">
        <v>1.7848256509384899E-2</v>
      </c>
      <c r="R625" s="12">
        <v>0.14616935483870999</v>
      </c>
      <c r="S625" s="14">
        <v>37</v>
      </c>
      <c r="T625" s="12">
        <v>1.3440829792100599</v>
      </c>
      <c r="U625" s="14">
        <v>523</v>
      </c>
      <c r="V625" s="14">
        <v>2</v>
      </c>
      <c r="W625" s="12">
        <v>5.5999999999999999E-3</v>
      </c>
      <c r="X625" s="12">
        <v>1.34968297921006</v>
      </c>
      <c r="Y625" s="14">
        <v>523</v>
      </c>
      <c r="Z625" s="14">
        <v>36</v>
      </c>
      <c r="AA625" s="12" t="s">
        <v>2369</v>
      </c>
    </row>
    <row r="626" spans="1:27" ht="14.25" x14ac:dyDescent="0.45">
      <c r="A626" s="12" t="s">
        <v>1161</v>
      </c>
      <c r="B626" s="12" t="s">
        <v>1971</v>
      </c>
      <c r="C626" s="12" t="s">
        <v>1972</v>
      </c>
      <c r="D626" s="12" t="s">
        <v>1990</v>
      </c>
      <c r="E626" s="20">
        <v>29245</v>
      </c>
      <c r="F626" s="20">
        <v>43913</v>
      </c>
      <c r="G626" s="12">
        <v>42.26</v>
      </c>
      <c r="H626" s="12">
        <v>21.6</v>
      </c>
      <c r="I626" s="13">
        <v>1.9564814814814799</v>
      </c>
      <c r="J626" s="12" t="s">
        <v>1161</v>
      </c>
      <c r="K626" s="14">
        <v>664</v>
      </c>
      <c r="L626" s="14">
        <v>441</v>
      </c>
      <c r="M626" s="14">
        <v>505</v>
      </c>
      <c r="N626" s="12">
        <v>42.26</v>
      </c>
      <c r="O626" s="12" t="s">
        <v>1161</v>
      </c>
      <c r="P626" s="12">
        <v>6.7980921587079404E-3</v>
      </c>
      <c r="Q626" s="12">
        <v>8.9088916757538907E-3</v>
      </c>
      <c r="R626" s="12">
        <v>0.32661290322580599</v>
      </c>
      <c r="S626" s="14">
        <v>42</v>
      </c>
      <c r="T626" s="12">
        <v>0.81173418568616595</v>
      </c>
      <c r="U626" s="14">
        <v>662</v>
      </c>
      <c r="V626" s="14">
        <v>2</v>
      </c>
      <c r="W626" s="12">
        <v>5.5999999999999999E-3</v>
      </c>
      <c r="X626" s="12">
        <v>0.817334185686166</v>
      </c>
      <c r="Y626" s="14">
        <v>662</v>
      </c>
      <c r="Z626" s="14">
        <v>42</v>
      </c>
      <c r="AA626" s="12" t="s">
        <v>2369</v>
      </c>
    </row>
    <row r="627" spans="1:27" ht="14.25" x14ac:dyDescent="0.45">
      <c r="A627" s="12" t="s">
        <v>1162</v>
      </c>
      <c r="B627" s="12" t="s">
        <v>1971</v>
      </c>
      <c r="C627" s="12" t="s">
        <v>1972</v>
      </c>
      <c r="D627" s="12" t="s">
        <v>1974</v>
      </c>
      <c r="E627" s="20">
        <v>29448</v>
      </c>
      <c r="F627" s="20">
        <v>44336</v>
      </c>
      <c r="G627" s="12">
        <v>0.05</v>
      </c>
      <c r="H627" s="12">
        <v>7.5</v>
      </c>
      <c r="I627" s="13">
        <v>6.6666666666666697E-3</v>
      </c>
      <c r="J627" s="12" t="s">
        <v>1162</v>
      </c>
      <c r="K627" s="14">
        <v>1766</v>
      </c>
      <c r="L627" s="14">
        <v>1377</v>
      </c>
      <c r="M627" s="14">
        <v>1878</v>
      </c>
      <c r="N627" s="12">
        <v>0.05</v>
      </c>
      <c r="O627" s="12" t="s">
        <v>1162</v>
      </c>
      <c r="P627" s="12">
        <v>8.0431757675200496E-6</v>
      </c>
      <c r="Q627" s="12">
        <v>3.03568481142584E-5</v>
      </c>
      <c r="R627" s="12">
        <v>0.113407258064516</v>
      </c>
      <c r="S627" s="14">
        <v>42</v>
      </c>
      <c r="T627" s="12">
        <v>2.1989220984231501E-3</v>
      </c>
      <c r="U627" s="14">
        <v>1874</v>
      </c>
      <c r="V627" s="14">
        <v>1</v>
      </c>
      <c r="W627" s="12">
        <v>5.4999999999999997E-3</v>
      </c>
      <c r="X627" s="12">
        <v>7.6989220984231502E-3</v>
      </c>
      <c r="Y627" s="14">
        <v>1874</v>
      </c>
      <c r="Z627" s="14">
        <v>41</v>
      </c>
      <c r="AA627" s="12" t="s">
        <v>2369</v>
      </c>
    </row>
    <row r="628" spans="1:27" ht="14.25" x14ac:dyDescent="0.45">
      <c r="A628" s="12" t="s">
        <v>1167</v>
      </c>
      <c r="B628" s="12" t="s">
        <v>1971</v>
      </c>
      <c r="C628" s="12" t="s">
        <v>1972</v>
      </c>
      <c r="D628" s="12" t="s">
        <v>1974</v>
      </c>
      <c r="E628" s="20">
        <v>31195</v>
      </c>
      <c r="F628" s="20">
        <v>44372</v>
      </c>
      <c r="G628" s="12">
        <v>1.89</v>
      </c>
      <c r="H628" s="12">
        <v>6.3</v>
      </c>
      <c r="I628" s="13">
        <v>0.3</v>
      </c>
      <c r="J628" s="12" t="s">
        <v>1167</v>
      </c>
      <c r="K628" s="14">
        <v>1226</v>
      </c>
      <c r="L628" s="14">
        <v>1606</v>
      </c>
      <c r="M628" s="14">
        <v>1427</v>
      </c>
      <c r="N628" s="12">
        <v>1.89</v>
      </c>
      <c r="O628" s="12" t="s">
        <v>1167</v>
      </c>
      <c r="P628" s="12">
        <v>3.0403204401225801E-4</v>
      </c>
      <c r="Q628" s="12">
        <v>1.36605816514163E-3</v>
      </c>
      <c r="R628" s="12">
        <v>9.5262096774193505E-2</v>
      </c>
      <c r="S628" s="14">
        <v>37</v>
      </c>
      <c r="T628" s="12">
        <v>9.6779836971811403E-2</v>
      </c>
      <c r="U628" s="14">
        <v>1297</v>
      </c>
      <c r="V628" s="14">
        <v>1</v>
      </c>
      <c r="W628" s="12">
        <v>5.4999999999999997E-3</v>
      </c>
      <c r="X628" s="12">
        <v>0.10227983697181101</v>
      </c>
      <c r="Y628" s="14">
        <v>1298</v>
      </c>
      <c r="Z628" s="14">
        <v>37</v>
      </c>
      <c r="AA628" s="12" t="s">
        <v>2369</v>
      </c>
    </row>
    <row r="629" spans="1:27" ht="14.25" x14ac:dyDescent="0.45">
      <c r="A629" s="12" t="s">
        <v>1169</v>
      </c>
      <c r="B629" s="12" t="s">
        <v>1971</v>
      </c>
      <c r="C629" s="12" t="s">
        <v>1972</v>
      </c>
      <c r="D629" s="12" t="s">
        <v>2020</v>
      </c>
      <c r="E629" s="20">
        <v>29340</v>
      </c>
      <c r="F629" s="20">
        <v>44336</v>
      </c>
      <c r="G629" s="12">
        <v>4.74</v>
      </c>
      <c r="H629" s="12">
        <v>7.5</v>
      </c>
      <c r="I629" s="13">
        <v>0.63200000000000001</v>
      </c>
      <c r="J629" s="12" t="s">
        <v>1169</v>
      </c>
      <c r="K629" s="14">
        <v>975</v>
      </c>
      <c r="L629" s="14">
        <v>1377</v>
      </c>
      <c r="M629" s="14">
        <v>1051</v>
      </c>
      <c r="N629" s="12">
        <v>4.74</v>
      </c>
      <c r="O629" s="12" t="s">
        <v>1169</v>
      </c>
      <c r="P629" s="12">
        <v>7.6249306276090004E-4</v>
      </c>
      <c r="Q629" s="12">
        <v>2.8778292012316999E-3</v>
      </c>
      <c r="R629" s="12">
        <v>0.113407258064516</v>
      </c>
      <c r="S629" s="14">
        <v>42</v>
      </c>
      <c r="T629" s="12">
        <v>0.20845781493051499</v>
      </c>
      <c r="U629" s="14">
        <v>1032</v>
      </c>
      <c r="V629" s="14">
        <v>1</v>
      </c>
      <c r="W629" s="12">
        <v>5.4999999999999997E-3</v>
      </c>
      <c r="X629" s="12">
        <v>0.21395781493051499</v>
      </c>
      <c r="Y629" s="14">
        <v>1032</v>
      </c>
      <c r="Z629" s="14">
        <v>42</v>
      </c>
      <c r="AA629" s="12" t="s">
        <v>2369</v>
      </c>
    </row>
    <row r="630" spans="1:27" ht="14.25" x14ac:dyDescent="0.45">
      <c r="A630" s="12" t="s">
        <v>1178</v>
      </c>
      <c r="B630" s="12" t="s">
        <v>1971</v>
      </c>
      <c r="C630" s="12" t="s">
        <v>1972</v>
      </c>
      <c r="D630" s="12" t="s">
        <v>1978</v>
      </c>
      <c r="E630" s="20">
        <v>31176</v>
      </c>
      <c r="F630" s="20">
        <v>44336</v>
      </c>
      <c r="G630" s="12">
        <v>37.65</v>
      </c>
      <c r="H630" s="12">
        <v>7.5</v>
      </c>
      <c r="I630" s="13">
        <v>5.0199999999999996</v>
      </c>
      <c r="J630" s="12" t="s">
        <v>1178</v>
      </c>
      <c r="K630" s="14">
        <v>442</v>
      </c>
      <c r="L630" s="14">
        <v>1377</v>
      </c>
      <c r="M630" s="14">
        <v>533</v>
      </c>
      <c r="N630" s="12">
        <v>37.65</v>
      </c>
      <c r="O630" s="12" t="s">
        <v>1178</v>
      </c>
      <c r="P630" s="12">
        <v>6.0565113529425898E-3</v>
      </c>
      <c r="Q630" s="12">
        <v>2.2858706630036599E-2</v>
      </c>
      <c r="R630" s="12">
        <v>0.113407258064516</v>
      </c>
      <c r="S630" s="14">
        <v>37</v>
      </c>
      <c r="T630" s="12">
        <v>1.6557883401126301</v>
      </c>
      <c r="U630" s="14">
        <v>469</v>
      </c>
      <c r="V630" s="14">
        <v>4</v>
      </c>
      <c r="W630" s="12">
        <v>5.7999999999999996E-3</v>
      </c>
      <c r="X630" s="12">
        <v>1.6615883401126299</v>
      </c>
      <c r="Y630" s="14">
        <v>469</v>
      </c>
      <c r="Z630" s="14">
        <v>37</v>
      </c>
      <c r="AA630" s="12" t="s">
        <v>2369</v>
      </c>
    </row>
    <row r="631" spans="1:27" ht="14.25" x14ac:dyDescent="0.45">
      <c r="A631" s="12" t="s">
        <v>1188</v>
      </c>
      <c r="B631" s="12" t="s">
        <v>1971</v>
      </c>
      <c r="C631" s="12" t="s">
        <v>1972</v>
      </c>
      <c r="D631" s="12" t="s">
        <v>1997</v>
      </c>
      <c r="E631" s="20">
        <v>29729</v>
      </c>
      <c r="F631" s="20">
        <v>44370</v>
      </c>
      <c r="G631" s="12">
        <v>3.84</v>
      </c>
      <c r="H631" s="12">
        <v>6.3666666666666698</v>
      </c>
      <c r="I631" s="13">
        <v>0.60314136125654405</v>
      </c>
      <c r="J631" s="12" t="s">
        <v>1188</v>
      </c>
      <c r="K631" s="14">
        <v>994</v>
      </c>
      <c r="L631" s="14">
        <v>1504</v>
      </c>
      <c r="M631" s="14">
        <v>1131</v>
      </c>
      <c r="N631" s="12">
        <v>3.84</v>
      </c>
      <c r="O631" s="12" t="s">
        <v>1188</v>
      </c>
      <c r="P631" s="12">
        <v>6.1771589894553901E-4</v>
      </c>
      <c r="Q631" s="12">
        <v>2.7464206042637999E-3</v>
      </c>
      <c r="R631" s="12">
        <v>9.6270161290322606E-2</v>
      </c>
      <c r="S631" s="14">
        <v>41</v>
      </c>
      <c r="T631" s="12">
        <v>0.19481563397694501</v>
      </c>
      <c r="U631" s="14">
        <v>1061</v>
      </c>
      <c r="V631" s="14">
        <v>2</v>
      </c>
      <c r="W631" s="12">
        <v>5.5999999999999999E-3</v>
      </c>
      <c r="X631" s="12">
        <v>0.20041563397694501</v>
      </c>
      <c r="Y631" s="14">
        <v>1061</v>
      </c>
      <c r="Z631" s="14">
        <v>41</v>
      </c>
      <c r="AA631" s="12" t="s">
        <v>2369</v>
      </c>
    </row>
    <row r="632" spans="1:27" ht="14.25" x14ac:dyDescent="0.45">
      <c r="A632" s="12" t="s">
        <v>1190</v>
      </c>
      <c r="B632" s="12" t="s">
        <v>1971</v>
      </c>
      <c r="C632" s="12" t="s">
        <v>1972</v>
      </c>
      <c r="D632" s="12" t="s">
        <v>1974</v>
      </c>
      <c r="E632" s="20">
        <v>31809</v>
      </c>
      <c r="F632" s="20">
        <v>44370</v>
      </c>
      <c r="G632" s="12">
        <v>3.33</v>
      </c>
      <c r="H632" s="12">
        <v>6.3666666666666698</v>
      </c>
      <c r="I632" s="13">
        <v>0.52303664921465998</v>
      </c>
      <c r="J632" s="12" t="s">
        <v>1190</v>
      </c>
      <c r="K632" s="14">
        <v>1035</v>
      </c>
      <c r="L632" s="14">
        <v>1504</v>
      </c>
      <c r="M632" s="14">
        <v>1190</v>
      </c>
      <c r="N632" s="12">
        <v>3.33</v>
      </c>
      <c r="O632" s="12" t="s">
        <v>1190</v>
      </c>
      <c r="P632" s="12">
        <v>5.3567550611683496E-4</v>
      </c>
      <c r="Q632" s="12">
        <v>2.38166161776001E-3</v>
      </c>
      <c r="R632" s="12">
        <v>9.6270161290322606E-2</v>
      </c>
      <c r="S632" s="14">
        <v>35</v>
      </c>
      <c r="T632" s="12">
        <v>0.168941682589382</v>
      </c>
      <c r="U632" s="14">
        <v>1110</v>
      </c>
      <c r="V632" s="14">
        <v>1</v>
      </c>
      <c r="W632" s="12">
        <v>5.4999999999999997E-3</v>
      </c>
      <c r="X632" s="12">
        <v>0.174441682589382</v>
      </c>
      <c r="Y632" s="14">
        <v>1110</v>
      </c>
      <c r="Z632" s="14">
        <v>35</v>
      </c>
      <c r="AA632" s="12" t="s">
        <v>2369</v>
      </c>
    </row>
    <row r="633" spans="1:27" ht="14.25" x14ac:dyDescent="0.45">
      <c r="A633" s="12" t="s">
        <v>1194</v>
      </c>
      <c r="B633" s="12" t="s">
        <v>1971</v>
      </c>
      <c r="C633" s="12" t="s">
        <v>1972</v>
      </c>
      <c r="D633" s="12" t="s">
        <v>1997</v>
      </c>
      <c r="E633" s="20">
        <v>30586</v>
      </c>
      <c r="F633" s="20">
        <v>44370</v>
      </c>
      <c r="G633" s="12">
        <v>8.4700000000000006</v>
      </c>
      <c r="H633" s="12">
        <v>6.3666666666666698</v>
      </c>
      <c r="I633" s="13">
        <v>1.3303664921466001</v>
      </c>
      <c r="J633" s="12" t="s">
        <v>1194</v>
      </c>
      <c r="K633" s="14">
        <v>747</v>
      </c>
      <c r="L633" s="14">
        <v>1504</v>
      </c>
      <c r="M633" s="14">
        <v>878</v>
      </c>
      <c r="N633" s="12">
        <v>8.4700000000000006</v>
      </c>
      <c r="O633" s="12" t="s">
        <v>1194</v>
      </c>
      <c r="P633" s="12">
        <v>1.3625139750179001E-3</v>
      </c>
      <c r="Q633" s="12">
        <v>6.0578600307589501E-3</v>
      </c>
      <c r="R633" s="12">
        <v>9.6270161290322606E-2</v>
      </c>
      <c r="S633" s="14">
        <v>39</v>
      </c>
      <c r="T633" s="12">
        <v>0.429710525985605</v>
      </c>
      <c r="U633" s="14">
        <v>806</v>
      </c>
      <c r="V633" s="14">
        <v>2</v>
      </c>
      <c r="W633" s="12">
        <v>5.5999999999999999E-3</v>
      </c>
      <c r="X633" s="12">
        <v>0.43531052598560499</v>
      </c>
      <c r="Y633" s="14">
        <v>806</v>
      </c>
      <c r="Z633" s="14">
        <v>38</v>
      </c>
      <c r="AA633" s="12" t="s">
        <v>2369</v>
      </c>
    </row>
    <row r="634" spans="1:27" ht="14.25" x14ac:dyDescent="0.45">
      <c r="A634" s="12" t="s">
        <v>1199</v>
      </c>
      <c r="B634" s="12" t="s">
        <v>1971</v>
      </c>
      <c r="C634" s="12" t="s">
        <v>1972</v>
      </c>
      <c r="D634" s="12" t="s">
        <v>2014</v>
      </c>
      <c r="E634" s="20">
        <v>30088</v>
      </c>
      <c r="F634" s="20">
        <v>44336</v>
      </c>
      <c r="G634" s="12">
        <v>0.17</v>
      </c>
      <c r="H634" s="12">
        <v>7.5</v>
      </c>
      <c r="I634" s="13">
        <v>2.26666666666667E-2</v>
      </c>
      <c r="J634" s="12" t="s">
        <v>1199</v>
      </c>
      <c r="K634" s="14">
        <v>1677</v>
      </c>
      <c r="L634" s="14">
        <v>1377</v>
      </c>
      <c r="M634" s="14">
        <v>1797</v>
      </c>
      <c r="N634" s="12">
        <v>0.17</v>
      </c>
      <c r="O634" s="12" t="s">
        <v>1199</v>
      </c>
      <c r="P634" s="12">
        <v>2.7346797609568201E-5</v>
      </c>
      <c r="Q634" s="12">
        <v>1.03213283588479E-4</v>
      </c>
      <c r="R634" s="12">
        <v>0.113407258064516</v>
      </c>
      <c r="S634" s="14">
        <v>40</v>
      </c>
      <c r="T634" s="12">
        <v>7.4763351346387097E-3</v>
      </c>
      <c r="U634" s="14">
        <v>1785</v>
      </c>
      <c r="V634" s="14">
        <v>1</v>
      </c>
      <c r="W634" s="12">
        <v>5.4999999999999997E-3</v>
      </c>
      <c r="X634" s="12">
        <v>1.29763351346387E-2</v>
      </c>
      <c r="Y634" s="14">
        <v>1785</v>
      </c>
      <c r="Z634" s="14">
        <v>40</v>
      </c>
      <c r="AA634" s="12" t="s">
        <v>2369</v>
      </c>
    </row>
    <row r="635" spans="1:27" ht="14.25" x14ac:dyDescent="0.45">
      <c r="A635" s="12" t="s">
        <v>1202</v>
      </c>
      <c r="B635" s="12" t="s">
        <v>1971</v>
      </c>
      <c r="C635" s="12" t="s">
        <v>1972</v>
      </c>
      <c r="D635" s="12" t="s">
        <v>1993</v>
      </c>
      <c r="E635" s="20">
        <v>28637</v>
      </c>
      <c r="F635" s="20">
        <v>44351</v>
      </c>
      <c r="G635" s="12">
        <v>47.56</v>
      </c>
      <c r="H635" s="12">
        <v>7</v>
      </c>
      <c r="I635" s="13">
        <v>6.79428571428571</v>
      </c>
      <c r="J635" s="12" t="s">
        <v>1202</v>
      </c>
      <c r="K635" s="14">
        <v>385</v>
      </c>
      <c r="L635" s="14">
        <v>1479</v>
      </c>
      <c r="M635" s="14">
        <v>492</v>
      </c>
      <c r="N635" s="12">
        <v>47.56</v>
      </c>
      <c r="O635" s="12" t="s">
        <v>1202</v>
      </c>
      <c r="P635" s="12">
        <v>7.65066879006507E-3</v>
      </c>
      <c r="Q635" s="12">
        <v>3.0937964921017001E-2</v>
      </c>
      <c r="R635" s="12">
        <v>0.105846774193548</v>
      </c>
      <c r="S635" s="14">
        <v>44</v>
      </c>
      <c r="T635" s="12">
        <v>2.2205228871910099</v>
      </c>
      <c r="U635" s="14">
        <v>423</v>
      </c>
      <c r="V635" s="14">
        <v>4</v>
      </c>
      <c r="W635" s="12">
        <v>5.7999999999999996E-3</v>
      </c>
      <c r="X635" s="12">
        <v>2.2263228871910101</v>
      </c>
      <c r="Y635" s="14">
        <v>423</v>
      </c>
      <c r="Z635" s="14">
        <v>44</v>
      </c>
      <c r="AA635" s="12" t="s">
        <v>2369</v>
      </c>
    </row>
    <row r="636" spans="1:27" ht="14.25" x14ac:dyDescent="0.45">
      <c r="A636" s="12" t="s">
        <v>1208</v>
      </c>
      <c r="B636" s="12" t="s">
        <v>1971</v>
      </c>
      <c r="C636" s="12" t="s">
        <v>1972</v>
      </c>
      <c r="D636" s="12" t="s">
        <v>1974</v>
      </c>
      <c r="E636" s="20">
        <v>31561</v>
      </c>
      <c r="F636" s="20">
        <v>44151</v>
      </c>
      <c r="G636" s="12">
        <v>57.36</v>
      </c>
      <c r="H636" s="12">
        <v>13.6666666666667</v>
      </c>
      <c r="I636" s="13">
        <v>4.1970731707317102</v>
      </c>
      <c r="J636" s="12" t="s">
        <v>1208</v>
      </c>
      <c r="K636" s="14">
        <v>490</v>
      </c>
      <c r="L636" s="14">
        <v>625</v>
      </c>
      <c r="M636" s="14">
        <v>462</v>
      </c>
      <c r="N636" s="12">
        <v>57.36</v>
      </c>
      <c r="O636" s="12" t="s">
        <v>1208</v>
      </c>
      <c r="P636" s="12">
        <v>9.2271312404990005E-3</v>
      </c>
      <c r="Q636" s="12">
        <v>1.9111486915249699E-2</v>
      </c>
      <c r="R636" s="12">
        <v>0.20665322580645201</v>
      </c>
      <c r="S636" s="14">
        <v>36</v>
      </c>
      <c r="T636" s="12">
        <v>1.5404853537218199</v>
      </c>
      <c r="U636" s="14">
        <v>491</v>
      </c>
      <c r="V636" s="14">
        <v>8</v>
      </c>
      <c r="W636" s="12">
        <v>6.1999999999999998E-3</v>
      </c>
      <c r="X636" s="12">
        <v>1.5466853537218199</v>
      </c>
      <c r="Y636" s="14">
        <v>491</v>
      </c>
      <c r="Z636" s="14">
        <v>36</v>
      </c>
      <c r="AA636" s="12" t="s">
        <v>2369</v>
      </c>
    </row>
    <row r="637" spans="1:27" ht="14.25" x14ac:dyDescent="0.45">
      <c r="A637" s="12" t="s">
        <v>1214</v>
      </c>
      <c r="B637" s="12" t="s">
        <v>1971</v>
      </c>
      <c r="C637" s="12" t="s">
        <v>1972</v>
      </c>
      <c r="D637" s="12" t="s">
        <v>1990</v>
      </c>
      <c r="E637" s="20">
        <v>29708</v>
      </c>
      <c r="F637" s="20">
        <v>44337</v>
      </c>
      <c r="G637" s="12">
        <v>0.92</v>
      </c>
      <c r="H637" s="12">
        <v>7.4666666666666703</v>
      </c>
      <c r="I637" s="13">
        <v>0.123214285714286</v>
      </c>
      <c r="J637" s="12" t="s">
        <v>1214</v>
      </c>
      <c r="K637" s="14">
        <v>1451</v>
      </c>
      <c r="L637" s="14">
        <v>1428</v>
      </c>
      <c r="M637" s="14">
        <v>1575</v>
      </c>
      <c r="N637" s="12">
        <v>0.92</v>
      </c>
      <c r="O637" s="12" t="s">
        <v>1214</v>
      </c>
      <c r="P637" s="12">
        <v>1.47994434122369E-4</v>
      </c>
      <c r="Q637" s="12">
        <v>5.6105960354031097E-4</v>
      </c>
      <c r="R637" s="12">
        <v>0.112903225806452</v>
      </c>
      <c r="S637" s="14">
        <v>41</v>
      </c>
      <c r="T637" s="12">
        <v>4.0616016500858297E-2</v>
      </c>
      <c r="U637" s="14">
        <v>1557</v>
      </c>
      <c r="V637" s="14">
        <v>1</v>
      </c>
      <c r="W637" s="12">
        <v>5.4999999999999997E-3</v>
      </c>
      <c r="X637" s="12">
        <v>4.6116016500858302E-2</v>
      </c>
      <c r="Y637" s="14">
        <v>1557</v>
      </c>
      <c r="Z637" s="14">
        <v>41</v>
      </c>
      <c r="AA637" s="12" t="s">
        <v>2369</v>
      </c>
    </row>
    <row r="638" spans="1:27" ht="14.25" x14ac:dyDescent="0.45">
      <c r="A638" s="12" t="s">
        <v>1226</v>
      </c>
      <c r="B638" s="12" t="s">
        <v>1971</v>
      </c>
      <c r="C638" s="12" t="s">
        <v>1972</v>
      </c>
      <c r="D638" s="12" t="s">
        <v>1990</v>
      </c>
      <c r="E638" s="20">
        <v>29662</v>
      </c>
      <c r="F638" s="20">
        <v>44319</v>
      </c>
      <c r="G638" s="12">
        <v>142.97999999999999</v>
      </c>
      <c r="H638" s="12">
        <v>8.06666666666667</v>
      </c>
      <c r="I638" s="13">
        <v>17.724793388429799</v>
      </c>
      <c r="J638" s="12" t="s">
        <v>1226</v>
      </c>
      <c r="K638" s="14">
        <v>155</v>
      </c>
      <c r="L638" s="14">
        <v>1236</v>
      </c>
      <c r="M638" s="14">
        <v>329</v>
      </c>
      <c r="N638" s="12">
        <v>142.97999999999999</v>
      </c>
      <c r="O638" s="12" t="s">
        <v>1226</v>
      </c>
      <c r="P638" s="12">
        <v>2.3000265424800301E-2</v>
      </c>
      <c r="Q638" s="12">
        <v>8.0710329112375995E-2</v>
      </c>
      <c r="R638" s="12">
        <v>0.121975806451613</v>
      </c>
      <c r="S638" s="14">
        <v>41</v>
      </c>
      <c r="T638" s="12">
        <v>5.9069055229535099</v>
      </c>
      <c r="U638" s="14">
        <v>224</v>
      </c>
      <c r="V638" s="14">
        <v>9</v>
      </c>
      <c r="W638" s="12">
        <v>6.3E-3</v>
      </c>
      <c r="X638" s="12">
        <v>5.9132055229535103</v>
      </c>
      <c r="Y638" s="14">
        <v>224</v>
      </c>
      <c r="Z638" s="14">
        <v>41</v>
      </c>
      <c r="AA638" s="12" t="s">
        <v>2369</v>
      </c>
    </row>
    <row r="639" spans="1:27" ht="14.25" x14ac:dyDescent="0.45">
      <c r="A639" s="12" t="s">
        <v>1230</v>
      </c>
      <c r="B639" s="12" t="s">
        <v>1971</v>
      </c>
      <c r="C639" s="12" t="s">
        <v>1972</v>
      </c>
      <c r="D639" s="12" t="s">
        <v>1975</v>
      </c>
      <c r="E639" s="20">
        <v>28733</v>
      </c>
      <c r="F639" s="20">
        <v>44371</v>
      </c>
      <c r="G639" s="12">
        <v>1.05</v>
      </c>
      <c r="H639" s="12">
        <v>6.3333333333333304</v>
      </c>
      <c r="I639" s="13">
        <v>0.16578947368421099</v>
      </c>
      <c r="J639" s="12" t="s">
        <v>1230</v>
      </c>
      <c r="K639" s="14">
        <v>1391</v>
      </c>
      <c r="L639" s="14">
        <v>1557</v>
      </c>
      <c r="M639" s="14">
        <v>1539</v>
      </c>
      <c r="N639" s="12">
        <v>1.05</v>
      </c>
      <c r="O639" s="12" t="s">
        <v>1230</v>
      </c>
      <c r="P639" s="12">
        <v>1.68906691117921E-4</v>
      </c>
      <c r="Q639" s="12">
        <v>7.5492688073616298E-4</v>
      </c>
      <c r="R639" s="12">
        <v>9.5766129032257993E-2</v>
      </c>
      <c r="S639" s="14">
        <v>44</v>
      </c>
      <c r="T639" s="12">
        <v>5.3516930962932197E-2</v>
      </c>
      <c r="U639" s="14">
        <v>1505</v>
      </c>
      <c r="V639" s="14">
        <v>1</v>
      </c>
      <c r="W639" s="12">
        <v>5.4999999999999997E-3</v>
      </c>
      <c r="X639" s="12">
        <v>5.9016930962932201E-2</v>
      </c>
      <c r="Y639" s="14">
        <v>1505</v>
      </c>
      <c r="Z639" s="14">
        <v>43</v>
      </c>
      <c r="AA639" s="12" t="s">
        <v>2369</v>
      </c>
    </row>
    <row r="640" spans="1:27" ht="14.25" x14ac:dyDescent="0.45">
      <c r="A640" s="12" t="s">
        <v>1231</v>
      </c>
      <c r="B640" s="12" t="s">
        <v>1971</v>
      </c>
      <c r="C640" s="12" t="s">
        <v>1972</v>
      </c>
      <c r="D640" s="12" t="s">
        <v>1974</v>
      </c>
      <c r="E640" s="20">
        <v>29264</v>
      </c>
      <c r="F640" s="20">
        <v>44334</v>
      </c>
      <c r="G640" s="12">
        <v>1.61</v>
      </c>
      <c r="H640" s="12">
        <v>7.56666666666667</v>
      </c>
      <c r="I640" s="13">
        <v>0.212775330396476</v>
      </c>
      <c r="J640" s="12" t="s">
        <v>1231</v>
      </c>
      <c r="K640" s="14">
        <v>1331</v>
      </c>
      <c r="L640" s="14">
        <v>1269</v>
      </c>
      <c r="M640" s="14">
        <v>1468</v>
      </c>
      <c r="N640" s="12">
        <v>1.61</v>
      </c>
      <c r="O640" s="12" t="s">
        <v>1231</v>
      </c>
      <c r="P640" s="12">
        <v>2.58990259714145E-4</v>
      </c>
      <c r="Q640" s="12">
        <v>9.6887825809604405E-4</v>
      </c>
      <c r="R640" s="12">
        <v>0.114415322580645</v>
      </c>
      <c r="S640" s="14">
        <v>42</v>
      </c>
      <c r="T640" s="12">
        <v>7.0267025870283203E-2</v>
      </c>
      <c r="U640" s="14">
        <v>1443</v>
      </c>
      <c r="V640" s="14">
        <v>4</v>
      </c>
      <c r="W640" s="12">
        <v>5.7999999999999996E-3</v>
      </c>
      <c r="X640" s="12">
        <v>7.6067025870283203E-2</v>
      </c>
      <c r="Y640" s="14">
        <v>1443</v>
      </c>
      <c r="Z640" s="14">
        <v>42</v>
      </c>
      <c r="AA640" s="12" t="s">
        <v>2369</v>
      </c>
    </row>
    <row r="641" spans="1:27" ht="14.25" x14ac:dyDescent="0.45">
      <c r="A641" s="12" t="s">
        <v>1232</v>
      </c>
      <c r="B641" s="12" t="s">
        <v>1971</v>
      </c>
      <c r="C641" s="12" t="s">
        <v>1972</v>
      </c>
      <c r="D641" s="12" t="s">
        <v>1975</v>
      </c>
      <c r="E641" s="20">
        <v>30098</v>
      </c>
      <c r="F641" s="20">
        <v>44299</v>
      </c>
      <c r="G641" s="12">
        <v>4.38</v>
      </c>
      <c r="H641" s="12">
        <v>8.7333333333333307</v>
      </c>
      <c r="I641" s="13">
        <v>0.50152671755725198</v>
      </c>
      <c r="J641" s="12" t="s">
        <v>1232</v>
      </c>
      <c r="K641" s="14">
        <v>1048</v>
      </c>
      <c r="L641" s="14">
        <v>1164</v>
      </c>
      <c r="M641" s="14">
        <v>1077</v>
      </c>
      <c r="N641" s="12">
        <v>4.38</v>
      </c>
      <c r="O641" s="12" t="s">
        <v>1232</v>
      </c>
      <c r="P641" s="12">
        <v>7.0458219723475602E-4</v>
      </c>
      <c r="Q641" s="12">
        <v>2.28371555851921E-3</v>
      </c>
      <c r="R641" s="12">
        <v>0.132056451612903</v>
      </c>
      <c r="S641" s="14">
        <v>40</v>
      </c>
      <c r="T641" s="12">
        <v>0.16915405480375401</v>
      </c>
      <c r="U641" s="14">
        <v>1108</v>
      </c>
      <c r="V641" s="14">
        <v>1</v>
      </c>
      <c r="W641" s="12">
        <v>5.4999999999999997E-3</v>
      </c>
      <c r="X641" s="12">
        <v>0.17465405480375401</v>
      </c>
      <c r="Y641" s="14">
        <v>1108</v>
      </c>
      <c r="Z641" s="14">
        <v>40</v>
      </c>
      <c r="AA641" s="12" t="s">
        <v>2369</v>
      </c>
    </row>
    <row r="642" spans="1:27" ht="14.25" x14ac:dyDescent="0.45">
      <c r="A642" s="12" t="s">
        <v>1238</v>
      </c>
      <c r="B642" s="12" t="s">
        <v>1971</v>
      </c>
      <c r="C642" s="12" t="s">
        <v>1972</v>
      </c>
      <c r="D642" s="12" t="s">
        <v>1974</v>
      </c>
      <c r="E642" s="20">
        <v>31366</v>
      </c>
      <c r="F642" s="20">
        <v>44370</v>
      </c>
      <c r="G642" s="12">
        <v>3.59</v>
      </c>
      <c r="H642" s="12">
        <v>6.3666666666666698</v>
      </c>
      <c r="I642" s="13">
        <v>0.56387434554973803</v>
      </c>
      <c r="J642" s="12" t="s">
        <v>1238</v>
      </c>
      <c r="K642" s="14">
        <v>1011</v>
      </c>
      <c r="L642" s="14">
        <v>1504</v>
      </c>
      <c r="M642" s="14">
        <v>1159</v>
      </c>
      <c r="N642" s="12">
        <v>3.59</v>
      </c>
      <c r="O642" s="12" t="s">
        <v>1238</v>
      </c>
      <c r="P642" s="12">
        <v>5.7750002010793897E-4</v>
      </c>
      <c r="Q642" s="12">
        <v>2.5676171795070402E-3</v>
      </c>
      <c r="R642" s="12">
        <v>9.6270161290322606E-2</v>
      </c>
      <c r="S642" s="14">
        <v>37</v>
      </c>
      <c r="T642" s="12">
        <v>0.18213232447323799</v>
      </c>
      <c r="U642" s="14">
        <v>1077</v>
      </c>
      <c r="V642" s="14">
        <v>2</v>
      </c>
      <c r="W642" s="12">
        <v>5.5999999999999999E-3</v>
      </c>
      <c r="X642" s="12">
        <v>0.18773232447323801</v>
      </c>
      <c r="Y642" s="14">
        <v>1077</v>
      </c>
      <c r="Z642" s="14">
        <v>36</v>
      </c>
      <c r="AA642" s="12" t="s">
        <v>2369</v>
      </c>
    </row>
    <row r="643" spans="1:27" ht="14.25" x14ac:dyDescent="0.45">
      <c r="A643" s="12" t="s">
        <v>1240</v>
      </c>
      <c r="B643" s="12" t="s">
        <v>1971</v>
      </c>
      <c r="C643" s="12" t="s">
        <v>1972</v>
      </c>
      <c r="D643" s="12" t="s">
        <v>2012</v>
      </c>
      <c r="E643" s="20">
        <v>29010</v>
      </c>
      <c r="F643" s="20">
        <v>44355</v>
      </c>
      <c r="G643" s="12">
        <v>4.26</v>
      </c>
      <c r="H643" s="12">
        <v>6.8666666666666698</v>
      </c>
      <c r="I643" s="13">
        <v>0.62038834951456301</v>
      </c>
      <c r="J643" s="12" t="s">
        <v>1240</v>
      </c>
      <c r="K643" s="14">
        <v>982</v>
      </c>
      <c r="L643" s="14">
        <v>1482</v>
      </c>
      <c r="M643" s="14">
        <v>1091</v>
      </c>
      <c r="N643" s="12">
        <v>4.26</v>
      </c>
      <c r="O643" s="12" t="s">
        <v>1240</v>
      </c>
      <c r="P643" s="12">
        <v>6.8527857539270797E-4</v>
      </c>
      <c r="Q643" s="12">
        <v>2.8249552347103602E-3</v>
      </c>
      <c r="R643" s="12">
        <v>0.10383064516128999</v>
      </c>
      <c r="S643" s="14">
        <v>43</v>
      </c>
      <c r="T643" s="12">
        <v>0.202257648746624</v>
      </c>
      <c r="U643" s="14">
        <v>1041</v>
      </c>
      <c r="V643" s="14">
        <v>1</v>
      </c>
      <c r="W643" s="12">
        <v>5.4999999999999997E-3</v>
      </c>
      <c r="X643" s="12">
        <v>0.207757648746624</v>
      </c>
      <c r="Y643" s="14">
        <v>1041</v>
      </c>
      <c r="Z643" s="14">
        <v>43</v>
      </c>
      <c r="AA643" s="12" t="s">
        <v>2369</v>
      </c>
    </row>
    <row r="644" spans="1:27" ht="14.25" x14ac:dyDescent="0.45">
      <c r="A644" s="12" t="s">
        <v>1249</v>
      </c>
      <c r="B644" s="12" t="s">
        <v>1971</v>
      </c>
      <c r="C644" s="12" t="s">
        <v>1972</v>
      </c>
      <c r="D644" s="12" t="s">
        <v>1974</v>
      </c>
      <c r="E644" s="20">
        <v>31551</v>
      </c>
      <c r="F644" s="20">
        <v>44264</v>
      </c>
      <c r="G644" s="12">
        <v>1.43</v>
      </c>
      <c r="H644" s="12">
        <v>9.9</v>
      </c>
      <c r="I644" s="13">
        <v>0.14444444444444399</v>
      </c>
      <c r="J644" s="12" t="s">
        <v>1249</v>
      </c>
      <c r="K644" s="14">
        <v>1421</v>
      </c>
      <c r="L644" s="14">
        <v>969</v>
      </c>
      <c r="M644" s="14">
        <v>1485</v>
      </c>
      <c r="N644" s="12">
        <v>1.43</v>
      </c>
      <c r="O644" s="12" t="s">
        <v>1249</v>
      </c>
      <c r="P644" s="12">
        <v>2.3003482695107299E-4</v>
      </c>
      <c r="Q644" s="12">
        <v>6.5773170914226503E-4</v>
      </c>
      <c r="R644" s="12">
        <v>0.149697580645161</v>
      </c>
      <c r="S644" s="14">
        <v>36</v>
      </c>
      <c r="T644" s="12">
        <v>4.9734537832056801E-2</v>
      </c>
      <c r="U644" s="14">
        <v>1521</v>
      </c>
      <c r="V644" s="14">
        <v>1</v>
      </c>
      <c r="W644" s="12">
        <v>5.4999999999999997E-3</v>
      </c>
      <c r="X644" s="12">
        <v>5.5234537832056799E-2</v>
      </c>
      <c r="Y644" s="14">
        <v>1521</v>
      </c>
      <c r="Z644" s="14">
        <v>36</v>
      </c>
      <c r="AA644" s="12" t="s">
        <v>2369</v>
      </c>
    </row>
    <row r="645" spans="1:27" ht="14.25" x14ac:dyDescent="0.45">
      <c r="A645" s="12" t="s">
        <v>1260</v>
      </c>
      <c r="B645" s="12" t="s">
        <v>1971</v>
      </c>
      <c r="C645" s="12" t="s">
        <v>1972</v>
      </c>
      <c r="D645" s="12" t="s">
        <v>1990</v>
      </c>
      <c r="E645" s="20">
        <v>29794</v>
      </c>
      <c r="F645" s="20">
        <v>44292</v>
      </c>
      <c r="G645" s="12">
        <v>3.82</v>
      </c>
      <c r="H645" s="12">
        <v>8.9666666666666703</v>
      </c>
      <c r="I645" s="13">
        <v>0.42602230483271403</v>
      </c>
      <c r="J645" s="12" t="s">
        <v>1260</v>
      </c>
      <c r="K645" s="14">
        <v>1121</v>
      </c>
      <c r="L645" s="14">
        <v>1150</v>
      </c>
      <c r="M645" s="14">
        <v>1137</v>
      </c>
      <c r="N645" s="12">
        <v>3.82</v>
      </c>
      <c r="O645" s="12" t="s">
        <v>1260</v>
      </c>
      <c r="P645" s="12">
        <v>6.1449862863853098E-4</v>
      </c>
      <c r="Q645" s="12">
        <v>1.9399041601639499E-3</v>
      </c>
      <c r="R645" s="12">
        <v>0.13558467741935501</v>
      </c>
      <c r="S645" s="14">
        <v>41</v>
      </c>
      <c r="T645" s="12">
        <v>0.14428770858419199</v>
      </c>
      <c r="U645" s="14">
        <v>1174</v>
      </c>
      <c r="V645" s="14">
        <v>1</v>
      </c>
      <c r="W645" s="12">
        <v>5.4999999999999997E-3</v>
      </c>
      <c r="X645" s="12">
        <v>0.14978770858419199</v>
      </c>
      <c r="Y645" s="14">
        <v>1175</v>
      </c>
      <c r="Z645" s="14">
        <v>40</v>
      </c>
      <c r="AA645" s="12" t="s">
        <v>2369</v>
      </c>
    </row>
    <row r="646" spans="1:27" ht="14.25" x14ac:dyDescent="0.45">
      <c r="A646" s="12" t="s">
        <v>1264</v>
      </c>
      <c r="B646" s="12" t="s">
        <v>1971</v>
      </c>
      <c r="C646" s="12" t="s">
        <v>1972</v>
      </c>
      <c r="D646" s="12" t="s">
        <v>2072</v>
      </c>
      <c r="E646" s="20">
        <v>31704</v>
      </c>
      <c r="F646" s="20">
        <v>44326</v>
      </c>
      <c r="G646" s="12">
        <v>3.4</v>
      </c>
      <c r="H646" s="12">
        <v>7.8333333333333304</v>
      </c>
      <c r="I646" s="13">
        <v>0.43404255319148899</v>
      </c>
      <c r="J646" s="12" t="s">
        <v>1264</v>
      </c>
      <c r="K646" s="14">
        <v>1112</v>
      </c>
      <c r="L646" s="14">
        <v>1244</v>
      </c>
      <c r="M646" s="14">
        <v>1186</v>
      </c>
      <c r="N646" s="12">
        <v>3.4</v>
      </c>
      <c r="O646" s="12" t="s">
        <v>1264</v>
      </c>
      <c r="P646" s="12">
        <v>5.46935952191363E-4</v>
      </c>
      <c r="Q646" s="12">
        <v>1.9764245793538401E-3</v>
      </c>
      <c r="R646" s="12">
        <v>0.118447580645161</v>
      </c>
      <c r="S646" s="14">
        <v>36</v>
      </c>
      <c r="T646" s="12">
        <v>0.14403663441679099</v>
      </c>
      <c r="U646" s="14">
        <v>1177</v>
      </c>
      <c r="V646" s="14">
        <v>1</v>
      </c>
      <c r="W646" s="12">
        <v>5.4999999999999997E-3</v>
      </c>
      <c r="X646" s="12">
        <v>0.14953663441679099</v>
      </c>
      <c r="Y646" s="14">
        <v>1177</v>
      </c>
      <c r="Z646" s="14">
        <v>35</v>
      </c>
      <c r="AA646" s="12" t="s">
        <v>2369</v>
      </c>
    </row>
    <row r="647" spans="1:27" ht="14.25" x14ac:dyDescent="0.45">
      <c r="A647" s="12" t="s">
        <v>1268</v>
      </c>
      <c r="B647" s="12" t="s">
        <v>1971</v>
      </c>
      <c r="C647" s="12" t="s">
        <v>1972</v>
      </c>
      <c r="D647" s="12" t="s">
        <v>1975</v>
      </c>
      <c r="E647" s="20">
        <v>31313</v>
      </c>
      <c r="F647" s="20">
        <v>44335</v>
      </c>
      <c r="G647" s="12">
        <v>0.52</v>
      </c>
      <c r="H647" s="12">
        <v>7.5333333333333297</v>
      </c>
      <c r="I647" s="13">
        <v>6.9026548672566398E-2</v>
      </c>
      <c r="J647" s="12" t="s">
        <v>1268</v>
      </c>
      <c r="K647" s="14">
        <v>1566</v>
      </c>
      <c r="L647" s="14">
        <v>1332</v>
      </c>
      <c r="M647" s="14">
        <v>1684</v>
      </c>
      <c r="N647" s="12">
        <v>0.52</v>
      </c>
      <c r="O647" s="12" t="s">
        <v>1268</v>
      </c>
      <c r="P647" s="12">
        <v>8.3649027982208495E-5</v>
      </c>
      <c r="Q647" s="12">
        <v>3.1431426808568402E-4</v>
      </c>
      <c r="R647" s="12">
        <v>0.113911290322581</v>
      </c>
      <c r="S647" s="14">
        <v>37</v>
      </c>
      <c r="T647" s="12">
        <v>2.2781480304688101E-2</v>
      </c>
      <c r="U647" s="14">
        <v>1665</v>
      </c>
      <c r="V647" s="14">
        <v>1</v>
      </c>
      <c r="W647" s="12">
        <v>5.4999999999999997E-3</v>
      </c>
      <c r="X647" s="12">
        <v>2.8281480304688099E-2</v>
      </c>
      <c r="Y647" s="14">
        <v>1665</v>
      </c>
      <c r="Z647" s="14">
        <v>36</v>
      </c>
      <c r="AA647" s="12" t="s">
        <v>2369</v>
      </c>
    </row>
    <row r="648" spans="1:27" ht="14.25" x14ac:dyDescent="0.45">
      <c r="A648" s="12" t="s">
        <v>1275</v>
      </c>
      <c r="B648" s="12" t="s">
        <v>1971</v>
      </c>
      <c r="C648" s="12" t="s">
        <v>1972</v>
      </c>
      <c r="D648" s="12" t="s">
        <v>1974</v>
      </c>
      <c r="E648" s="20">
        <v>30545</v>
      </c>
      <c r="F648" s="20">
        <v>44301</v>
      </c>
      <c r="G648" s="12">
        <v>0.06</v>
      </c>
      <c r="H648" s="12">
        <v>8.6666666666666696</v>
      </c>
      <c r="I648" s="13">
        <v>6.9230769230769198E-3</v>
      </c>
      <c r="J648" s="12" t="s">
        <v>1275</v>
      </c>
      <c r="K648" s="14">
        <v>1764</v>
      </c>
      <c r="L648" s="14">
        <v>1179</v>
      </c>
      <c r="M648" s="14">
        <v>1867</v>
      </c>
      <c r="N648" s="12">
        <v>0.06</v>
      </c>
      <c r="O648" s="12" t="s">
        <v>1275</v>
      </c>
      <c r="P648" s="12">
        <v>9.6518109210240504E-6</v>
      </c>
      <c r="Q648" s="12">
        <v>3.1524419195576002E-5</v>
      </c>
      <c r="R648" s="12">
        <v>0.13104838709677399</v>
      </c>
      <c r="S648" s="14">
        <v>39</v>
      </c>
      <c r="T648" s="12">
        <v>2.3322191092618998E-3</v>
      </c>
      <c r="U648" s="14">
        <v>1870</v>
      </c>
      <c r="V648" s="14">
        <v>1</v>
      </c>
      <c r="W648" s="12">
        <v>5.4999999999999997E-3</v>
      </c>
      <c r="X648" s="12">
        <v>7.8322191092618995E-3</v>
      </c>
      <c r="Y648" s="14">
        <v>1870</v>
      </c>
      <c r="Z648" s="14">
        <v>38</v>
      </c>
      <c r="AA648" s="12" t="s">
        <v>2369</v>
      </c>
    </row>
    <row r="649" spans="1:27" ht="14.25" x14ac:dyDescent="0.45">
      <c r="A649" s="12" t="s">
        <v>1289</v>
      </c>
      <c r="B649" s="12" t="s">
        <v>1971</v>
      </c>
      <c r="C649" s="12" t="s">
        <v>1972</v>
      </c>
      <c r="D649" s="12" t="s">
        <v>1993</v>
      </c>
      <c r="E649" s="20">
        <v>31130</v>
      </c>
      <c r="F649" s="20">
        <v>44334</v>
      </c>
      <c r="G649" s="12">
        <v>5.91</v>
      </c>
      <c r="H649" s="12">
        <v>7.56666666666667</v>
      </c>
      <c r="I649" s="13">
        <v>0.78105726872246695</v>
      </c>
      <c r="J649" s="12" t="s">
        <v>1289</v>
      </c>
      <c r="K649" s="14">
        <v>895</v>
      </c>
      <c r="L649" s="14">
        <v>1269</v>
      </c>
      <c r="M649" s="14">
        <v>974</v>
      </c>
      <c r="N649" s="12">
        <v>5.91</v>
      </c>
      <c r="O649" s="12" t="s">
        <v>1289</v>
      </c>
      <c r="P649" s="12">
        <v>9.5070337572086903E-4</v>
      </c>
      <c r="Q649" s="12">
        <v>3.5565655312718102E-3</v>
      </c>
      <c r="R649" s="12">
        <v>0.114415322580645</v>
      </c>
      <c r="S649" s="14">
        <v>37</v>
      </c>
      <c r="T649" s="12">
        <v>0.25793672229402098</v>
      </c>
      <c r="U649" s="14">
        <v>960</v>
      </c>
      <c r="V649" s="14">
        <v>3</v>
      </c>
      <c r="W649" s="12">
        <v>5.7000000000000002E-3</v>
      </c>
      <c r="X649" s="12">
        <v>0.26363672229402102</v>
      </c>
      <c r="Y649" s="14">
        <v>960</v>
      </c>
      <c r="Z649" s="14">
        <v>37</v>
      </c>
      <c r="AA649" s="12" t="s">
        <v>2369</v>
      </c>
    </row>
    <row r="650" spans="1:27" ht="14.25" x14ac:dyDescent="0.45">
      <c r="A650" s="12" t="s">
        <v>1318</v>
      </c>
      <c r="B650" s="12" t="s">
        <v>1971</v>
      </c>
      <c r="C650" s="12" t="s">
        <v>1972</v>
      </c>
      <c r="D650" s="12" t="s">
        <v>1995</v>
      </c>
      <c r="E650" s="20">
        <v>30709</v>
      </c>
      <c r="F650" s="20">
        <v>44337</v>
      </c>
      <c r="G650" s="12">
        <v>2.88</v>
      </c>
      <c r="H650" s="12">
        <v>7.4666666666666703</v>
      </c>
      <c r="I650" s="13">
        <v>0.38571428571428601</v>
      </c>
      <c r="J650" s="12" t="s">
        <v>1318</v>
      </c>
      <c r="K650" s="14">
        <v>1153</v>
      </c>
      <c r="L650" s="14">
        <v>1428</v>
      </c>
      <c r="M650" s="14">
        <v>1241</v>
      </c>
      <c r="N650" s="12">
        <v>2.88</v>
      </c>
      <c r="O650" s="12" t="s">
        <v>1318</v>
      </c>
      <c r="P650" s="12">
        <v>4.6328692420915499E-4</v>
      </c>
      <c r="Q650" s="12">
        <v>1.7563604980392401E-3</v>
      </c>
      <c r="R650" s="12">
        <v>0.112903225806452</v>
      </c>
      <c r="S650" s="14">
        <v>38</v>
      </c>
      <c r="T650" s="12">
        <v>0.127145790785296</v>
      </c>
      <c r="U650" s="14">
        <v>1208</v>
      </c>
      <c r="V650" s="14">
        <v>4</v>
      </c>
      <c r="W650" s="12">
        <v>5.7999999999999996E-3</v>
      </c>
      <c r="X650" s="12">
        <v>0.132945790785296</v>
      </c>
      <c r="Y650" s="14">
        <v>1207</v>
      </c>
      <c r="Z650" s="14">
        <v>38</v>
      </c>
      <c r="AA650" s="12" t="s">
        <v>2369</v>
      </c>
    </row>
    <row r="651" spans="1:27" ht="14.25" x14ac:dyDescent="0.45">
      <c r="A651" s="12" t="s">
        <v>1348</v>
      </c>
      <c r="B651" s="12" t="s">
        <v>1971</v>
      </c>
      <c r="C651" s="12" t="s">
        <v>1972</v>
      </c>
      <c r="D651" s="12" t="s">
        <v>1974</v>
      </c>
      <c r="E651" s="20">
        <v>31164</v>
      </c>
      <c r="F651" s="20">
        <v>44033</v>
      </c>
      <c r="G651" s="12">
        <v>27.27</v>
      </c>
      <c r="H651" s="12">
        <v>17.600000000000001</v>
      </c>
      <c r="I651" s="13">
        <v>1.5494318181818201</v>
      </c>
      <c r="J651" s="12" t="s">
        <v>1348</v>
      </c>
      <c r="K651" s="14">
        <v>725</v>
      </c>
      <c r="L651" s="14">
        <v>458</v>
      </c>
      <c r="M651" s="14">
        <v>669</v>
      </c>
      <c r="N651" s="12">
        <v>27.27</v>
      </c>
      <c r="O651" s="12" t="s">
        <v>1348</v>
      </c>
      <c r="P651" s="12">
        <v>4.3867480636054302E-3</v>
      </c>
      <c r="Q651" s="12">
        <v>7.0553799551916997E-3</v>
      </c>
      <c r="R651" s="12">
        <v>0.266129032258065</v>
      </c>
      <c r="S651" s="14">
        <v>37</v>
      </c>
      <c r="T651" s="12">
        <v>0.60546429958468495</v>
      </c>
      <c r="U651" s="14">
        <v>750</v>
      </c>
      <c r="V651" s="14">
        <v>2</v>
      </c>
      <c r="W651" s="12">
        <v>5.5999999999999999E-3</v>
      </c>
      <c r="X651" s="12">
        <v>0.611064299584685</v>
      </c>
      <c r="Y651" s="14">
        <v>750</v>
      </c>
      <c r="Z651" s="14">
        <v>37</v>
      </c>
      <c r="AA651" s="12" t="s">
        <v>2369</v>
      </c>
    </row>
    <row r="652" spans="1:27" ht="14.25" x14ac:dyDescent="0.45">
      <c r="A652" s="12" t="s">
        <v>1356</v>
      </c>
      <c r="B652" s="12" t="s">
        <v>1971</v>
      </c>
      <c r="C652" s="12" t="s">
        <v>1972</v>
      </c>
      <c r="D652" s="12" t="s">
        <v>1993</v>
      </c>
      <c r="E652" s="20">
        <v>31117</v>
      </c>
      <c r="F652" s="20">
        <v>44370</v>
      </c>
      <c r="G652" s="12">
        <v>5.36</v>
      </c>
      <c r="H652" s="12">
        <v>6.3666666666666698</v>
      </c>
      <c r="I652" s="13">
        <v>0.84188481675392701</v>
      </c>
      <c r="J652" s="12" t="s">
        <v>1356</v>
      </c>
      <c r="K652" s="14">
        <v>876</v>
      </c>
      <c r="L652" s="14">
        <v>1504</v>
      </c>
      <c r="M652" s="14">
        <v>1009</v>
      </c>
      <c r="N652" s="12">
        <v>5.36</v>
      </c>
      <c r="O652" s="12" t="s">
        <v>1356</v>
      </c>
      <c r="P652" s="12">
        <v>8.6222844227814904E-4</v>
      </c>
      <c r="Q652" s="12">
        <v>3.8335454267848798E-3</v>
      </c>
      <c r="R652" s="12">
        <v>9.6270161290322606E-2</v>
      </c>
      <c r="S652" s="14">
        <v>37</v>
      </c>
      <c r="T652" s="12">
        <v>0.27193015575948598</v>
      </c>
      <c r="U652" s="14">
        <v>945</v>
      </c>
      <c r="V652" s="14">
        <v>2</v>
      </c>
      <c r="W652" s="12">
        <v>5.5999999999999999E-3</v>
      </c>
      <c r="X652" s="12">
        <v>0.27753015575948597</v>
      </c>
      <c r="Y652" s="14">
        <v>945</v>
      </c>
      <c r="Z652" s="14">
        <v>37</v>
      </c>
      <c r="AA652" s="12" t="s">
        <v>2369</v>
      </c>
    </row>
    <row r="653" spans="1:27" ht="14.25" x14ac:dyDescent="0.45">
      <c r="A653" s="12" t="s">
        <v>1368</v>
      </c>
      <c r="B653" s="12" t="s">
        <v>1971</v>
      </c>
      <c r="C653" s="12" t="s">
        <v>1972</v>
      </c>
      <c r="D653" s="12" t="s">
        <v>1975</v>
      </c>
      <c r="E653" s="20">
        <v>31604</v>
      </c>
      <c r="F653" s="20">
        <v>44372</v>
      </c>
      <c r="G653" s="12">
        <v>4.58</v>
      </c>
      <c r="H653" s="12">
        <v>6.3</v>
      </c>
      <c r="I653" s="13">
        <v>0.72698412698412695</v>
      </c>
      <c r="J653" s="12" t="s">
        <v>1368</v>
      </c>
      <c r="K653" s="14">
        <v>921</v>
      </c>
      <c r="L653" s="14">
        <v>1606</v>
      </c>
      <c r="M653" s="14">
        <v>1062</v>
      </c>
      <c r="N653" s="12">
        <v>4.58</v>
      </c>
      <c r="O653" s="12" t="s">
        <v>1368</v>
      </c>
      <c r="P653" s="12">
        <v>7.3675490030483605E-4</v>
      </c>
      <c r="Q653" s="12">
        <v>3.3103420086500802E-3</v>
      </c>
      <c r="R653" s="12">
        <v>9.5262096774193505E-2</v>
      </c>
      <c r="S653" s="14">
        <v>36</v>
      </c>
      <c r="T653" s="12">
        <v>0.234524684302061</v>
      </c>
      <c r="U653" s="14">
        <v>991</v>
      </c>
      <c r="V653" s="14">
        <v>1</v>
      </c>
      <c r="W653" s="12">
        <v>5.4999999999999997E-3</v>
      </c>
      <c r="X653" s="12">
        <v>0.240024684302061</v>
      </c>
      <c r="Y653" s="14">
        <v>991</v>
      </c>
      <c r="Z653" s="14">
        <v>36</v>
      </c>
      <c r="AA653" s="12" t="s">
        <v>2369</v>
      </c>
    </row>
    <row r="654" spans="1:27" ht="14.25" x14ac:dyDescent="0.45">
      <c r="A654" s="12" t="s">
        <v>1390</v>
      </c>
      <c r="B654" s="12" t="s">
        <v>1971</v>
      </c>
      <c r="C654" s="12" t="s">
        <v>1972</v>
      </c>
      <c r="D654" s="12" t="s">
        <v>2026</v>
      </c>
      <c r="E654" s="20">
        <v>28342</v>
      </c>
      <c r="F654" s="20">
        <v>44337</v>
      </c>
      <c r="G654" s="12">
        <v>6.12</v>
      </c>
      <c r="H654" s="12">
        <v>7.4666666666666703</v>
      </c>
      <c r="I654" s="13">
        <v>0.81964285714285701</v>
      </c>
      <c r="J654" s="12" t="s">
        <v>1390</v>
      </c>
      <c r="K654" s="14">
        <v>886</v>
      </c>
      <c r="L654" s="14">
        <v>1428</v>
      </c>
      <c r="M654" s="14">
        <v>956</v>
      </c>
      <c r="N654" s="12">
        <v>6.12</v>
      </c>
      <c r="O654" s="12" t="s">
        <v>1390</v>
      </c>
      <c r="P654" s="12">
        <v>9.84484713944454E-4</v>
      </c>
      <c r="Q654" s="12">
        <v>3.7322660583333799E-3</v>
      </c>
      <c r="R654" s="12">
        <v>0.112903225806452</v>
      </c>
      <c r="S654" s="14">
        <v>45</v>
      </c>
      <c r="T654" s="12">
        <v>0.270184805418753</v>
      </c>
      <c r="U654" s="14">
        <v>947</v>
      </c>
      <c r="V654" s="14">
        <v>2</v>
      </c>
      <c r="W654" s="12">
        <v>5.5999999999999999E-3</v>
      </c>
      <c r="X654" s="12">
        <v>0.275784805418753</v>
      </c>
      <c r="Y654" s="14">
        <v>947</v>
      </c>
      <c r="Z654" s="14">
        <v>44</v>
      </c>
      <c r="AA654" s="12" t="s">
        <v>2369</v>
      </c>
    </row>
    <row r="655" spans="1:27" ht="14.25" x14ac:dyDescent="0.45">
      <c r="A655" s="12" t="s">
        <v>1400</v>
      </c>
      <c r="B655" s="12" t="s">
        <v>1971</v>
      </c>
      <c r="C655" s="12" t="s">
        <v>1972</v>
      </c>
      <c r="D655" s="12" t="s">
        <v>1973</v>
      </c>
      <c r="E655" s="20">
        <v>31533</v>
      </c>
      <c r="F655" s="20">
        <v>44336</v>
      </c>
      <c r="G655" s="12">
        <v>6.51</v>
      </c>
      <c r="H655" s="12">
        <v>7.5</v>
      </c>
      <c r="I655" s="13">
        <v>0.86799999999999999</v>
      </c>
      <c r="J655" s="12" t="s">
        <v>1400</v>
      </c>
      <c r="K655" s="14">
        <v>868</v>
      </c>
      <c r="L655" s="14">
        <v>1377</v>
      </c>
      <c r="M655" s="14">
        <v>937</v>
      </c>
      <c r="N655" s="12">
        <v>6.51</v>
      </c>
      <c r="O655" s="12" t="s">
        <v>1400</v>
      </c>
      <c r="P655" s="12">
        <v>1.0472214849311099E-3</v>
      </c>
      <c r="Q655" s="12">
        <v>3.9524616244764402E-3</v>
      </c>
      <c r="R655" s="12">
        <v>0.113407258064516</v>
      </c>
      <c r="S655" s="14">
        <v>36</v>
      </c>
      <c r="T655" s="12">
        <v>0.28629965721469403</v>
      </c>
      <c r="U655" s="14">
        <v>932</v>
      </c>
      <c r="V655" s="14">
        <v>2</v>
      </c>
      <c r="W655" s="12">
        <v>5.5999999999999999E-3</v>
      </c>
      <c r="X655" s="12">
        <v>0.29189965721469402</v>
      </c>
      <c r="Y655" s="14">
        <v>932</v>
      </c>
      <c r="Z655" s="14">
        <v>36</v>
      </c>
      <c r="AA655" s="12" t="s">
        <v>2369</v>
      </c>
    </row>
    <row r="656" spans="1:27" ht="14.25" x14ac:dyDescent="0.45">
      <c r="A656" s="12" t="s">
        <v>1401</v>
      </c>
      <c r="B656" s="12" t="s">
        <v>1971</v>
      </c>
      <c r="C656" s="12" t="s">
        <v>1972</v>
      </c>
      <c r="D656" s="12" t="s">
        <v>1990</v>
      </c>
      <c r="E656" s="20">
        <v>29611</v>
      </c>
      <c r="F656" s="20">
        <v>44337</v>
      </c>
      <c r="G656" s="12">
        <v>1.29</v>
      </c>
      <c r="H656" s="12">
        <v>7.4666666666666703</v>
      </c>
      <c r="I656" s="13">
        <v>0.172767857142857</v>
      </c>
      <c r="J656" s="12" t="s">
        <v>1401</v>
      </c>
      <c r="K656" s="14">
        <v>1378</v>
      </c>
      <c r="L656" s="14">
        <v>1428</v>
      </c>
      <c r="M656" s="14">
        <v>1506</v>
      </c>
      <c r="N656" s="12">
        <v>1.29</v>
      </c>
      <c r="O656" s="12" t="s">
        <v>1401</v>
      </c>
      <c r="P656" s="12">
        <v>2.0751393480201701E-4</v>
      </c>
      <c r="Q656" s="12">
        <v>7.8670313974674101E-4</v>
      </c>
      <c r="R656" s="12">
        <v>0.112903225806452</v>
      </c>
      <c r="S656" s="14">
        <v>41</v>
      </c>
      <c r="T656" s="12">
        <v>5.6950718789246901E-2</v>
      </c>
      <c r="U656" s="14">
        <v>1492</v>
      </c>
      <c r="V656" s="14">
        <v>2</v>
      </c>
      <c r="W656" s="12">
        <v>5.5999999999999999E-3</v>
      </c>
      <c r="X656" s="12">
        <v>6.2550718789247006E-2</v>
      </c>
      <c r="Y656" s="14">
        <v>1492</v>
      </c>
      <c r="Z656" s="14">
        <v>41</v>
      </c>
      <c r="AA656" s="12" t="s">
        <v>2369</v>
      </c>
    </row>
    <row r="657" spans="1:27" ht="14.25" x14ac:dyDescent="0.45">
      <c r="A657" s="12" t="s">
        <v>1405</v>
      </c>
      <c r="B657" s="12" t="s">
        <v>1971</v>
      </c>
      <c r="C657" s="12" t="s">
        <v>1972</v>
      </c>
      <c r="D657" s="12" t="s">
        <v>1993</v>
      </c>
      <c r="E657" s="20">
        <v>30963</v>
      </c>
      <c r="F657" s="20">
        <v>44370</v>
      </c>
      <c r="G657" s="12">
        <v>3</v>
      </c>
      <c r="H657" s="12">
        <v>6.3666666666666698</v>
      </c>
      <c r="I657" s="13">
        <v>0.471204188481675</v>
      </c>
      <c r="J657" s="12" t="s">
        <v>1405</v>
      </c>
      <c r="K657" s="14">
        <v>1076</v>
      </c>
      <c r="L657" s="14">
        <v>1504</v>
      </c>
      <c r="M657" s="14">
        <v>1221</v>
      </c>
      <c r="N657" s="12">
        <v>3</v>
      </c>
      <c r="O657" s="12" t="s">
        <v>1405</v>
      </c>
      <c r="P657" s="12">
        <v>4.8259054605120298E-4</v>
      </c>
      <c r="Q657" s="12">
        <v>2.1456410970810899E-3</v>
      </c>
      <c r="R657" s="12">
        <v>9.6270161290322606E-2</v>
      </c>
      <c r="S657" s="14">
        <v>38</v>
      </c>
      <c r="T657" s="12">
        <v>0.15219971404448801</v>
      </c>
      <c r="U657" s="14">
        <v>1150</v>
      </c>
      <c r="V657" s="14">
        <v>1</v>
      </c>
      <c r="W657" s="12">
        <v>5.4999999999999997E-3</v>
      </c>
      <c r="X657" s="12">
        <v>0.15769971404448799</v>
      </c>
      <c r="Y657" s="14">
        <v>1150</v>
      </c>
      <c r="Z657" s="14">
        <v>37</v>
      </c>
      <c r="AA657" s="12" t="s">
        <v>2369</v>
      </c>
    </row>
    <row r="658" spans="1:27" ht="14.25" x14ac:dyDescent="0.45">
      <c r="A658" s="12" t="s">
        <v>1412</v>
      </c>
      <c r="B658" s="12" t="s">
        <v>1971</v>
      </c>
      <c r="C658" s="12" t="s">
        <v>1972</v>
      </c>
      <c r="D658" s="12" t="s">
        <v>1990</v>
      </c>
      <c r="E658" s="20">
        <v>28856</v>
      </c>
      <c r="F658" s="20">
        <v>44280</v>
      </c>
      <c r="G658" s="12">
        <v>0.39</v>
      </c>
      <c r="H658" s="12">
        <v>9.3666666666666707</v>
      </c>
      <c r="I658" s="13">
        <v>4.1637010676156598E-2</v>
      </c>
      <c r="J658" s="12" t="s">
        <v>1412</v>
      </c>
      <c r="K658" s="14">
        <v>1625</v>
      </c>
      <c r="L658" s="14">
        <v>1063</v>
      </c>
      <c r="M658" s="14">
        <v>1714</v>
      </c>
      <c r="N658" s="12">
        <v>0.39</v>
      </c>
      <c r="O658" s="12" t="s">
        <v>1412</v>
      </c>
      <c r="P658" s="12">
        <v>6.2736770986656398E-5</v>
      </c>
      <c r="Q658" s="12">
        <v>1.8959526135417599E-4</v>
      </c>
      <c r="R658" s="12">
        <v>0.141633064516129</v>
      </c>
      <c r="S658" s="14">
        <v>43</v>
      </c>
      <c r="T658" s="12">
        <v>1.42023327466356E-2</v>
      </c>
      <c r="U658" s="14">
        <v>1724</v>
      </c>
      <c r="V658" s="14">
        <v>1</v>
      </c>
      <c r="W658" s="12">
        <v>5.4999999999999997E-3</v>
      </c>
      <c r="X658" s="12">
        <v>1.97023327466356E-2</v>
      </c>
      <c r="Y658" s="14">
        <v>1724</v>
      </c>
      <c r="Z658" s="14">
        <v>43</v>
      </c>
      <c r="AA658" s="12" t="s">
        <v>2369</v>
      </c>
    </row>
    <row r="659" spans="1:27" ht="14.25" x14ac:dyDescent="0.45">
      <c r="A659" s="12" t="s">
        <v>1413</v>
      </c>
      <c r="B659" s="12" t="s">
        <v>1971</v>
      </c>
      <c r="C659" s="12" t="s">
        <v>1972</v>
      </c>
      <c r="D659" s="12" t="s">
        <v>2091</v>
      </c>
      <c r="E659" s="20">
        <v>30288</v>
      </c>
      <c r="F659" s="20">
        <v>44200</v>
      </c>
      <c r="G659" s="12">
        <v>174.93</v>
      </c>
      <c r="H659" s="12">
        <v>12.033333333333299</v>
      </c>
      <c r="I659" s="13">
        <v>14.5371191135734</v>
      </c>
      <c r="J659" s="12" t="s">
        <v>1413</v>
      </c>
      <c r="K659" s="14">
        <v>197</v>
      </c>
      <c r="L659" s="14">
        <v>767</v>
      </c>
      <c r="M659" s="14">
        <v>306</v>
      </c>
      <c r="N659" s="12">
        <v>174.93</v>
      </c>
      <c r="O659" s="12" t="s">
        <v>1413</v>
      </c>
      <c r="P659" s="12">
        <v>2.81398547402456E-2</v>
      </c>
      <c r="Q659" s="12">
        <v>6.6195167542444602E-2</v>
      </c>
      <c r="R659" s="12">
        <v>0.18195564516129001</v>
      </c>
      <c r="S659" s="14">
        <v>40</v>
      </c>
      <c r="T659" s="12">
        <v>5.1924425241619998</v>
      </c>
      <c r="U659" s="14">
        <v>252</v>
      </c>
      <c r="V659" s="14">
        <v>3</v>
      </c>
      <c r="W659" s="12">
        <v>5.7000000000000002E-3</v>
      </c>
      <c r="X659" s="12">
        <v>5.1981425241619998</v>
      </c>
      <c r="Y659" s="14">
        <v>252</v>
      </c>
      <c r="Z659" s="14">
        <v>39</v>
      </c>
      <c r="AA659" s="12" t="s">
        <v>2369</v>
      </c>
    </row>
    <row r="660" spans="1:27" ht="14.25" x14ac:dyDescent="0.45">
      <c r="A660" s="12" t="s">
        <v>1424</v>
      </c>
      <c r="B660" s="12" t="s">
        <v>1971</v>
      </c>
      <c r="C660" s="12" t="s">
        <v>1972</v>
      </c>
      <c r="D660" s="12" t="s">
        <v>1974</v>
      </c>
      <c r="E660" s="20">
        <v>28901</v>
      </c>
      <c r="F660" s="20">
        <v>44335</v>
      </c>
      <c r="G660" s="12">
        <v>2.2000000000000002</v>
      </c>
      <c r="H660" s="12">
        <v>7.5333333333333297</v>
      </c>
      <c r="I660" s="13">
        <v>0.29203539823008901</v>
      </c>
      <c r="J660" s="12" t="s">
        <v>1424</v>
      </c>
      <c r="K660" s="14">
        <v>1231</v>
      </c>
      <c r="L660" s="14">
        <v>1332</v>
      </c>
      <c r="M660" s="14">
        <v>1321</v>
      </c>
      <c r="N660" s="12">
        <v>2.2000000000000002</v>
      </c>
      <c r="O660" s="12" t="s">
        <v>1424</v>
      </c>
      <c r="P660" s="12">
        <v>3.5389973377088202E-4</v>
      </c>
      <c r="Q660" s="12">
        <v>1.3297911342086599E-3</v>
      </c>
      <c r="R660" s="12">
        <v>0.113911290322581</v>
      </c>
      <c r="S660" s="14">
        <v>43</v>
      </c>
      <c r="T660" s="12">
        <v>9.6383185904449595E-2</v>
      </c>
      <c r="U660" s="14">
        <v>1299</v>
      </c>
      <c r="V660" s="14">
        <v>1</v>
      </c>
      <c r="W660" s="12">
        <v>5.4999999999999997E-3</v>
      </c>
      <c r="X660" s="12">
        <v>0.10188318590445</v>
      </c>
      <c r="Y660" s="14">
        <v>1299</v>
      </c>
      <c r="Z660" s="14">
        <v>43</v>
      </c>
      <c r="AA660" s="12" t="s">
        <v>2369</v>
      </c>
    </row>
    <row r="661" spans="1:27" ht="14.25" x14ac:dyDescent="0.45">
      <c r="A661" s="12" t="s">
        <v>1431</v>
      </c>
      <c r="B661" s="12" t="s">
        <v>1971</v>
      </c>
      <c r="C661" s="12" t="s">
        <v>1972</v>
      </c>
      <c r="D661" s="12" t="s">
        <v>1974</v>
      </c>
      <c r="E661" s="20">
        <v>30413</v>
      </c>
      <c r="F661" s="20">
        <v>44067</v>
      </c>
      <c r="G661" s="12">
        <v>25.52</v>
      </c>
      <c r="H661" s="12">
        <v>16.466666666666701</v>
      </c>
      <c r="I661" s="13">
        <v>1.5497975708502001</v>
      </c>
      <c r="J661" s="12" t="s">
        <v>1431</v>
      </c>
      <c r="K661" s="14">
        <v>724</v>
      </c>
      <c r="L661" s="14">
        <v>474</v>
      </c>
      <c r="M661" s="14">
        <v>680</v>
      </c>
      <c r="N661" s="12">
        <v>25.52</v>
      </c>
      <c r="O661" s="12" t="s">
        <v>1431</v>
      </c>
      <c r="P661" s="12">
        <v>4.1052369117422303E-3</v>
      </c>
      <c r="Q661" s="12">
        <v>7.0570454199219302E-3</v>
      </c>
      <c r="R661" s="12">
        <v>0.248991935483871</v>
      </c>
      <c r="S661" s="14">
        <v>39</v>
      </c>
      <c r="T661" s="12">
        <v>0.59501172293545401</v>
      </c>
      <c r="U661" s="14">
        <v>753</v>
      </c>
      <c r="V661" s="14">
        <v>1</v>
      </c>
      <c r="W661" s="12">
        <v>5.4999999999999997E-3</v>
      </c>
      <c r="X661" s="12">
        <v>0.60051172293545396</v>
      </c>
      <c r="Y661" s="14">
        <v>753</v>
      </c>
      <c r="Z661" s="14">
        <v>39</v>
      </c>
      <c r="AA661" s="12" t="s">
        <v>2369</v>
      </c>
    </row>
    <row r="662" spans="1:27" ht="14.25" x14ac:dyDescent="0.45">
      <c r="A662" s="12" t="s">
        <v>1432</v>
      </c>
      <c r="B662" s="12" t="s">
        <v>1971</v>
      </c>
      <c r="C662" s="12" t="s">
        <v>1972</v>
      </c>
      <c r="D662" s="12" t="s">
        <v>1975</v>
      </c>
      <c r="E662" s="20">
        <v>29777</v>
      </c>
      <c r="F662" s="20">
        <v>44151</v>
      </c>
      <c r="G662" s="12">
        <v>2.46</v>
      </c>
      <c r="H662" s="12">
        <v>13.6666666666667</v>
      </c>
      <c r="I662" s="13">
        <v>0.18</v>
      </c>
      <c r="J662" s="12" t="s">
        <v>1432</v>
      </c>
      <c r="K662" s="14">
        <v>1370</v>
      </c>
      <c r="L662" s="14">
        <v>625</v>
      </c>
      <c r="M662" s="14">
        <v>1282</v>
      </c>
      <c r="N662" s="12">
        <v>2.46</v>
      </c>
      <c r="O662" s="12" t="s">
        <v>1432</v>
      </c>
      <c r="P662" s="12">
        <v>3.9572424776198602E-4</v>
      </c>
      <c r="Q662" s="12">
        <v>8.1963489908497603E-4</v>
      </c>
      <c r="R662" s="12">
        <v>0.20665322580645201</v>
      </c>
      <c r="S662" s="14">
        <v>41</v>
      </c>
      <c r="T662" s="12">
        <v>6.6066840483885503E-2</v>
      </c>
      <c r="U662" s="14">
        <v>1459</v>
      </c>
      <c r="V662" s="14">
        <v>1</v>
      </c>
      <c r="W662" s="12">
        <v>5.4999999999999997E-3</v>
      </c>
      <c r="X662" s="12">
        <v>7.1566840483885494E-2</v>
      </c>
      <c r="Y662" s="14">
        <v>1459</v>
      </c>
      <c r="Z662" s="14">
        <v>41</v>
      </c>
      <c r="AA662" s="12" t="s">
        <v>2369</v>
      </c>
    </row>
    <row r="663" spans="1:27" ht="14.25" x14ac:dyDescent="0.45">
      <c r="A663" s="12" t="s">
        <v>1436</v>
      </c>
      <c r="B663" s="12" t="s">
        <v>1971</v>
      </c>
      <c r="C663" s="12" t="s">
        <v>1972</v>
      </c>
      <c r="D663" s="12" t="s">
        <v>1974</v>
      </c>
      <c r="E663" s="20">
        <v>30234</v>
      </c>
      <c r="F663" s="20">
        <v>44370</v>
      </c>
      <c r="G663" s="12">
        <v>5.27</v>
      </c>
      <c r="H663" s="12">
        <v>6.3666666666666698</v>
      </c>
      <c r="I663" s="13">
        <v>0.82774869109947602</v>
      </c>
      <c r="J663" s="12" t="s">
        <v>1436</v>
      </c>
      <c r="K663" s="14">
        <v>883</v>
      </c>
      <c r="L663" s="14">
        <v>1504</v>
      </c>
      <c r="M663" s="14">
        <v>1018</v>
      </c>
      <c r="N663" s="12">
        <v>5.27</v>
      </c>
      <c r="O663" s="12" t="s">
        <v>1436</v>
      </c>
      <c r="P663" s="12">
        <v>8.4775072589661298E-4</v>
      </c>
      <c r="Q663" s="12">
        <v>3.7691761938724502E-3</v>
      </c>
      <c r="R663" s="12">
        <v>9.6270161290322606E-2</v>
      </c>
      <c r="S663" s="14">
        <v>40</v>
      </c>
      <c r="T663" s="12">
        <v>0.26736416433815102</v>
      </c>
      <c r="U663" s="14">
        <v>953</v>
      </c>
      <c r="V663" s="14">
        <v>2</v>
      </c>
      <c r="W663" s="12">
        <v>5.5999999999999999E-3</v>
      </c>
      <c r="X663" s="12">
        <v>0.27296416433815102</v>
      </c>
      <c r="Y663" s="14">
        <v>953</v>
      </c>
      <c r="Z663" s="14">
        <v>39</v>
      </c>
      <c r="AA663" s="12" t="s">
        <v>2369</v>
      </c>
    </row>
    <row r="664" spans="1:27" ht="14.25" x14ac:dyDescent="0.45">
      <c r="A664" s="12" t="s">
        <v>1440</v>
      </c>
      <c r="B664" s="12" t="s">
        <v>1971</v>
      </c>
      <c r="C664" s="12" t="s">
        <v>1972</v>
      </c>
      <c r="D664" s="12" t="s">
        <v>1990</v>
      </c>
      <c r="E664" s="20">
        <v>31642</v>
      </c>
      <c r="F664" s="20">
        <v>44336</v>
      </c>
      <c r="G664" s="12">
        <v>5.42</v>
      </c>
      <c r="H664" s="12">
        <v>7.5</v>
      </c>
      <c r="I664" s="13">
        <v>0.72266666666666701</v>
      </c>
      <c r="J664" s="12" t="s">
        <v>1440</v>
      </c>
      <c r="K664" s="14">
        <v>924</v>
      </c>
      <c r="L664" s="14">
        <v>1377</v>
      </c>
      <c r="M664" s="14">
        <v>1004</v>
      </c>
      <c r="N664" s="12">
        <v>5.42</v>
      </c>
      <c r="O664" s="12" t="s">
        <v>1440</v>
      </c>
      <c r="P664" s="12">
        <v>8.7188025319917301E-4</v>
      </c>
      <c r="Q664" s="12">
        <v>3.2906823355856102E-3</v>
      </c>
      <c r="R664" s="12">
        <v>0.113407258064516</v>
      </c>
      <c r="S664" s="14">
        <v>36</v>
      </c>
      <c r="T664" s="12">
        <v>0.23836315546907</v>
      </c>
      <c r="U664" s="14">
        <v>986</v>
      </c>
      <c r="V664" s="14">
        <v>2</v>
      </c>
      <c r="W664" s="12">
        <v>5.5999999999999999E-3</v>
      </c>
      <c r="X664" s="12">
        <v>0.24396315546906999</v>
      </c>
      <c r="Y664" s="14">
        <v>986</v>
      </c>
      <c r="Z664" s="14">
        <v>35</v>
      </c>
      <c r="AA664" s="12" t="s">
        <v>2369</v>
      </c>
    </row>
    <row r="665" spans="1:27" ht="14.25" x14ac:dyDescent="0.45">
      <c r="A665" s="12" t="s">
        <v>1442</v>
      </c>
      <c r="B665" s="12" t="s">
        <v>1971</v>
      </c>
      <c r="C665" s="12" t="s">
        <v>1972</v>
      </c>
      <c r="D665" s="12" t="s">
        <v>1974</v>
      </c>
      <c r="E665" s="20">
        <v>30803</v>
      </c>
      <c r="F665" s="20">
        <v>44334</v>
      </c>
      <c r="G665" s="12">
        <v>0.9</v>
      </c>
      <c r="H665" s="12">
        <v>7.56666666666667</v>
      </c>
      <c r="I665" s="13">
        <v>0.11894273127753301</v>
      </c>
      <c r="J665" s="12" t="s">
        <v>1442</v>
      </c>
      <c r="K665" s="14">
        <v>1452</v>
      </c>
      <c r="L665" s="14">
        <v>1269</v>
      </c>
      <c r="M665" s="14">
        <v>1578</v>
      </c>
      <c r="N665" s="12">
        <v>0.9</v>
      </c>
      <c r="O665" s="12" t="s">
        <v>1442</v>
      </c>
      <c r="P665" s="12">
        <v>1.44777163815361E-4</v>
      </c>
      <c r="Q665" s="12">
        <v>5.4160896415306799E-4</v>
      </c>
      <c r="R665" s="12">
        <v>0.114415322580645</v>
      </c>
      <c r="S665" s="14">
        <v>38</v>
      </c>
      <c r="T665" s="12">
        <v>3.92797039026428E-2</v>
      </c>
      <c r="U665" s="14">
        <v>1561</v>
      </c>
      <c r="V665" s="14">
        <v>1</v>
      </c>
      <c r="W665" s="12">
        <v>5.4999999999999997E-3</v>
      </c>
      <c r="X665" s="12">
        <v>4.4779703902642798E-2</v>
      </c>
      <c r="Y665" s="14">
        <v>1561</v>
      </c>
      <c r="Z665" s="14">
        <v>38</v>
      </c>
      <c r="AA665" s="12" t="s">
        <v>2369</v>
      </c>
    </row>
    <row r="666" spans="1:27" ht="14.25" x14ac:dyDescent="0.45">
      <c r="A666" s="12" t="s">
        <v>1447</v>
      </c>
      <c r="B666" s="12" t="s">
        <v>1971</v>
      </c>
      <c r="C666" s="12" t="s">
        <v>1972</v>
      </c>
      <c r="D666" s="12" t="s">
        <v>1974</v>
      </c>
      <c r="E666" s="20">
        <v>29936</v>
      </c>
      <c r="F666" s="20">
        <v>44336</v>
      </c>
      <c r="G666" s="12">
        <v>0.69</v>
      </c>
      <c r="H666" s="12">
        <v>7.5</v>
      </c>
      <c r="I666" s="13">
        <v>9.1999999999999998E-2</v>
      </c>
      <c r="J666" s="12" t="s">
        <v>1447</v>
      </c>
      <c r="K666" s="14">
        <v>1517</v>
      </c>
      <c r="L666" s="14">
        <v>1377</v>
      </c>
      <c r="M666" s="14">
        <v>1631</v>
      </c>
      <c r="N666" s="12">
        <v>0.69</v>
      </c>
      <c r="O666" s="12" t="s">
        <v>1447</v>
      </c>
      <c r="P666" s="12">
        <v>1.1099582559177699E-4</v>
      </c>
      <c r="Q666" s="12">
        <v>4.1892450397676602E-4</v>
      </c>
      <c r="R666" s="12">
        <v>0.113407258064516</v>
      </c>
      <c r="S666" s="14">
        <v>41</v>
      </c>
      <c r="T666" s="12">
        <v>3.0345124958239499E-2</v>
      </c>
      <c r="U666" s="14">
        <v>1619</v>
      </c>
      <c r="V666" s="14">
        <v>2</v>
      </c>
      <c r="W666" s="12">
        <v>5.5999999999999999E-3</v>
      </c>
      <c r="X666" s="12">
        <v>3.5945124958239497E-2</v>
      </c>
      <c r="Y666" s="14">
        <v>1619</v>
      </c>
      <c r="Z666" s="14">
        <v>40</v>
      </c>
      <c r="AA666" s="12" t="s">
        <v>2369</v>
      </c>
    </row>
    <row r="667" spans="1:27" ht="14.25" x14ac:dyDescent="0.45">
      <c r="A667" s="12" t="s">
        <v>1458</v>
      </c>
      <c r="B667" s="12" t="s">
        <v>1971</v>
      </c>
      <c r="C667" s="12" t="s">
        <v>1972</v>
      </c>
      <c r="D667" s="12" t="s">
        <v>1990</v>
      </c>
      <c r="E667" s="20">
        <v>29369</v>
      </c>
      <c r="F667" s="20">
        <v>44340</v>
      </c>
      <c r="G667" s="12">
        <v>5.45</v>
      </c>
      <c r="H667" s="12">
        <v>7.3666666666666698</v>
      </c>
      <c r="I667" s="13">
        <v>0.73981900452488703</v>
      </c>
      <c r="J667" s="12" t="s">
        <v>1458</v>
      </c>
      <c r="K667" s="14">
        <v>916</v>
      </c>
      <c r="L667" s="14">
        <v>1469</v>
      </c>
      <c r="M667" s="14">
        <v>1002</v>
      </c>
      <c r="N667" s="12">
        <v>5.45</v>
      </c>
      <c r="O667" s="12" t="s">
        <v>1458</v>
      </c>
      <c r="P667" s="12">
        <v>8.7670615865968499E-4</v>
      </c>
      <c r="Q667" s="12">
        <v>3.3687859728605699E-3</v>
      </c>
      <c r="R667" s="12">
        <v>0.11139112903225799</v>
      </c>
      <c r="S667" s="14">
        <v>42</v>
      </c>
      <c r="T667" s="12">
        <v>0.243425604253524</v>
      </c>
      <c r="U667" s="14">
        <v>974</v>
      </c>
      <c r="V667" s="14">
        <v>3</v>
      </c>
      <c r="W667" s="12">
        <v>5.7000000000000002E-3</v>
      </c>
      <c r="X667" s="12">
        <v>0.24912560425352401</v>
      </c>
      <c r="Y667" s="14">
        <v>974</v>
      </c>
      <c r="Z667" s="14">
        <v>42</v>
      </c>
      <c r="AA667" s="12" t="s">
        <v>2369</v>
      </c>
    </row>
    <row r="668" spans="1:27" ht="14.25" x14ac:dyDescent="0.45">
      <c r="A668" s="12" t="s">
        <v>1463</v>
      </c>
      <c r="B668" s="12" t="s">
        <v>1971</v>
      </c>
      <c r="C668" s="12" t="s">
        <v>1972</v>
      </c>
      <c r="D668" s="12" t="s">
        <v>1978</v>
      </c>
      <c r="E668" s="20">
        <v>30097</v>
      </c>
      <c r="F668" s="20">
        <v>44348</v>
      </c>
      <c r="G668" s="12">
        <v>6.2</v>
      </c>
      <c r="H668" s="12">
        <v>7.1</v>
      </c>
      <c r="I668" s="13">
        <v>0.87323943661971803</v>
      </c>
      <c r="J668" s="12" t="s">
        <v>1463</v>
      </c>
      <c r="K668" s="14">
        <v>867</v>
      </c>
      <c r="L668" s="14">
        <v>1475</v>
      </c>
      <c r="M668" s="14">
        <v>951</v>
      </c>
      <c r="N668" s="12">
        <v>6.2</v>
      </c>
      <c r="O668" s="12" t="s">
        <v>1463</v>
      </c>
      <c r="P668" s="12">
        <v>9.973537951724861E-4</v>
      </c>
      <c r="Q668" s="12">
        <v>3.9763195417268004E-3</v>
      </c>
      <c r="R668" s="12">
        <v>0.10735887096774201</v>
      </c>
      <c r="S668" s="14">
        <v>40</v>
      </c>
      <c r="T668" s="12">
        <v>0.28592073867689299</v>
      </c>
      <c r="U668" s="14">
        <v>933</v>
      </c>
      <c r="V668" s="14">
        <v>1</v>
      </c>
      <c r="W668" s="12">
        <v>5.4999999999999997E-3</v>
      </c>
      <c r="X668" s="12">
        <v>0.291420738676893</v>
      </c>
      <c r="Y668" s="14">
        <v>933</v>
      </c>
      <c r="Z668" s="14">
        <v>40</v>
      </c>
      <c r="AA668" s="12" t="s">
        <v>2369</v>
      </c>
    </row>
    <row r="669" spans="1:27" ht="14.25" x14ac:dyDescent="0.45">
      <c r="A669" s="12" t="s">
        <v>1482</v>
      </c>
      <c r="B669" s="12" t="s">
        <v>1971</v>
      </c>
      <c r="C669" s="12" t="s">
        <v>1972</v>
      </c>
      <c r="D669" s="12" t="s">
        <v>1993</v>
      </c>
      <c r="E669" s="20">
        <v>29560</v>
      </c>
      <c r="F669" s="20">
        <v>44372</v>
      </c>
      <c r="G669" s="12">
        <v>0.98</v>
      </c>
      <c r="H669" s="12">
        <v>6.3</v>
      </c>
      <c r="I669" s="13">
        <v>0.155555555555556</v>
      </c>
      <c r="J669" s="12" t="s">
        <v>1482</v>
      </c>
      <c r="K669" s="14">
        <v>1404</v>
      </c>
      <c r="L669" s="14">
        <v>1606</v>
      </c>
      <c r="M669" s="14">
        <v>1564</v>
      </c>
      <c r="N669" s="12">
        <v>0.98</v>
      </c>
      <c r="O669" s="12" t="s">
        <v>1482</v>
      </c>
      <c r="P669" s="12">
        <v>1.5764624504339299E-4</v>
      </c>
      <c r="Q669" s="12">
        <v>7.0832645599936198E-4</v>
      </c>
      <c r="R669" s="12">
        <v>9.5262096774193505E-2</v>
      </c>
      <c r="S669" s="14">
        <v>42</v>
      </c>
      <c r="T669" s="12">
        <v>5.01821376890874E-2</v>
      </c>
      <c r="U669" s="14">
        <v>1520</v>
      </c>
      <c r="V669" s="14">
        <v>1</v>
      </c>
      <c r="W669" s="12">
        <v>5.4999999999999997E-3</v>
      </c>
      <c r="X669" s="12">
        <v>5.5682137689087398E-2</v>
      </c>
      <c r="Y669" s="14">
        <v>1520</v>
      </c>
      <c r="Z669" s="14">
        <v>41</v>
      </c>
      <c r="AA669" s="12" t="s">
        <v>2369</v>
      </c>
    </row>
    <row r="670" spans="1:27" ht="14.25" x14ac:dyDescent="0.45">
      <c r="A670" s="12" t="s">
        <v>1499</v>
      </c>
      <c r="B670" s="12" t="s">
        <v>1971</v>
      </c>
      <c r="C670" s="12" t="s">
        <v>1972</v>
      </c>
      <c r="D670" s="12" t="s">
        <v>2072</v>
      </c>
      <c r="E670" s="20">
        <v>31225</v>
      </c>
      <c r="F670" s="20">
        <v>44335</v>
      </c>
      <c r="G670" s="12">
        <v>0.86</v>
      </c>
      <c r="H670" s="12">
        <v>7.5333333333333297</v>
      </c>
      <c r="I670" s="13">
        <v>0.114159292035398</v>
      </c>
      <c r="J670" s="12" t="s">
        <v>1499</v>
      </c>
      <c r="K670" s="14">
        <v>1456</v>
      </c>
      <c r="L670" s="14">
        <v>1332</v>
      </c>
      <c r="M670" s="14">
        <v>1586</v>
      </c>
      <c r="N670" s="12">
        <v>0.86</v>
      </c>
      <c r="O670" s="12" t="s">
        <v>1499</v>
      </c>
      <c r="P670" s="12">
        <v>1.3834262320134501E-4</v>
      </c>
      <c r="Q670" s="12">
        <v>5.19827443372478E-4</v>
      </c>
      <c r="R670" s="12">
        <v>0.113911290322581</v>
      </c>
      <c r="S670" s="14">
        <v>37</v>
      </c>
      <c r="T670" s="12">
        <v>3.7677063580830297E-2</v>
      </c>
      <c r="U670" s="14">
        <v>1567</v>
      </c>
      <c r="V670" s="14">
        <v>2</v>
      </c>
      <c r="W670" s="12">
        <v>5.5999999999999999E-3</v>
      </c>
      <c r="X670" s="12">
        <v>4.3277063580830298E-2</v>
      </c>
      <c r="Y670" s="14">
        <v>1567</v>
      </c>
      <c r="Z670" s="14">
        <v>37</v>
      </c>
      <c r="AA670" s="12" t="s">
        <v>2369</v>
      </c>
    </row>
    <row r="671" spans="1:27" ht="14.25" x14ac:dyDescent="0.45">
      <c r="A671" s="12" t="s">
        <v>1510</v>
      </c>
      <c r="B671" s="12" t="s">
        <v>1971</v>
      </c>
      <c r="C671" s="12" t="s">
        <v>1972</v>
      </c>
      <c r="D671" s="12" t="s">
        <v>1997</v>
      </c>
      <c r="E671" s="20">
        <v>29988</v>
      </c>
      <c r="F671" s="20">
        <v>44372</v>
      </c>
      <c r="G671" s="12">
        <v>0.11</v>
      </c>
      <c r="H671" s="12">
        <v>6.3</v>
      </c>
      <c r="I671" s="13">
        <v>1.7460317460317499E-2</v>
      </c>
      <c r="J671" s="12" t="s">
        <v>1510</v>
      </c>
      <c r="K671" s="14">
        <v>1703</v>
      </c>
      <c r="L671" s="14">
        <v>1606</v>
      </c>
      <c r="M671" s="14">
        <v>1826</v>
      </c>
      <c r="N671" s="12">
        <v>0.11</v>
      </c>
      <c r="O671" s="12" t="s">
        <v>1510</v>
      </c>
      <c r="P671" s="12">
        <v>1.7694986688544098E-5</v>
      </c>
      <c r="Q671" s="12">
        <v>7.9506030775438602E-5</v>
      </c>
      <c r="R671" s="12">
        <v>9.5262096774193505E-2</v>
      </c>
      <c r="S671" s="14">
        <v>40</v>
      </c>
      <c r="T671" s="12">
        <v>5.6326889242853204E-3</v>
      </c>
      <c r="U671" s="14">
        <v>1808</v>
      </c>
      <c r="V671" s="14">
        <v>1</v>
      </c>
      <c r="W671" s="12">
        <v>5.4999999999999997E-3</v>
      </c>
      <c r="X671" s="12">
        <v>1.1132688924285299E-2</v>
      </c>
      <c r="Y671" s="14">
        <v>1810</v>
      </c>
      <c r="Z671" s="14">
        <v>40</v>
      </c>
      <c r="AA671" s="12" t="s">
        <v>2369</v>
      </c>
    </row>
    <row r="672" spans="1:27" ht="14.25" x14ac:dyDescent="0.45">
      <c r="A672" s="12" t="s">
        <v>1512</v>
      </c>
      <c r="B672" s="12" t="s">
        <v>1971</v>
      </c>
      <c r="C672" s="12" t="s">
        <v>1972</v>
      </c>
      <c r="D672" s="12" t="s">
        <v>1974</v>
      </c>
      <c r="E672" s="20">
        <v>30747</v>
      </c>
      <c r="F672" s="20">
        <v>44140</v>
      </c>
      <c r="G672" s="12">
        <v>58.48</v>
      </c>
      <c r="H672" s="12">
        <v>14.033333333333299</v>
      </c>
      <c r="I672" s="13">
        <v>4.1672209026128302</v>
      </c>
      <c r="J672" s="12" t="s">
        <v>1512</v>
      </c>
      <c r="K672" s="14">
        <v>491</v>
      </c>
      <c r="L672" s="14">
        <v>607</v>
      </c>
      <c r="M672" s="14">
        <v>458</v>
      </c>
      <c r="N672" s="12">
        <v>58.48</v>
      </c>
      <c r="O672" s="12" t="s">
        <v>1512</v>
      </c>
      <c r="P672" s="12">
        <v>9.4072983776914507E-3</v>
      </c>
      <c r="Q672" s="12">
        <v>1.8975553799877001E-2</v>
      </c>
      <c r="R672" s="12">
        <v>0.212197580645161</v>
      </c>
      <c r="S672" s="14">
        <v>38</v>
      </c>
      <c r="T672" s="12">
        <v>1.53874580165574</v>
      </c>
      <c r="U672" s="14">
        <v>492</v>
      </c>
      <c r="V672" s="14">
        <v>9</v>
      </c>
      <c r="W672" s="12">
        <v>6.3E-3</v>
      </c>
      <c r="X672" s="12">
        <v>1.54504580165574</v>
      </c>
      <c r="Y672" s="14">
        <v>492</v>
      </c>
      <c r="Z672" s="14">
        <v>38</v>
      </c>
      <c r="AA672" s="12" t="s">
        <v>2369</v>
      </c>
    </row>
    <row r="673" spans="1:27" ht="14.25" x14ac:dyDescent="0.45">
      <c r="A673" s="12" t="s">
        <v>1513</v>
      </c>
      <c r="B673" s="12" t="s">
        <v>1971</v>
      </c>
      <c r="C673" s="12" t="s">
        <v>1972</v>
      </c>
      <c r="D673" s="12" t="s">
        <v>1974</v>
      </c>
      <c r="E673" s="20">
        <v>29771</v>
      </c>
      <c r="F673" s="20">
        <v>44371</v>
      </c>
      <c r="G673" s="12">
        <v>1.08</v>
      </c>
      <c r="H673" s="12">
        <v>6.3333333333333304</v>
      </c>
      <c r="I673" s="13">
        <v>0.170526315789474</v>
      </c>
      <c r="J673" s="12" t="s">
        <v>1513</v>
      </c>
      <c r="K673" s="14">
        <v>1381</v>
      </c>
      <c r="L673" s="14">
        <v>1557</v>
      </c>
      <c r="M673" s="14">
        <v>1532</v>
      </c>
      <c r="N673" s="12">
        <v>1.08</v>
      </c>
      <c r="O673" s="12" t="s">
        <v>1513</v>
      </c>
      <c r="P673" s="12">
        <v>1.7373259657843301E-4</v>
      </c>
      <c r="Q673" s="12">
        <v>7.7649622018576697E-4</v>
      </c>
      <c r="R673" s="12">
        <v>9.5766129032257993E-2</v>
      </c>
      <c r="S673" s="14">
        <v>41</v>
      </c>
      <c r="T673" s="12">
        <v>5.5045986133301701E-2</v>
      </c>
      <c r="U673" s="14">
        <v>1498</v>
      </c>
      <c r="V673" s="14">
        <v>1</v>
      </c>
      <c r="W673" s="12">
        <v>5.4999999999999997E-3</v>
      </c>
      <c r="X673" s="12">
        <v>6.0545986133301699E-2</v>
      </c>
      <c r="Y673" s="14">
        <v>1499</v>
      </c>
      <c r="Z673" s="14">
        <v>41</v>
      </c>
      <c r="AA673" s="12" t="s">
        <v>2369</v>
      </c>
    </row>
    <row r="674" spans="1:27" ht="14.25" x14ac:dyDescent="0.45">
      <c r="A674" s="12" t="s">
        <v>1518</v>
      </c>
      <c r="B674" s="12" t="s">
        <v>1971</v>
      </c>
      <c r="C674" s="12" t="s">
        <v>1972</v>
      </c>
      <c r="D674" s="12" t="s">
        <v>1974</v>
      </c>
      <c r="E674" s="20">
        <v>30153</v>
      </c>
      <c r="F674" s="20">
        <v>44335</v>
      </c>
      <c r="G674" s="12">
        <v>0.72</v>
      </c>
      <c r="H674" s="12">
        <v>7.5333333333333297</v>
      </c>
      <c r="I674" s="13">
        <v>9.5575221238938093E-2</v>
      </c>
      <c r="J674" s="12" t="s">
        <v>1518</v>
      </c>
      <c r="K674" s="14">
        <v>1505</v>
      </c>
      <c r="L674" s="14">
        <v>1332</v>
      </c>
      <c r="M674" s="14">
        <v>1618</v>
      </c>
      <c r="N674" s="12">
        <v>0.72</v>
      </c>
      <c r="O674" s="12" t="s">
        <v>1518</v>
      </c>
      <c r="P674" s="12">
        <v>1.15821731052289E-4</v>
      </c>
      <c r="Q674" s="12">
        <v>4.3520437119556302E-4</v>
      </c>
      <c r="R674" s="12">
        <v>0.113911290322581</v>
      </c>
      <c r="S674" s="14">
        <v>40</v>
      </c>
      <c r="T674" s="12">
        <v>3.15435881141835E-2</v>
      </c>
      <c r="U674" s="14">
        <v>1610</v>
      </c>
      <c r="V674" s="14">
        <v>2</v>
      </c>
      <c r="W674" s="12">
        <v>5.5999999999999999E-3</v>
      </c>
      <c r="X674" s="12">
        <v>3.7143588114183501E-2</v>
      </c>
      <c r="Y674" s="14">
        <v>1609</v>
      </c>
      <c r="Z674" s="14">
        <v>39</v>
      </c>
      <c r="AA674" s="12" t="s">
        <v>2369</v>
      </c>
    </row>
    <row r="675" spans="1:27" ht="14.25" x14ac:dyDescent="0.45">
      <c r="A675" s="12" t="s">
        <v>1530</v>
      </c>
      <c r="B675" s="12" t="s">
        <v>1971</v>
      </c>
      <c r="C675" s="12" t="s">
        <v>1972</v>
      </c>
      <c r="D675" s="12" t="s">
        <v>1990</v>
      </c>
      <c r="E675" s="20">
        <v>31002</v>
      </c>
      <c r="F675" s="20">
        <v>44370</v>
      </c>
      <c r="G675" s="12">
        <v>0.06</v>
      </c>
      <c r="H675" s="12">
        <v>6.3666666666666698</v>
      </c>
      <c r="I675" s="13">
        <v>9.4240837696335095E-3</v>
      </c>
      <c r="J675" s="12" t="s">
        <v>1530</v>
      </c>
      <c r="K675" s="14">
        <v>1750</v>
      </c>
      <c r="L675" s="14">
        <v>1504</v>
      </c>
      <c r="M675" s="14">
        <v>1867</v>
      </c>
      <c r="N675" s="12">
        <v>0.06</v>
      </c>
      <c r="O675" s="12" t="s">
        <v>1530</v>
      </c>
      <c r="P675" s="12">
        <v>9.6518109210240504E-6</v>
      </c>
      <c r="Q675" s="12">
        <v>4.2912821941621798E-5</v>
      </c>
      <c r="R675" s="12">
        <v>9.6270161290322606E-2</v>
      </c>
      <c r="S675" s="14">
        <v>38</v>
      </c>
      <c r="T675" s="12">
        <v>3.0439942808897602E-3</v>
      </c>
      <c r="U675" s="14">
        <v>1856</v>
      </c>
      <c r="V675" s="14">
        <v>1</v>
      </c>
      <c r="W675" s="12">
        <v>5.4999999999999997E-3</v>
      </c>
      <c r="X675" s="12">
        <v>8.5439942808897707E-3</v>
      </c>
      <c r="Y675" s="14">
        <v>1856</v>
      </c>
      <c r="Z675" s="14">
        <v>37</v>
      </c>
      <c r="AA675" s="12" t="s">
        <v>2369</v>
      </c>
    </row>
    <row r="676" spans="1:27" ht="14.25" x14ac:dyDescent="0.45">
      <c r="A676" s="12" t="s">
        <v>1536</v>
      </c>
      <c r="B676" s="12" t="s">
        <v>1971</v>
      </c>
      <c r="C676" s="12" t="s">
        <v>1972</v>
      </c>
      <c r="D676" s="12" t="s">
        <v>2072</v>
      </c>
      <c r="E676" s="20">
        <v>29685</v>
      </c>
      <c r="F676" s="20">
        <v>44334</v>
      </c>
      <c r="G676" s="12">
        <v>1.52</v>
      </c>
      <c r="H676" s="12">
        <v>7.56666666666667</v>
      </c>
      <c r="I676" s="13">
        <v>0.20088105726872199</v>
      </c>
      <c r="J676" s="12" t="s">
        <v>1536</v>
      </c>
      <c r="K676" s="14">
        <v>1348</v>
      </c>
      <c r="L676" s="14">
        <v>1269</v>
      </c>
      <c r="M676" s="14">
        <v>1479</v>
      </c>
      <c r="N676" s="12">
        <v>1.52</v>
      </c>
      <c r="O676" s="12" t="s">
        <v>1536</v>
      </c>
      <c r="P676" s="12">
        <v>2.44512543332609E-4</v>
      </c>
      <c r="Q676" s="12">
        <v>9.1471736168073701E-4</v>
      </c>
      <c r="R676" s="12">
        <v>0.114415322580645</v>
      </c>
      <c r="S676" s="14">
        <v>41</v>
      </c>
      <c r="T676" s="12">
        <v>6.6339055480018894E-2</v>
      </c>
      <c r="U676" s="14">
        <v>1456</v>
      </c>
      <c r="V676" s="14">
        <v>2</v>
      </c>
      <c r="W676" s="12">
        <v>5.5999999999999999E-3</v>
      </c>
      <c r="X676" s="12">
        <v>7.1939055480018901E-2</v>
      </c>
      <c r="Y676" s="14">
        <v>1456</v>
      </c>
      <c r="Z676" s="14">
        <v>41</v>
      </c>
      <c r="AA676" s="12" t="s">
        <v>2369</v>
      </c>
    </row>
    <row r="677" spans="1:27" ht="14.25" x14ac:dyDescent="0.45">
      <c r="A677" s="12" t="s">
        <v>1554</v>
      </c>
      <c r="B677" s="12" t="s">
        <v>1971</v>
      </c>
      <c r="C677" s="12" t="s">
        <v>1972</v>
      </c>
      <c r="D677" s="12" t="s">
        <v>1974</v>
      </c>
      <c r="E677" s="20">
        <v>31548</v>
      </c>
      <c r="F677" s="20">
        <v>44371</v>
      </c>
      <c r="G677" s="12">
        <v>1.05</v>
      </c>
      <c r="H677" s="12">
        <v>6.3333333333333304</v>
      </c>
      <c r="I677" s="13">
        <v>0.16578947368421099</v>
      </c>
      <c r="J677" s="12" t="s">
        <v>1554</v>
      </c>
      <c r="K677" s="14">
        <v>1391</v>
      </c>
      <c r="L677" s="14">
        <v>1557</v>
      </c>
      <c r="M677" s="14">
        <v>1539</v>
      </c>
      <c r="N677" s="12">
        <v>1.05</v>
      </c>
      <c r="O677" s="12" t="s">
        <v>1554</v>
      </c>
      <c r="P677" s="12">
        <v>1.68906691117921E-4</v>
      </c>
      <c r="Q677" s="12">
        <v>7.5492688073616298E-4</v>
      </c>
      <c r="R677" s="12">
        <v>9.5766129032257993E-2</v>
      </c>
      <c r="S677" s="14">
        <v>36</v>
      </c>
      <c r="T677" s="12">
        <v>5.3516930962932197E-2</v>
      </c>
      <c r="U677" s="14">
        <v>1505</v>
      </c>
      <c r="V677" s="14">
        <v>1</v>
      </c>
      <c r="W677" s="12">
        <v>5.4999999999999997E-3</v>
      </c>
      <c r="X677" s="12">
        <v>5.9016930962932201E-2</v>
      </c>
      <c r="Y677" s="14">
        <v>1505</v>
      </c>
      <c r="Z677" s="14">
        <v>36</v>
      </c>
      <c r="AA677" s="12" t="s">
        <v>2369</v>
      </c>
    </row>
    <row r="678" spans="1:27" ht="14.25" x14ac:dyDescent="0.45">
      <c r="A678" s="12" t="s">
        <v>1561</v>
      </c>
      <c r="B678" s="12" t="s">
        <v>1971</v>
      </c>
      <c r="C678" s="12" t="s">
        <v>1972</v>
      </c>
      <c r="D678" s="12" t="s">
        <v>1975</v>
      </c>
      <c r="E678" s="20">
        <v>29126</v>
      </c>
      <c r="F678" s="20">
        <v>44407</v>
      </c>
      <c r="G678" s="12">
        <v>1.41</v>
      </c>
      <c r="H678" s="12">
        <v>5.1333333333333302</v>
      </c>
      <c r="I678" s="13">
        <v>0.27467532467532502</v>
      </c>
      <c r="J678" s="12" t="s">
        <v>1561</v>
      </c>
      <c r="K678" s="14">
        <v>1248</v>
      </c>
      <c r="L678" s="14">
        <v>1720</v>
      </c>
      <c r="M678" s="14">
        <v>1490</v>
      </c>
      <c r="N678" s="12">
        <v>1.41</v>
      </c>
      <c r="O678" s="12" t="s">
        <v>1561</v>
      </c>
      <c r="P678" s="12">
        <v>2.26817556644065E-4</v>
      </c>
      <c r="Q678" s="12">
        <v>1.2507415667855201E-3</v>
      </c>
      <c r="R678" s="12">
        <v>7.7620967741935498E-2</v>
      </c>
      <c r="S678" s="14">
        <v>43</v>
      </c>
      <c r="T678" s="12">
        <v>8.6677006298247206E-2</v>
      </c>
      <c r="U678" s="14">
        <v>1329</v>
      </c>
      <c r="V678" s="14">
        <v>2</v>
      </c>
      <c r="W678" s="12">
        <v>5.5999999999999999E-3</v>
      </c>
      <c r="X678" s="12">
        <v>9.2277006298247199E-2</v>
      </c>
      <c r="Y678" s="14">
        <v>1329</v>
      </c>
      <c r="Z678" s="14">
        <v>42</v>
      </c>
      <c r="AA678" s="12" t="s">
        <v>2369</v>
      </c>
    </row>
    <row r="679" spans="1:27" ht="14.25" x14ac:dyDescent="0.45">
      <c r="A679" s="12" t="s">
        <v>1563</v>
      </c>
      <c r="B679" s="12" t="s">
        <v>1971</v>
      </c>
      <c r="C679" s="12" t="s">
        <v>1972</v>
      </c>
      <c r="D679" s="12" t="s">
        <v>2020</v>
      </c>
      <c r="E679" s="20">
        <v>29249</v>
      </c>
      <c r="F679" s="20">
        <v>44424</v>
      </c>
      <c r="G679" s="12">
        <v>7.51</v>
      </c>
      <c r="H679" s="12">
        <v>4.56666666666667</v>
      </c>
      <c r="I679" s="13">
        <v>1.64452554744526</v>
      </c>
      <c r="J679" s="12" t="s">
        <v>1563</v>
      </c>
      <c r="K679" s="14">
        <v>713</v>
      </c>
      <c r="L679" s="14">
        <v>1809</v>
      </c>
      <c r="M679" s="14">
        <v>903</v>
      </c>
      <c r="N679" s="12">
        <v>7.51</v>
      </c>
      <c r="O679" s="12" t="s">
        <v>1563</v>
      </c>
      <c r="P679" s="12">
        <v>1.2080850002815101E-3</v>
      </c>
      <c r="Q679" s="12">
        <v>7.4883918395719897E-3</v>
      </c>
      <c r="R679" s="12">
        <v>6.9052419354838704E-2</v>
      </c>
      <c r="S679" s="14">
        <v>42</v>
      </c>
      <c r="T679" s="12">
        <v>0.51332767748380603</v>
      </c>
      <c r="U679" s="14">
        <v>779</v>
      </c>
      <c r="V679" s="14">
        <v>4</v>
      </c>
      <c r="W679" s="12">
        <v>5.7999999999999996E-3</v>
      </c>
      <c r="X679" s="12">
        <v>0.51912767748380595</v>
      </c>
      <c r="Y679" s="14">
        <v>779</v>
      </c>
      <c r="Z679" s="14">
        <v>42</v>
      </c>
      <c r="AA679" s="12" t="s">
        <v>2369</v>
      </c>
    </row>
    <row r="680" spans="1:27" ht="14.25" x14ac:dyDescent="0.45">
      <c r="A680" s="12" t="s">
        <v>1583</v>
      </c>
      <c r="B680" s="12" t="s">
        <v>1971</v>
      </c>
      <c r="C680" s="12" t="s">
        <v>1972</v>
      </c>
      <c r="D680" s="12" t="s">
        <v>2007</v>
      </c>
      <c r="E680" s="20">
        <v>30456</v>
      </c>
      <c r="F680" s="20">
        <v>44377</v>
      </c>
      <c r="G680" s="12">
        <v>113.54</v>
      </c>
      <c r="H680" s="12">
        <v>6.1333333333333302</v>
      </c>
      <c r="I680" s="13">
        <v>18.511956521739101</v>
      </c>
      <c r="J680" s="12" t="s">
        <v>1583</v>
      </c>
      <c r="K680" s="14">
        <v>146</v>
      </c>
      <c r="L680" s="14">
        <v>1644</v>
      </c>
      <c r="M680" s="14">
        <v>366</v>
      </c>
      <c r="N680" s="12">
        <v>113.54</v>
      </c>
      <c r="O680" s="12" t="s">
        <v>1583</v>
      </c>
      <c r="P680" s="12">
        <v>1.8264443532884499E-2</v>
      </c>
      <c r="Q680" s="12">
        <v>8.4294697864228496E-2</v>
      </c>
      <c r="R680" s="12">
        <v>9.2741935483870996E-2</v>
      </c>
      <c r="S680" s="14">
        <v>39</v>
      </c>
      <c r="T680" s="12">
        <v>5.9533352489974503</v>
      </c>
      <c r="U680" s="14">
        <v>222</v>
      </c>
      <c r="V680" s="14">
        <v>8</v>
      </c>
      <c r="W680" s="12">
        <v>6.1999999999999998E-3</v>
      </c>
      <c r="X680" s="12">
        <v>5.95953524899745</v>
      </c>
      <c r="Y680" s="14">
        <v>222</v>
      </c>
      <c r="Z680" s="14">
        <v>39</v>
      </c>
      <c r="AA680" s="12" t="s">
        <v>2369</v>
      </c>
    </row>
    <row r="681" spans="1:27" ht="14.25" x14ac:dyDescent="0.45">
      <c r="A681" s="12" t="s">
        <v>1595</v>
      </c>
      <c r="B681" s="12" t="s">
        <v>1971</v>
      </c>
      <c r="C681" s="12" t="s">
        <v>1972</v>
      </c>
      <c r="D681" s="12" t="s">
        <v>1997</v>
      </c>
      <c r="E681" s="20">
        <v>31105</v>
      </c>
      <c r="F681" s="20">
        <v>44420</v>
      </c>
      <c r="G681" s="12">
        <v>0.08</v>
      </c>
      <c r="H681" s="12">
        <v>4.7</v>
      </c>
      <c r="I681" s="13">
        <v>1.7021276595744698E-2</v>
      </c>
      <c r="J681" s="12" t="s">
        <v>1595</v>
      </c>
      <c r="K681" s="14">
        <v>1705</v>
      </c>
      <c r="L681" s="14">
        <v>1792</v>
      </c>
      <c r="M681" s="14">
        <v>1849</v>
      </c>
      <c r="N681" s="12">
        <v>0.08</v>
      </c>
      <c r="O681" s="12" t="s">
        <v>1595</v>
      </c>
      <c r="P681" s="12">
        <v>1.2869081228032099E-5</v>
      </c>
      <c r="Q681" s="12">
        <v>7.7506846249170402E-5</v>
      </c>
      <c r="R681" s="12">
        <v>7.1068548387096794E-2</v>
      </c>
      <c r="S681" s="14">
        <v>37</v>
      </c>
      <c r="T681" s="12">
        <v>5.3267684366243503E-3</v>
      </c>
      <c r="U681" s="14">
        <v>1813</v>
      </c>
      <c r="V681" s="14">
        <v>1</v>
      </c>
      <c r="W681" s="12">
        <v>5.4999999999999997E-3</v>
      </c>
      <c r="X681" s="12">
        <v>1.08267684366244E-2</v>
      </c>
      <c r="Y681" s="14">
        <v>1814</v>
      </c>
      <c r="Z681" s="14">
        <v>37</v>
      </c>
      <c r="AA681" s="12" t="s">
        <v>2369</v>
      </c>
    </row>
    <row r="682" spans="1:27" ht="14.25" x14ac:dyDescent="0.45">
      <c r="A682" s="12" t="s">
        <v>1601</v>
      </c>
      <c r="B682" s="12" t="s">
        <v>1971</v>
      </c>
      <c r="C682" s="12" t="s">
        <v>1972</v>
      </c>
      <c r="D682" s="12" t="s">
        <v>1973</v>
      </c>
      <c r="E682" s="20">
        <v>30646</v>
      </c>
      <c r="F682" s="20">
        <v>44385</v>
      </c>
      <c r="G682" s="12">
        <v>46.39</v>
      </c>
      <c r="H682" s="12">
        <v>5.8666666666666698</v>
      </c>
      <c r="I682" s="13">
        <v>7.9073863636363599</v>
      </c>
      <c r="J682" s="12" t="s">
        <v>1601</v>
      </c>
      <c r="K682" s="14">
        <v>355</v>
      </c>
      <c r="L682" s="14">
        <v>1655</v>
      </c>
      <c r="M682" s="14">
        <v>496</v>
      </c>
      <c r="N682" s="12">
        <v>46.39</v>
      </c>
      <c r="O682" s="12" t="s">
        <v>1601</v>
      </c>
      <c r="P682" s="12">
        <v>7.4624584771051002E-3</v>
      </c>
      <c r="Q682" s="12">
        <v>3.6006499023250101E-2</v>
      </c>
      <c r="R682" s="12">
        <v>8.8709677419354802E-2</v>
      </c>
      <c r="S682" s="14">
        <v>39</v>
      </c>
      <c r="T682" s="12">
        <v>2.53024838184457</v>
      </c>
      <c r="U682" s="14">
        <v>400</v>
      </c>
      <c r="V682" s="14">
        <v>2</v>
      </c>
      <c r="W682" s="12">
        <v>5.5999999999999999E-3</v>
      </c>
      <c r="X682" s="12">
        <v>2.5358483818445698</v>
      </c>
      <c r="Y682" s="14">
        <v>400</v>
      </c>
      <c r="Z682" s="14">
        <v>38</v>
      </c>
      <c r="AA682" s="12" t="s">
        <v>2369</v>
      </c>
    </row>
    <row r="683" spans="1:27" ht="14.25" x14ac:dyDescent="0.45">
      <c r="A683" s="12" t="s">
        <v>1605</v>
      </c>
      <c r="B683" s="12" t="s">
        <v>1971</v>
      </c>
      <c r="C683" s="12" t="s">
        <v>1972</v>
      </c>
      <c r="D683" s="12" t="s">
        <v>1990</v>
      </c>
      <c r="E683" s="20">
        <v>31846</v>
      </c>
      <c r="F683" s="20">
        <v>44131</v>
      </c>
      <c r="G683" s="12">
        <v>53.51</v>
      </c>
      <c r="H683" s="12">
        <v>14.3333333333333</v>
      </c>
      <c r="I683" s="13">
        <v>3.7332558139534902</v>
      </c>
      <c r="J683" s="12" t="s">
        <v>1605</v>
      </c>
      <c r="K683" s="14">
        <v>505</v>
      </c>
      <c r="L683" s="14">
        <v>584</v>
      </c>
      <c r="M683" s="14">
        <v>473</v>
      </c>
      <c r="N683" s="12">
        <v>53.51</v>
      </c>
      <c r="O683" s="12" t="s">
        <v>1605</v>
      </c>
      <c r="P683" s="12">
        <v>8.6078067063999498E-3</v>
      </c>
      <c r="Q683" s="12">
        <v>1.6999481957378701E-2</v>
      </c>
      <c r="R683" s="12">
        <v>0.21673387096774199</v>
      </c>
      <c r="S683" s="14">
        <v>35</v>
      </c>
      <c r="T683" s="12">
        <v>1.38526037382617</v>
      </c>
      <c r="U683" s="14">
        <v>510</v>
      </c>
      <c r="V683" s="14">
        <v>1</v>
      </c>
      <c r="W683" s="12">
        <v>5.4999999999999997E-3</v>
      </c>
      <c r="X683" s="12">
        <v>1.39076037382617</v>
      </c>
      <c r="Y683" s="14">
        <v>510</v>
      </c>
      <c r="Z683" s="14">
        <v>35</v>
      </c>
      <c r="AA683" s="12" t="s">
        <v>2369</v>
      </c>
    </row>
    <row r="684" spans="1:27" ht="14.25" x14ac:dyDescent="0.45">
      <c r="A684" s="12" t="s">
        <v>1608</v>
      </c>
      <c r="B684" s="12" t="s">
        <v>1971</v>
      </c>
      <c r="C684" s="12" t="s">
        <v>1972</v>
      </c>
      <c r="D684" s="12" t="s">
        <v>1997</v>
      </c>
      <c r="E684" s="20">
        <v>30471</v>
      </c>
      <c r="F684" s="20">
        <v>44425</v>
      </c>
      <c r="G684" s="12">
        <v>0.24</v>
      </c>
      <c r="H684" s="12">
        <v>4.5333333333333297</v>
      </c>
      <c r="I684" s="13">
        <v>5.29411764705882E-2</v>
      </c>
      <c r="J684" s="12" t="s">
        <v>1608</v>
      </c>
      <c r="K684" s="14">
        <v>1599</v>
      </c>
      <c r="L684" s="14">
        <v>1833</v>
      </c>
      <c r="M684" s="14">
        <v>1761</v>
      </c>
      <c r="N684" s="12">
        <v>0.24</v>
      </c>
      <c r="O684" s="12" t="s">
        <v>1608</v>
      </c>
      <c r="P684" s="12">
        <v>3.8607243684096202E-5</v>
      </c>
      <c r="Q684" s="12">
        <v>2.4106908796617E-4</v>
      </c>
      <c r="R684" s="12">
        <v>6.8548387096774202E-2</v>
      </c>
      <c r="S684" s="14">
        <v>39</v>
      </c>
      <c r="T684" s="12">
        <v>1.65145896360392E-2</v>
      </c>
      <c r="U684" s="14">
        <v>1705</v>
      </c>
      <c r="V684" s="14">
        <v>2</v>
      </c>
      <c r="W684" s="12">
        <v>5.5999999999999999E-3</v>
      </c>
      <c r="X684" s="12">
        <v>2.2114589636039201E-2</v>
      </c>
      <c r="Y684" s="14">
        <v>1705</v>
      </c>
      <c r="Z684" s="14">
        <v>39</v>
      </c>
      <c r="AA684" s="12" t="s">
        <v>2369</v>
      </c>
    </row>
    <row r="685" spans="1:27" ht="14.25" x14ac:dyDescent="0.45">
      <c r="A685" s="12" t="s">
        <v>1616</v>
      </c>
      <c r="B685" s="12" t="s">
        <v>1971</v>
      </c>
      <c r="C685" s="12" t="s">
        <v>1972</v>
      </c>
      <c r="D685" s="12" t="s">
        <v>1975</v>
      </c>
      <c r="E685" s="20">
        <v>31123</v>
      </c>
      <c r="F685" s="20">
        <v>44424</v>
      </c>
      <c r="G685" s="12">
        <v>0.11</v>
      </c>
      <c r="H685" s="12">
        <v>4.56666666666667</v>
      </c>
      <c r="I685" s="13">
        <v>2.4087591240875901E-2</v>
      </c>
      <c r="J685" s="12" t="s">
        <v>1616</v>
      </c>
      <c r="K685" s="14">
        <v>1673</v>
      </c>
      <c r="L685" s="14">
        <v>1809</v>
      </c>
      <c r="M685" s="14">
        <v>1826</v>
      </c>
      <c r="N685" s="12">
        <v>0.11</v>
      </c>
      <c r="O685" s="12" t="s">
        <v>1616</v>
      </c>
      <c r="P685" s="12">
        <v>1.7694986688544098E-5</v>
      </c>
      <c r="Q685" s="12">
        <v>1.09683502310642E-4</v>
      </c>
      <c r="R685" s="12">
        <v>6.9052419354838704E-2</v>
      </c>
      <c r="S685" s="14">
        <v>37</v>
      </c>
      <c r="T685" s="12">
        <v>7.5187808952355004E-3</v>
      </c>
      <c r="U685" s="14">
        <v>1783</v>
      </c>
      <c r="V685" s="14">
        <v>1</v>
      </c>
      <c r="W685" s="12">
        <v>5.4999999999999997E-3</v>
      </c>
      <c r="X685" s="12">
        <v>1.3018780895235499E-2</v>
      </c>
      <c r="Y685" s="14">
        <v>1783</v>
      </c>
      <c r="Z685" s="14">
        <v>37</v>
      </c>
      <c r="AA685" s="12" t="s">
        <v>2369</v>
      </c>
    </row>
    <row r="686" spans="1:27" ht="14.25" x14ac:dyDescent="0.45">
      <c r="A686" s="12" t="s">
        <v>1626</v>
      </c>
      <c r="B686" s="12" t="s">
        <v>1971</v>
      </c>
      <c r="C686" s="12" t="s">
        <v>1972</v>
      </c>
      <c r="D686" s="12" t="s">
        <v>1978</v>
      </c>
      <c r="E686" s="20">
        <v>31611</v>
      </c>
      <c r="F686" s="20">
        <v>44067</v>
      </c>
      <c r="G686" s="12">
        <v>0.3</v>
      </c>
      <c r="H686" s="12">
        <v>16.466666666666701</v>
      </c>
      <c r="I686" s="13">
        <v>1.8218623481781399E-2</v>
      </c>
      <c r="J686" s="12" t="s">
        <v>1626</v>
      </c>
      <c r="K686" s="14">
        <v>1696</v>
      </c>
      <c r="L686" s="14">
        <v>474</v>
      </c>
      <c r="M686" s="14">
        <v>1737</v>
      </c>
      <c r="N686" s="12">
        <v>0.3</v>
      </c>
      <c r="O686" s="12" t="s">
        <v>1626</v>
      </c>
      <c r="P686" s="12">
        <v>4.8259054605120298E-5</v>
      </c>
      <c r="Q686" s="12">
        <v>8.2958997883094801E-5</v>
      </c>
      <c r="R686" s="12">
        <v>0.248991935483871</v>
      </c>
      <c r="S686" s="14">
        <v>36</v>
      </c>
      <c r="T686" s="12">
        <v>6.9946519153854404E-3</v>
      </c>
      <c r="U686" s="14">
        <v>1791</v>
      </c>
      <c r="V686" s="14">
        <v>1</v>
      </c>
      <c r="W686" s="12">
        <v>5.4999999999999997E-3</v>
      </c>
      <c r="X686" s="12">
        <v>1.24946519153854E-2</v>
      </c>
      <c r="Y686" s="14">
        <v>1792</v>
      </c>
      <c r="Z686" s="14">
        <v>35</v>
      </c>
      <c r="AA686" s="12" t="s">
        <v>2369</v>
      </c>
    </row>
    <row r="687" spans="1:27" ht="14.25" x14ac:dyDescent="0.45">
      <c r="A687" s="12" t="s">
        <v>1631</v>
      </c>
      <c r="B687" s="12" t="s">
        <v>1971</v>
      </c>
      <c r="C687" s="12" t="s">
        <v>1972</v>
      </c>
      <c r="D687" s="12" t="s">
        <v>2072</v>
      </c>
      <c r="E687" s="20">
        <v>29770</v>
      </c>
      <c r="F687" s="20">
        <v>44420</v>
      </c>
      <c r="G687" s="12">
        <v>0.2</v>
      </c>
      <c r="H687" s="12">
        <v>4.7</v>
      </c>
      <c r="I687" s="13">
        <v>4.2553191489361701E-2</v>
      </c>
      <c r="J687" s="12" t="s">
        <v>1631</v>
      </c>
      <c r="K687" s="14">
        <v>1623</v>
      </c>
      <c r="L687" s="14">
        <v>1792</v>
      </c>
      <c r="M687" s="14">
        <v>1780</v>
      </c>
      <c r="N687" s="12">
        <v>0.2</v>
      </c>
      <c r="O687" s="12" t="s">
        <v>1631</v>
      </c>
      <c r="P687" s="12">
        <v>3.2172703070080199E-5</v>
      </c>
      <c r="Q687" s="12">
        <v>1.9376711562292599E-4</v>
      </c>
      <c r="R687" s="12">
        <v>7.1068548387096794E-2</v>
      </c>
      <c r="S687" s="14">
        <v>41</v>
      </c>
      <c r="T687" s="12">
        <v>1.33169210915609E-2</v>
      </c>
      <c r="U687" s="14">
        <v>1730</v>
      </c>
      <c r="V687" s="14">
        <v>1</v>
      </c>
      <c r="W687" s="12">
        <v>5.4999999999999997E-3</v>
      </c>
      <c r="X687" s="12">
        <v>1.8816921091560902E-2</v>
      </c>
      <c r="Y687" s="14">
        <v>1731</v>
      </c>
      <c r="Z687" s="14">
        <v>41</v>
      </c>
      <c r="AA687" s="12" t="s">
        <v>2369</v>
      </c>
    </row>
    <row r="688" spans="1:27" ht="14.25" x14ac:dyDescent="0.45">
      <c r="A688" s="12" t="s">
        <v>1640</v>
      </c>
      <c r="B688" s="12" t="s">
        <v>1971</v>
      </c>
      <c r="C688" s="12" t="s">
        <v>1972</v>
      </c>
      <c r="D688" s="12" t="s">
        <v>2020</v>
      </c>
      <c r="E688" s="20">
        <v>30897</v>
      </c>
      <c r="F688" s="20">
        <v>44410</v>
      </c>
      <c r="G688" s="12">
        <v>36.07</v>
      </c>
      <c r="H688" s="12">
        <v>5.0333333333333297</v>
      </c>
      <c r="I688" s="13">
        <v>7.1662251655629099</v>
      </c>
      <c r="J688" s="12" t="s">
        <v>1640</v>
      </c>
      <c r="K688" s="14">
        <v>375</v>
      </c>
      <c r="L688" s="14">
        <v>1727</v>
      </c>
      <c r="M688" s="14">
        <v>540</v>
      </c>
      <c r="N688" s="12">
        <v>36.07</v>
      </c>
      <c r="O688" s="12" t="s">
        <v>1640</v>
      </c>
      <c r="P688" s="12">
        <v>5.8023469986889604E-3</v>
      </c>
      <c r="Q688" s="12">
        <v>3.2631601335535401E-2</v>
      </c>
      <c r="R688" s="12">
        <v>7.6108870967741896E-2</v>
      </c>
      <c r="S688" s="14">
        <v>38</v>
      </c>
      <c r="T688" s="12">
        <v>2.2570630959217999</v>
      </c>
      <c r="U688" s="14">
        <v>418</v>
      </c>
      <c r="V688" s="14">
        <v>9</v>
      </c>
      <c r="W688" s="12">
        <v>6.3E-3</v>
      </c>
      <c r="X688" s="12">
        <v>2.2633630959217999</v>
      </c>
      <c r="Y688" s="14">
        <v>418</v>
      </c>
      <c r="Z688" s="14">
        <v>37</v>
      </c>
      <c r="AA688" s="12" t="s">
        <v>2369</v>
      </c>
    </row>
    <row r="689" spans="1:27" ht="14.25" x14ac:dyDescent="0.45">
      <c r="A689" s="12" t="s">
        <v>1648</v>
      </c>
      <c r="B689" s="12" t="s">
        <v>1971</v>
      </c>
      <c r="C689" s="12" t="s">
        <v>1972</v>
      </c>
      <c r="D689" s="12" t="s">
        <v>1990</v>
      </c>
      <c r="E689" s="20">
        <v>31159</v>
      </c>
      <c r="F689" s="20">
        <v>44424</v>
      </c>
      <c r="G689" s="12">
        <v>1.65</v>
      </c>
      <c r="H689" s="12">
        <v>4.56666666666667</v>
      </c>
      <c r="I689" s="13">
        <v>0.36131386861313902</v>
      </c>
      <c r="J689" s="12" t="s">
        <v>1648</v>
      </c>
      <c r="K689" s="14">
        <v>1173</v>
      </c>
      <c r="L689" s="14">
        <v>1809</v>
      </c>
      <c r="M689" s="14">
        <v>1460</v>
      </c>
      <c r="N689" s="12">
        <v>1.65</v>
      </c>
      <c r="O689" s="12" t="s">
        <v>1648</v>
      </c>
      <c r="P689" s="12">
        <v>2.65424800328161E-4</v>
      </c>
      <c r="Q689" s="12">
        <v>1.64525253465962E-3</v>
      </c>
      <c r="R689" s="12">
        <v>6.9052419354838704E-2</v>
      </c>
      <c r="S689" s="14">
        <v>37</v>
      </c>
      <c r="T689" s="12">
        <v>0.11278171342853301</v>
      </c>
      <c r="U689" s="14">
        <v>1253</v>
      </c>
      <c r="V689" s="14">
        <v>1</v>
      </c>
      <c r="W689" s="12">
        <v>5.4999999999999997E-3</v>
      </c>
      <c r="X689" s="12">
        <v>0.118281713428533</v>
      </c>
      <c r="Y689" s="14">
        <v>1254</v>
      </c>
      <c r="Z689" s="14">
        <v>37</v>
      </c>
      <c r="AA689" s="12" t="s">
        <v>2369</v>
      </c>
    </row>
    <row r="690" spans="1:27" ht="14.25" x14ac:dyDescent="0.45">
      <c r="A690" s="12" t="s">
        <v>1649</v>
      </c>
      <c r="B690" s="12" t="s">
        <v>1971</v>
      </c>
      <c r="C690" s="12" t="s">
        <v>1972</v>
      </c>
      <c r="D690" s="12" t="s">
        <v>2012</v>
      </c>
      <c r="E690" s="20">
        <v>28424</v>
      </c>
      <c r="F690" s="20">
        <v>42947</v>
      </c>
      <c r="G690" s="12">
        <v>7.0000000000000007E-2</v>
      </c>
      <c r="H690" s="12">
        <v>53.8</v>
      </c>
      <c r="I690" s="13">
        <v>1.30111524163569E-3</v>
      </c>
      <c r="J690" s="12" t="s">
        <v>1649</v>
      </c>
      <c r="K690" s="14">
        <v>1822</v>
      </c>
      <c r="L690" s="14">
        <v>48</v>
      </c>
      <c r="M690" s="14">
        <v>1859</v>
      </c>
      <c r="N690" s="12">
        <v>7.0000000000000007E-2</v>
      </c>
      <c r="O690" s="12" t="s">
        <v>1649</v>
      </c>
      <c r="P690" s="12">
        <v>1.12604460745281E-5</v>
      </c>
      <c r="Q690" s="12">
        <v>5.9246636654221799E-6</v>
      </c>
      <c r="R690" s="12">
        <v>0.813508064516129</v>
      </c>
      <c r="S690" s="14">
        <v>45</v>
      </c>
      <c r="T690" s="12">
        <v>7.9255820688368896E-4</v>
      </c>
      <c r="U690" s="14">
        <v>1923</v>
      </c>
      <c r="V690" s="14">
        <v>1</v>
      </c>
      <c r="W690" s="12">
        <v>5.4999999999999997E-3</v>
      </c>
      <c r="X690" s="12">
        <v>6.29255820688369E-3</v>
      </c>
      <c r="Y690" s="14">
        <v>1923</v>
      </c>
      <c r="Z690" s="14">
        <v>44</v>
      </c>
      <c r="AA690" s="12" t="s">
        <v>2369</v>
      </c>
    </row>
    <row r="691" spans="1:27" ht="14.25" x14ac:dyDescent="0.45">
      <c r="A691" s="12" t="s">
        <v>1659</v>
      </c>
      <c r="B691" s="12" t="s">
        <v>1971</v>
      </c>
      <c r="C691" s="12" t="s">
        <v>1972</v>
      </c>
      <c r="D691" s="12" t="s">
        <v>1997</v>
      </c>
      <c r="E691" s="20">
        <v>28705</v>
      </c>
      <c r="F691" s="20">
        <v>44370</v>
      </c>
      <c r="G691" s="12">
        <v>0.02</v>
      </c>
      <c r="H691" s="12">
        <v>6.3666666666666698</v>
      </c>
      <c r="I691" s="13">
        <v>3.1413612565445001E-3</v>
      </c>
      <c r="J691" s="12" t="s">
        <v>1659</v>
      </c>
      <c r="K691" s="14">
        <v>1795</v>
      </c>
      <c r="L691" s="14">
        <v>1504</v>
      </c>
      <c r="M691" s="14">
        <v>1922</v>
      </c>
      <c r="N691" s="12">
        <v>0.02</v>
      </c>
      <c r="O691" s="12" t="s">
        <v>1659</v>
      </c>
      <c r="P691" s="12">
        <v>3.2172703070080202E-6</v>
      </c>
      <c r="Q691" s="12">
        <v>1.4304273980540601E-5</v>
      </c>
      <c r="R691" s="12">
        <v>9.6270161290322606E-2</v>
      </c>
      <c r="S691" s="14">
        <v>44</v>
      </c>
      <c r="T691" s="12">
        <v>1.01466476029659E-3</v>
      </c>
      <c r="U691" s="14">
        <v>1907</v>
      </c>
      <c r="V691" s="14">
        <v>1</v>
      </c>
      <c r="W691" s="12">
        <v>5.4999999999999997E-3</v>
      </c>
      <c r="X691" s="12">
        <v>6.5146647602965903E-3</v>
      </c>
      <c r="Y691" s="14">
        <v>1907</v>
      </c>
      <c r="Z691" s="14">
        <v>43</v>
      </c>
      <c r="AA691" s="12" t="s">
        <v>2369</v>
      </c>
    </row>
    <row r="692" spans="1:27" ht="14.25" x14ac:dyDescent="0.45">
      <c r="A692" s="12" t="s">
        <v>1664</v>
      </c>
      <c r="B692" s="12" t="s">
        <v>1971</v>
      </c>
      <c r="C692" s="12" t="s">
        <v>1972</v>
      </c>
      <c r="D692" s="12" t="s">
        <v>2012</v>
      </c>
      <c r="E692" s="20">
        <v>28842</v>
      </c>
      <c r="F692" s="20">
        <v>44419</v>
      </c>
      <c r="G692" s="12">
        <v>0.24</v>
      </c>
      <c r="H692" s="12">
        <v>4.7333333333333298</v>
      </c>
      <c r="I692" s="13">
        <v>5.0704225352112699E-2</v>
      </c>
      <c r="J692" s="12" t="s">
        <v>1664</v>
      </c>
      <c r="K692" s="14">
        <v>1607</v>
      </c>
      <c r="L692" s="14">
        <v>1780</v>
      </c>
      <c r="M692" s="14">
        <v>1761</v>
      </c>
      <c r="N692" s="12">
        <v>0.24</v>
      </c>
      <c r="O692" s="12" t="s">
        <v>1664</v>
      </c>
      <c r="P692" s="12">
        <v>3.8607243684096202E-5</v>
      </c>
      <c r="Q692" s="12">
        <v>2.30883070164782E-4</v>
      </c>
      <c r="R692" s="12">
        <v>7.1572580645161296E-2</v>
      </c>
      <c r="S692" s="14">
        <v>44</v>
      </c>
      <c r="T692" s="12">
        <v>1.5877963523452499E-2</v>
      </c>
      <c r="U692" s="14">
        <v>1712</v>
      </c>
      <c r="V692" s="14">
        <v>1</v>
      </c>
      <c r="W692" s="12">
        <v>5.4999999999999997E-3</v>
      </c>
      <c r="X692" s="12">
        <v>2.13779635234525E-2</v>
      </c>
      <c r="Y692" s="14">
        <v>1712</v>
      </c>
      <c r="Z692" s="14">
        <v>43</v>
      </c>
      <c r="AA692" s="12" t="s">
        <v>2369</v>
      </c>
    </row>
    <row r="693" spans="1:27" ht="14.25" x14ac:dyDescent="0.45">
      <c r="A693" s="12" t="s">
        <v>1674</v>
      </c>
      <c r="B693" s="12" t="s">
        <v>1971</v>
      </c>
      <c r="C693" s="12" t="s">
        <v>1972</v>
      </c>
      <c r="D693" s="12" t="s">
        <v>1978</v>
      </c>
      <c r="E693" s="20">
        <v>30965</v>
      </c>
      <c r="F693" s="20">
        <v>44406</v>
      </c>
      <c r="G693" s="12">
        <v>6.2</v>
      </c>
      <c r="H693" s="12">
        <v>5.1666666666666696</v>
      </c>
      <c r="I693" s="13">
        <v>1.2</v>
      </c>
      <c r="J693" s="12" t="s">
        <v>1674</v>
      </c>
      <c r="K693" s="14">
        <v>767</v>
      </c>
      <c r="L693" s="14">
        <v>1715</v>
      </c>
      <c r="M693" s="14">
        <v>951</v>
      </c>
      <c r="N693" s="12">
        <v>6.2</v>
      </c>
      <c r="O693" s="12" t="s">
        <v>1674</v>
      </c>
      <c r="P693" s="12">
        <v>9.973537951724861E-4</v>
      </c>
      <c r="Q693" s="12">
        <v>5.4642326605665098E-3</v>
      </c>
      <c r="R693" s="12">
        <v>7.8125E-2</v>
      </c>
      <c r="S693" s="14">
        <v>38</v>
      </c>
      <c r="T693" s="12">
        <v>0.378915308604375</v>
      </c>
      <c r="U693" s="14">
        <v>847</v>
      </c>
      <c r="V693" s="14">
        <v>1</v>
      </c>
      <c r="W693" s="12">
        <v>5.4999999999999997E-3</v>
      </c>
      <c r="X693" s="12">
        <v>0.38441530860437501</v>
      </c>
      <c r="Y693" s="14">
        <v>847</v>
      </c>
      <c r="Z693" s="14">
        <v>37</v>
      </c>
      <c r="AA693" s="12" t="s">
        <v>2369</v>
      </c>
    </row>
    <row r="694" spans="1:27" ht="14.25" x14ac:dyDescent="0.45">
      <c r="A694" s="12" t="s">
        <v>1692</v>
      </c>
      <c r="B694" s="12" t="s">
        <v>1971</v>
      </c>
      <c r="C694" s="12" t="s">
        <v>1972</v>
      </c>
      <c r="D694" s="12" t="s">
        <v>1995</v>
      </c>
      <c r="E694" s="20">
        <v>31465</v>
      </c>
      <c r="F694" s="20">
        <v>44410</v>
      </c>
      <c r="G694" s="12">
        <v>0.03</v>
      </c>
      <c r="H694" s="12">
        <v>5.0333333333333297</v>
      </c>
      <c r="I694" s="13">
        <v>5.9602649006622503E-3</v>
      </c>
      <c r="J694" s="12" t="s">
        <v>1692</v>
      </c>
      <c r="K694" s="14">
        <v>1774</v>
      </c>
      <c r="L694" s="14">
        <v>1727</v>
      </c>
      <c r="M694" s="14">
        <v>1895</v>
      </c>
      <c r="N694" s="12">
        <v>0.03</v>
      </c>
      <c r="O694" s="12" t="s">
        <v>1692</v>
      </c>
      <c r="P694" s="12">
        <v>4.8259054605120303E-6</v>
      </c>
      <c r="Q694" s="12">
        <v>2.7140228446522401E-5</v>
      </c>
      <c r="R694" s="12">
        <v>7.6108870967741896E-2</v>
      </c>
      <c r="S694" s="14">
        <v>36</v>
      </c>
      <c r="T694" s="12">
        <v>1.8772357326768501E-3</v>
      </c>
      <c r="U694" s="14">
        <v>1882</v>
      </c>
      <c r="V694" s="14">
        <v>1</v>
      </c>
      <c r="W694" s="12">
        <v>5.4999999999999997E-3</v>
      </c>
      <c r="X694" s="12">
        <v>7.37723573267685E-3</v>
      </c>
      <c r="Y694" s="14">
        <v>1882</v>
      </c>
      <c r="Z694" s="14">
        <v>36</v>
      </c>
      <c r="AA694" s="12" t="s">
        <v>2369</v>
      </c>
    </row>
    <row r="695" spans="1:27" ht="14.25" x14ac:dyDescent="0.45">
      <c r="A695" s="12" t="s">
        <v>1707</v>
      </c>
      <c r="B695" s="12" t="s">
        <v>1971</v>
      </c>
      <c r="C695" s="12" t="s">
        <v>1972</v>
      </c>
      <c r="D695" s="12" t="s">
        <v>1997</v>
      </c>
      <c r="E695" s="20">
        <v>31136</v>
      </c>
      <c r="F695" s="20">
        <v>44425</v>
      </c>
      <c r="G695" s="12">
        <v>0.03</v>
      </c>
      <c r="H695" s="12">
        <v>4.5333333333333297</v>
      </c>
      <c r="I695" s="13">
        <v>6.6176470588235302E-3</v>
      </c>
      <c r="J695" s="12" t="s">
        <v>1707</v>
      </c>
      <c r="K695" s="14">
        <v>1768</v>
      </c>
      <c r="L695" s="14">
        <v>1833</v>
      </c>
      <c r="M695" s="14">
        <v>1895</v>
      </c>
      <c r="N695" s="12">
        <v>0.03</v>
      </c>
      <c r="O695" s="12" t="s">
        <v>1707</v>
      </c>
      <c r="P695" s="12">
        <v>4.8259054605120303E-6</v>
      </c>
      <c r="Q695" s="12">
        <v>3.0133635995771199E-5</v>
      </c>
      <c r="R695" s="12">
        <v>6.8548387096774202E-2</v>
      </c>
      <c r="S695" s="14">
        <v>37</v>
      </c>
      <c r="T695" s="12">
        <v>2.0643237045049E-3</v>
      </c>
      <c r="U695" s="14">
        <v>1877</v>
      </c>
      <c r="V695" s="14">
        <v>1</v>
      </c>
      <c r="W695" s="12">
        <v>5.4999999999999997E-3</v>
      </c>
      <c r="X695" s="12">
        <v>7.5643237045049001E-3</v>
      </c>
      <c r="Y695" s="14">
        <v>1877</v>
      </c>
      <c r="Z695" s="14">
        <v>37</v>
      </c>
      <c r="AA695" s="12" t="s">
        <v>2369</v>
      </c>
    </row>
    <row r="696" spans="1:27" ht="14.25" x14ac:dyDescent="0.45">
      <c r="A696" s="12" t="s">
        <v>1709</v>
      </c>
      <c r="B696" s="12" t="s">
        <v>1971</v>
      </c>
      <c r="C696" s="12" t="s">
        <v>1972</v>
      </c>
      <c r="D696" s="12" t="s">
        <v>1974</v>
      </c>
      <c r="E696" s="20">
        <v>31449</v>
      </c>
      <c r="F696" s="20">
        <v>44417</v>
      </c>
      <c r="G696" s="12">
        <v>0.74</v>
      </c>
      <c r="H696" s="12">
        <v>4.8</v>
      </c>
      <c r="I696" s="13">
        <v>0.15416666666666701</v>
      </c>
      <c r="J696" s="12" t="s">
        <v>1709</v>
      </c>
      <c r="K696" s="14">
        <v>1407</v>
      </c>
      <c r="L696" s="14">
        <v>1757</v>
      </c>
      <c r="M696" s="14">
        <v>1615</v>
      </c>
      <c r="N696" s="12">
        <v>0.74</v>
      </c>
      <c r="O696" s="12" t="s">
        <v>1709</v>
      </c>
      <c r="P696" s="12">
        <v>1.19039001359297E-4</v>
      </c>
      <c r="Q696" s="12">
        <v>7.0200211264222505E-4</v>
      </c>
      <c r="R696" s="12">
        <v>7.25806451612903E-2</v>
      </c>
      <c r="S696" s="14">
        <v>36</v>
      </c>
      <c r="T696" s="12">
        <v>4.83390945911127E-2</v>
      </c>
      <c r="U696" s="14">
        <v>1527</v>
      </c>
      <c r="V696" s="14">
        <v>1</v>
      </c>
      <c r="W696" s="12">
        <v>5.4999999999999997E-3</v>
      </c>
      <c r="X696" s="12">
        <v>5.3839094591112698E-2</v>
      </c>
      <c r="Y696" s="14">
        <v>1528</v>
      </c>
      <c r="Z696" s="14">
        <v>36</v>
      </c>
      <c r="AA696" s="12" t="s">
        <v>2369</v>
      </c>
    </row>
    <row r="697" spans="1:27" ht="14.25" x14ac:dyDescent="0.45">
      <c r="A697" s="12" t="s">
        <v>1726</v>
      </c>
      <c r="B697" s="12" t="s">
        <v>1971</v>
      </c>
      <c r="C697" s="12" t="s">
        <v>1972</v>
      </c>
      <c r="D697" s="12" t="s">
        <v>1974</v>
      </c>
      <c r="E697" s="20">
        <v>31465</v>
      </c>
      <c r="F697" s="20">
        <v>44419</v>
      </c>
      <c r="G697" s="12">
        <v>0.09</v>
      </c>
      <c r="H697" s="12">
        <v>4.7333333333333298</v>
      </c>
      <c r="I697" s="13">
        <v>1.9014084507042301E-2</v>
      </c>
      <c r="J697" s="12" t="s">
        <v>1726</v>
      </c>
      <c r="K697" s="14">
        <v>1693</v>
      </c>
      <c r="L697" s="14">
        <v>1780</v>
      </c>
      <c r="M697" s="14">
        <v>1839</v>
      </c>
      <c r="N697" s="12">
        <v>0.09</v>
      </c>
      <c r="O697" s="12" t="s">
        <v>1726</v>
      </c>
      <c r="P697" s="12">
        <v>1.44777163815361E-5</v>
      </c>
      <c r="Q697" s="12">
        <v>8.6581151311793299E-5</v>
      </c>
      <c r="R697" s="12">
        <v>7.1572580645161296E-2</v>
      </c>
      <c r="S697" s="14">
        <v>36</v>
      </c>
      <c r="T697" s="12">
        <v>5.95423632129468E-3</v>
      </c>
      <c r="U697" s="14">
        <v>1805</v>
      </c>
      <c r="V697" s="14">
        <v>1</v>
      </c>
      <c r="W697" s="12">
        <v>5.4999999999999997E-3</v>
      </c>
      <c r="X697" s="12">
        <v>1.14542363212947E-2</v>
      </c>
      <c r="Y697" s="14">
        <v>1805</v>
      </c>
      <c r="Z697" s="14">
        <v>36</v>
      </c>
      <c r="AA697" s="12" t="s">
        <v>2369</v>
      </c>
    </row>
    <row r="698" spans="1:27" ht="14.25" x14ac:dyDescent="0.45">
      <c r="A698" s="12" t="s">
        <v>1751</v>
      </c>
      <c r="B698" s="12" t="s">
        <v>1971</v>
      </c>
      <c r="C698" s="12" t="s">
        <v>1972</v>
      </c>
      <c r="D698" s="12" t="s">
        <v>1990</v>
      </c>
      <c r="E698" s="20">
        <v>30909</v>
      </c>
      <c r="F698" s="20">
        <v>44441</v>
      </c>
      <c r="G698" s="12">
        <v>1.97</v>
      </c>
      <c r="H698" s="12">
        <v>4</v>
      </c>
      <c r="I698" s="13">
        <v>0.49249999999999999</v>
      </c>
      <c r="J698" s="12" t="s">
        <v>1751</v>
      </c>
      <c r="K698" s="14">
        <v>1061</v>
      </c>
      <c r="L698" s="14">
        <v>1861</v>
      </c>
      <c r="M698" s="14">
        <v>1420</v>
      </c>
      <c r="N698" s="12">
        <v>1.97</v>
      </c>
      <c r="O698" s="12" t="s">
        <v>1751</v>
      </c>
      <c r="P698" s="12">
        <v>3.1690112524029E-4</v>
      </c>
      <c r="Q698" s="12">
        <v>2.2426121544408401E-3</v>
      </c>
      <c r="R698" s="12">
        <v>6.0483870967741903E-2</v>
      </c>
      <c r="S698" s="14">
        <v>38</v>
      </c>
      <c r="T698" s="12">
        <v>0.152047051849063</v>
      </c>
      <c r="U698" s="14">
        <v>1153</v>
      </c>
      <c r="V698" s="14">
        <v>1</v>
      </c>
      <c r="W698" s="12">
        <v>5.4999999999999997E-3</v>
      </c>
      <c r="X698" s="12">
        <v>0.15754705184906301</v>
      </c>
      <c r="Y698" s="14">
        <v>1153</v>
      </c>
      <c r="Z698" s="14">
        <v>37</v>
      </c>
      <c r="AA698" s="12" t="s">
        <v>2369</v>
      </c>
    </row>
    <row r="699" spans="1:27" ht="14.25" x14ac:dyDescent="0.45">
      <c r="A699" s="12" t="s">
        <v>1759</v>
      </c>
      <c r="B699" s="12" t="s">
        <v>1971</v>
      </c>
      <c r="C699" s="12" t="s">
        <v>1972</v>
      </c>
      <c r="D699" s="12" t="s">
        <v>1975</v>
      </c>
      <c r="E699" s="20">
        <v>31635</v>
      </c>
      <c r="F699" s="20">
        <v>44445</v>
      </c>
      <c r="G699" s="12">
        <v>1.76</v>
      </c>
      <c r="H699" s="12">
        <v>3.8666666666666698</v>
      </c>
      <c r="I699" s="13">
        <v>0.45517241379310303</v>
      </c>
      <c r="J699" s="12" t="s">
        <v>1759</v>
      </c>
      <c r="K699" s="14">
        <v>1096</v>
      </c>
      <c r="L699" s="14">
        <v>1864</v>
      </c>
      <c r="M699" s="14">
        <v>1445</v>
      </c>
      <c r="N699" s="12">
        <v>1.76</v>
      </c>
      <c r="O699" s="12" t="s">
        <v>1759</v>
      </c>
      <c r="P699" s="12">
        <v>2.8311978701670601E-4</v>
      </c>
      <c r="Q699" s="12">
        <v>2.0726399746976401E-3</v>
      </c>
      <c r="R699" s="12">
        <v>5.8467741935483902E-2</v>
      </c>
      <c r="S699" s="14">
        <v>36</v>
      </c>
      <c r="T699" s="12">
        <v>0.14015699043172899</v>
      </c>
      <c r="U699" s="14">
        <v>1185</v>
      </c>
      <c r="V699" s="14">
        <v>1</v>
      </c>
      <c r="W699" s="12">
        <v>5.4999999999999997E-3</v>
      </c>
      <c r="X699" s="12">
        <v>0.145656990431729</v>
      </c>
      <c r="Y699" s="14">
        <v>1185</v>
      </c>
      <c r="Z699" s="14">
        <v>35</v>
      </c>
      <c r="AA699" s="12" t="s">
        <v>2369</v>
      </c>
    </row>
    <row r="700" spans="1:27" ht="14.25" x14ac:dyDescent="0.45">
      <c r="A700" s="12" t="s">
        <v>1769</v>
      </c>
      <c r="B700" s="12" t="s">
        <v>1971</v>
      </c>
      <c r="C700" s="12" t="s">
        <v>1972</v>
      </c>
      <c r="D700" s="12" t="s">
        <v>1974</v>
      </c>
      <c r="E700" s="20">
        <v>30358</v>
      </c>
      <c r="F700" s="20">
        <v>44399</v>
      </c>
      <c r="G700" s="12">
        <v>6.14</v>
      </c>
      <c r="H700" s="12">
        <v>5.4</v>
      </c>
      <c r="I700" s="13">
        <v>1.13703703703704</v>
      </c>
      <c r="J700" s="12" t="s">
        <v>1769</v>
      </c>
      <c r="K700" s="14">
        <v>782</v>
      </c>
      <c r="L700" s="14">
        <v>1687</v>
      </c>
      <c r="M700" s="14">
        <v>954</v>
      </c>
      <c r="N700" s="12">
        <v>6.14</v>
      </c>
      <c r="O700" s="12" t="s">
        <v>1769</v>
      </c>
      <c r="P700" s="12">
        <v>9.8770198425146105E-4</v>
      </c>
      <c r="Q700" s="12">
        <v>5.1775290950429598E-3</v>
      </c>
      <c r="R700" s="12">
        <v>8.1653225806451596E-2</v>
      </c>
      <c r="S700" s="14">
        <v>39</v>
      </c>
      <c r="T700" s="12">
        <v>0.36063439284961502</v>
      </c>
      <c r="U700" s="14">
        <v>864</v>
      </c>
      <c r="V700" s="14">
        <v>1</v>
      </c>
      <c r="W700" s="12">
        <v>5.4999999999999997E-3</v>
      </c>
      <c r="X700" s="12">
        <v>0.36613439284961502</v>
      </c>
      <c r="Y700" s="14">
        <v>864</v>
      </c>
      <c r="Z700" s="14">
        <v>39</v>
      </c>
      <c r="AA700" s="12" t="s">
        <v>2369</v>
      </c>
    </row>
    <row r="701" spans="1:27" ht="14.25" x14ac:dyDescent="0.45">
      <c r="A701" s="12" t="s">
        <v>1772</v>
      </c>
      <c r="B701" s="12" t="s">
        <v>1971</v>
      </c>
      <c r="C701" s="12" t="s">
        <v>1972</v>
      </c>
      <c r="D701" s="12" t="s">
        <v>2020</v>
      </c>
      <c r="E701" s="20">
        <v>29134</v>
      </c>
      <c r="F701" s="20">
        <v>44396</v>
      </c>
      <c r="G701" s="12">
        <v>13.16</v>
      </c>
      <c r="H701" s="12">
        <v>5.5</v>
      </c>
      <c r="I701" s="13">
        <v>2.3927272727272699</v>
      </c>
      <c r="J701" s="12" t="s">
        <v>1772</v>
      </c>
      <c r="K701" s="14">
        <v>604</v>
      </c>
      <c r="L701" s="14">
        <v>1678</v>
      </c>
      <c r="M701" s="14">
        <v>789</v>
      </c>
      <c r="N701" s="12">
        <v>13.16</v>
      </c>
      <c r="O701" s="12" t="s">
        <v>1772</v>
      </c>
      <c r="P701" s="12">
        <v>2.11696386201128E-3</v>
      </c>
      <c r="Q701" s="12">
        <v>1.0895348759553799E-2</v>
      </c>
      <c r="R701" s="12">
        <v>8.3165322580645198E-2</v>
      </c>
      <c r="S701" s="14">
        <v>43</v>
      </c>
      <c r="T701" s="12">
        <v>0.76034544229753698</v>
      </c>
      <c r="U701" s="14">
        <v>693</v>
      </c>
      <c r="V701" s="14">
        <v>1</v>
      </c>
      <c r="W701" s="12">
        <v>5.4999999999999997E-3</v>
      </c>
      <c r="X701" s="12">
        <v>0.76584544229753704</v>
      </c>
      <c r="Y701" s="14">
        <v>693</v>
      </c>
      <c r="Z701" s="14">
        <v>42</v>
      </c>
      <c r="AA701" s="12" t="s">
        <v>2369</v>
      </c>
    </row>
    <row r="702" spans="1:27" ht="14.25" x14ac:dyDescent="0.45">
      <c r="A702" s="12" t="s">
        <v>1825</v>
      </c>
      <c r="B702" s="12" t="s">
        <v>1971</v>
      </c>
      <c r="C702" s="12" t="s">
        <v>1972</v>
      </c>
      <c r="D702" s="12" t="s">
        <v>1997</v>
      </c>
      <c r="E702" s="20">
        <v>30585</v>
      </c>
      <c r="F702" s="20">
        <v>44424</v>
      </c>
      <c r="G702" s="12">
        <v>1.29</v>
      </c>
      <c r="H702" s="12">
        <v>4.56666666666667</v>
      </c>
      <c r="I702" s="13">
        <v>0.28248175182481799</v>
      </c>
      <c r="J702" s="12" t="s">
        <v>1825</v>
      </c>
      <c r="K702" s="14">
        <v>1239</v>
      </c>
      <c r="L702" s="14">
        <v>1809</v>
      </c>
      <c r="M702" s="14">
        <v>1506</v>
      </c>
      <c r="N702" s="12">
        <v>1.29</v>
      </c>
      <c r="O702" s="12" t="s">
        <v>1825</v>
      </c>
      <c r="P702" s="12">
        <v>2.0751393480201701E-4</v>
      </c>
      <c r="Q702" s="12">
        <v>1.2862883452793401E-3</v>
      </c>
      <c r="R702" s="12">
        <v>6.9052419354838704E-2</v>
      </c>
      <c r="S702" s="14">
        <v>39</v>
      </c>
      <c r="T702" s="12">
        <v>8.8174794135034595E-2</v>
      </c>
      <c r="U702" s="14">
        <v>1324</v>
      </c>
      <c r="V702" s="14">
        <v>1</v>
      </c>
      <c r="W702" s="12">
        <v>5.4999999999999997E-3</v>
      </c>
      <c r="X702" s="12">
        <v>9.36747941350346E-2</v>
      </c>
      <c r="Y702" s="14">
        <v>1324</v>
      </c>
      <c r="Z702" s="14">
        <v>38</v>
      </c>
      <c r="AA702" s="12" t="s">
        <v>2369</v>
      </c>
    </row>
    <row r="703" spans="1:27" ht="14.25" x14ac:dyDescent="0.45">
      <c r="A703" s="12" t="s">
        <v>1833</v>
      </c>
      <c r="B703" s="12" t="s">
        <v>1971</v>
      </c>
      <c r="C703" s="12" t="s">
        <v>1972</v>
      </c>
      <c r="D703" s="12" t="s">
        <v>1975</v>
      </c>
      <c r="E703" s="20">
        <v>28730</v>
      </c>
      <c r="F703" s="20">
        <v>44410</v>
      </c>
      <c r="G703" s="12">
        <v>26.45</v>
      </c>
      <c r="H703" s="12">
        <v>5.0333333333333297</v>
      </c>
      <c r="I703" s="13">
        <v>5.2549668874172202</v>
      </c>
      <c r="J703" s="12" t="s">
        <v>1833</v>
      </c>
      <c r="K703" s="14">
        <v>431</v>
      </c>
      <c r="L703" s="14">
        <v>1727</v>
      </c>
      <c r="M703" s="14">
        <v>675</v>
      </c>
      <c r="N703" s="12">
        <v>26.45</v>
      </c>
      <c r="O703" s="12" t="s">
        <v>1833</v>
      </c>
      <c r="P703" s="12">
        <v>4.2548399810180999E-3</v>
      </c>
      <c r="Q703" s="12">
        <v>2.3928634747017299E-2</v>
      </c>
      <c r="R703" s="12">
        <v>7.6108870967741896E-2</v>
      </c>
      <c r="S703" s="14">
        <v>44</v>
      </c>
      <c r="T703" s="12">
        <v>1.65509617097676</v>
      </c>
      <c r="U703" s="14">
        <v>470</v>
      </c>
      <c r="V703" s="14">
        <v>2</v>
      </c>
      <c r="W703" s="12">
        <v>5.5999999999999999E-3</v>
      </c>
      <c r="X703" s="12">
        <v>1.66069617097676</v>
      </c>
      <c r="Y703" s="14">
        <v>470</v>
      </c>
      <c r="Z703" s="14">
        <v>43</v>
      </c>
      <c r="AA703" s="12" t="s">
        <v>2369</v>
      </c>
    </row>
    <row r="704" spans="1:27" ht="14.25" x14ac:dyDescent="0.45">
      <c r="A704" s="12" t="s">
        <v>1834</v>
      </c>
      <c r="B704" s="12" t="s">
        <v>1971</v>
      </c>
      <c r="C704" s="12" t="s">
        <v>1972</v>
      </c>
      <c r="D704" s="12" t="s">
        <v>1974</v>
      </c>
      <c r="E704" s="20">
        <v>28894</v>
      </c>
      <c r="F704" s="20">
        <v>44273</v>
      </c>
      <c r="G704" s="12">
        <v>1.08</v>
      </c>
      <c r="H704" s="12">
        <v>9.6</v>
      </c>
      <c r="I704" s="13">
        <v>0.1125</v>
      </c>
      <c r="J704" s="12" t="s">
        <v>1834</v>
      </c>
      <c r="K704" s="14">
        <v>1462</v>
      </c>
      <c r="L704" s="14">
        <v>1029</v>
      </c>
      <c r="M704" s="14">
        <v>1532</v>
      </c>
      <c r="N704" s="12">
        <v>1.08</v>
      </c>
      <c r="O704" s="12" t="s">
        <v>1834</v>
      </c>
      <c r="P704" s="12">
        <v>1.7373259657843301E-4</v>
      </c>
      <c r="Q704" s="12">
        <v>5.1227181192811005E-4</v>
      </c>
      <c r="R704" s="12">
        <v>0.14516129032258099</v>
      </c>
      <c r="S704" s="14">
        <v>43</v>
      </c>
      <c r="T704" s="12">
        <v>3.8531960617198102E-2</v>
      </c>
      <c r="U704" s="14">
        <v>1564</v>
      </c>
      <c r="V704" s="14">
        <v>1</v>
      </c>
      <c r="W704" s="12">
        <v>5.4999999999999997E-3</v>
      </c>
      <c r="X704" s="12">
        <v>4.40319606171981E-2</v>
      </c>
      <c r="Y704" s="14">
        <v>1564</v>
      </c>
      <c r="Z704" s="14">
        <v>43</v>
      </c>
      <c r="AA704" s="12" t="s">
        <v>2369</v>
      </c>
    </row>
    <row r="705" spans="1:27" ht="14.25" x14ac:dyDescent="0.45">
      <c r="A705" s="12" t="s">
        <v>1840</v>
      </c>
      <c r="B705" s="12" t="s">
        <v>1971</v>
      </c>
      <c r="C705" s="12" t="s">
        <v>1972</v>
      </c>
      <c r="D705" s="12" t="s">
        <v>1987</v>
      </c>
      <c r="E705" s="20">
        <v>30599</v>
      </c>
      <c r="F705" s="20">
        <v>44375</v>
      </c>
      <c r="G705" s="12">
        <v>14.65</v>
      </c>
      <c r="H705" s="12">
        <v>6.2</v>
      </c>
      <c r="I705" s="13">
        <v>2.3629032258064502</v>
      </c>
      <c r="J705" s="12" t="s">
        <v>1840</v>
      </c>
      <c r="K705" s="14">
        <v>608</v>
      </c>
      <c r="L705" s="14">
        <v>1638</v>
      </c>
      <c r="M705" s="14">
        <v>771</v>
      </c>
      <c r="N705" s="12">
        <v>14.65</v>
      </c>
      <c r="O705" s="12" t="s">
        <v>1840</v>
      </c>
      <c r="P705" s="12">
        <v>2.35665049988337E-3</v>
      </c>
      <c r="Q705" s="12">
        <v>1.07595441501746E-2</v>
      </c>
      <c r="R705" s="12">
        <v>9.375E-2</v>
      </c>
      <c r="S705" s="14">
        <v>39</v>
      </c>
      <c r="T705" s="12">
        <v>0.76084590313154199</v>
      </c>
      <c r="U705" s="14">
        <v>692</v>
      </c>
      <c r="V705" s="14">
        <v>1</v>
      </c>
      <c r="W705" s="12">
        <v>5.4999999999999997E-3</v>
      </c>
      <c r="X705" s="12">
        <v>0.76634590313154205</v>
      </c>
      <c r="Y705" s="14">
        <v>692</v>
      </c>
      <c r="Z705" s="14">
        <v>38</v>
      </c>
      <c r="AA705" s="12" t="s">
        <v>2369</v>
      </c>
    </row>
    <row r="706" spans="1:27" ht="14.25" x14ac:dyDescent="0.45">
      <c r="A706" s="12" t="s">
        <v>1850</v>
      </c>
      <c r="B706" s="12" t="s">
        <v>1971</v>
      </c>
      <c r="C706" s="12" t="s">
        <v>1972</v>
      </c>
      <c r="D706" s="12" t="s">
        <v>1975</v>
      </c>
      <c r="E706" s="20">
        <v>28698</v>
      </c>
      <c r="F706" s="20">
        <v>44336</v>
      </c>
      <c r="G706" s="12">
        <v>1.84</v>
      </c>
      <c r="H706" s="12">
        <v>7.5</v>
      </c>
      <c r="I706" s="13">
        <v>0.24533333333333299</v>
      </c>
      <c r="J706" s="12" t="s">
        <v>1850</v>
      </c>
      <c r="K706" s="14">
        <v>1284</v>
      </c>
      <c r="L706" s="14">
        <v>1377</v>
      </c>
      <c r="M706" s="14">
        <v>1433</v>
      </c>
      <c r="N706" s="12">
        <v>1.84</v>
      </c>
      <c r="O706" s="12" t="s">
        <v>1850</v>
      </c>
      <c r="P706" s="12">
        <v>2.95988868244738E-4</v>
      </c>
      <c r="Q706" s="12">
        <v>1.1171320106047101E-3</v>
      </c>
      <c r="R706" s="12">
        <v>0.113407258064516</v>
      </c>
      <c r="S706" s="14">
        <v>44</v>
      </c>
      <c r="T706" s="12">
        <v>8.0920333221971993E-2</v>
      </c>
      <c r="U706" s="14">
        <v>1350</v>
      </c>
      <c r="V706" s="14">
        <v>1</v>
      </c>
      <c r="W706" s="12">
        <v>5.4999999999999997E-3</v>
      </c>
      <c r="X706" s="12">
        <v>8.6420333221971998E-2</v>
      </c>
      <c r="Y706" s="14">
        <v>1350</v>
      </c>
      <c r="Z706" s="14">
        <v>43</v>
      </c>
      <c r="AA706" s="12" t="s">
        <v>2369</v>
      </c>
    </row>
    <row r="707" spans="1:27" ht="14.25" x14ac:dyDescent="0.45">
      <c r="A707" s="12" t="s">
        <v>1855</v>
      </c>
      <c r="B707" s="12" t="s">
        <v>1971</v>
      </c>
      <c r="C707" s="12" t="s">
        <v>1972</v>
      </c>
      <c r="D707" s="12" t="s">
        <v>1993</v>
      </c>
      <c r="E707" s="20">
        <v>30291</v>
      </c>
      <c r="F707" s="20">
        <v>43704</v>
      </c>
      <c r="G707" s="12">
        <v>0.32</v>
      </c>
      <c r="H707" s="12">
        <v>28.566666666666698</v>
      </c>
      <c r="I707" s="13">
        <v>1.12018669778296E-2</v>
      </c>
      <c r="J707" s="12" t="s">
        <v>1855</v>
      </c>
      <c r="K707" s="14">
        <v>1737</v>
      </c>
      <c r="L707" s="14">
        <v>266</v>
      </c>
      <c r="M707" s="14">
        <v>1730</v>
      </c>
      <c r="N707" s="12">
        <v>0.32</v>
      </c>
      <c r="O707" s="12" t="s">
        <v>1855</v>
      </c>
      <c r="P707" s="12">
        <v>5.1476324912128303E-5</v>
      </c>
      <c r="Q707" s="12">
        <v>5.1008006166315102E-5</v>
      </c>
      <c r="R707" s="12">
        <v>0.43195564516128998</v>
      </c>
      <c r="S707" s="14">
        <v>40</v>
      </c>
      <c r="T707" s="12">
        <v>5.1183625695995104E-3</v>
      </c>
      <c r="U707" s="14">
        <v>1818</v>
      </c>
      <c r="V707" s="14">
        <v>1</v>
      </c>
      <c r="W707" s="12">
        <v>5.4999999999999997E-3</v>
      </c>
      <c r="X707" s="12">
        <v>1.06183625695995E-2</v>
      </c>
      <c r="Y707" s="14">
        <v>1818</v>
      </c>
      <c r="Z707" s="14">
        <v>39</v>
      </c>
      <c r="AA707" s="12" t="s">
        <v>2369</v>
      </c>
    </row>
    <row r="708" spans="1:27" ht="14.25" x14ac:dyDescent="0.45">
      <c r="A708" s="12" t="s">
        <v>1862</v>
      </c>
      <c r="B708" s="12" t="s">
        <v>1971</v>
      </c>
      <c r="C708" s="12" t="s">
        <v>1972</v>
      </c>
      <c r="D708" s="12" t="s">
        <v>1990</v>
      </c>
      <c r="E708" s="20">
        <v>30698</v>
      </c>
      <c r="F708" s="20">
        <v>44378</v>
      </c>
      <c r="G708" s="12">
        <v>52.87</v>
      </c>
      <c r="H708" s="12">
        <v>6.1</v>
      </c>
      <c r="I708" s="13">
        <v>8.6672131147540998</v>
      </c>
      <c r="J708" s="12" t="s">
        <v>1862</v>
      </c>
      <c r="K708" s="14">
        <v>332</v>
      </c>
      <c r="L708" s="14">
        <v>1645</v>
      </c>
      <c r="M708" s="14">
        <v>476</v>
      </c>
      <c r="N708" s="12">
        <v>52.87</v>
      </c>
      <c r="O708" s="12" t="s">
        <v>1862</v>
      </c>
      <c r="P708" s="12">
        <v>8.5048540565756999E-3</v>
      </c>
      <c r="Q708" s="12">
        <v>3.94663908147748E-2</v>
      </c>
      <c r="R708" s="12">
        <v>9.2237903225806397E-2</v>
      </c>
      <c r="S708" s="14">
        <v>38</v>
      </c>
      <c r="T708" s="12">
        <v>2.78558145304501</v>
      </c>
      <c r="U708" s="14">
        <v>386</v>
      </c>
      <c r="V708" s="14">
        <v>1</v>
      </c>
      <c r="W708" s="12">
        <v>5.4999999999999997E-3</v>
      </c>
      <c r="X708" s="12">
        <v>2.7910814530450101</v>
      </c>
      <c r="Y708" s="14">
        <v>386</v>
      </c>
      <c r="Z708" s="14">
        <v>38</v>
      </c>
      <c r="AA708" s="12" t="s">
        <v>2369</v>
      </c>
    </row>
    <row r="709" spans="1:27" ht="14.25" x14ac:dyDescent="0.45">
      <c r="A709" s="12" t="s">
        <v>1864</v>
      </c>
      <c r="B709" s="12" t="s">
        <v>1971</v>
      </c>
      <c r="C709" s="12" t="s">
        <v>1972</v>
      </c>
      <c r="D709" s="12" t="s">
        <v>1995</v>
      </c>
      <c r="E709" s="20">
        <v>31299</v>
      </c>
      <c r="F709" s="20">
        <v>44393</v>
      </c>
      <c r="G709" s="12">
        <v>2.54</v>
      </c>
      <c r="H709" s="12">
        <v>5.6</v>
      </c>
      <c r="I709" s="13">
        <v>0.45357142857142901</v>
      </c>
      <c r="J709" s="12" t="s">
        <v>1864</v>
      </c>
      <c r="K709" s="14">
        <v>1099</v>
      </c>
      <c r="L709" s="14">
        <v>1674</v>
      </c>
      <c r="M709" s="14">
        <v>1269</v>
      </c>
      <c r="N709" s="12">
        <v>2.54</v>
      </c>
      <c r="O709" s="12" t="s">
        <v>1864</v>
      </c>
      <c r="P709" s="12">
        <v>4.0859332899001802E-4</v>
      </c>
      <c r="Q709" s="12">
        <v>2.0653498449165102E-3</v>
      </c>
      <c r="R709" s="12">
        <v>8.4677419354838704E-2</v>
      </c>
      <c r="S709" s="14">
        <v>37</v>
      </c>
      <c r="T709" s="12">
        <v>0.144406615144407</v>
      </c>
      <c r="U709" s="14">
        <v>1173</v>
      </c>
      <c r="V709" s="14">
        <v>1</v>
      </c>
      <c r="W709" s="12">
        <v>5.4999999999999997E-3</v>
      </c>
      <c r="X709" s="12">
        <v>0.14990661514440701</v>
      </c>
      <c r="Y709" s="14">
        <v>1173</v>
      </c>
      <c r="Z709" s="14">
        <v>36</v>
      </c>
      <c r="AA709" s="12" t="s">
        <v>2369</v>
      </c>
    </row>
    <row r="710" spans="1:27" ht="14.25" x14ac:dyDescent="0.45">
      <c r="A710" s="12" t="s">
        <v>1869</v>
      </c>
      <c r="B710" s="12" t="s">
        <v>1971</v>
      </c>
      <c r="C710" s="12" t="s">
        <v>1972</v>
      </c>
      <c r="D710" s="12" t="s">
        <v>2012</v>
      </c>
      <c r="E710" s="20">
        <v>29204</v>
      </c>
      <c r="F710" s="20">
        <v>44543</v>
      </c>
      <c r="G710" s="12">
        <v>0.68</v>
      </c>
      <c r="H710" s="12">
        <v>0.6</v>
      </c>
      <c r="I710" s="13">
        <v>1.13333333333333</v>
      </c>
      <c r="J710" s="12" t="s">
        <v>1869</v>
      </c>
      <c r="K710" s="14">
        <v>784</v>
      </c>
      <c r="L710" s="14">
        <v>1955</v>
      </c>
      <c r="M710" s="14">
        <v>1636</v>
      </c>
      <c r="N710" s="12">
        <v>0.68</v>
      </c>
      <c r="O710" s="12" t="s">
        <v>1869</v>
      </c>
      <c r="P710" s="12">
        <v>1.0938719043827299E-4</v>
      </c>
      <c r="Q710" s="12">
        <v>5.1606641794239303E-3</v>
      </c>
      <c r="R710" s="12">
        <v>9.0725806451612892E-3</v>
      </c>
      <c r="S710" s="14">
        <v>43</v>
      </c>
      <c r="T710" s="12">
        <v>0.32664353085543102</v>
      </c>
      <c r="U710" s="14">
        <v>894</v>
      </c>
      <c r="V710" s="14">
        <v>1</v>
      </c>
      <c r="W710" s="12">
        <v>5.4999999999999997E-3</v>
      </c>
      <c r="X710" s="12">
        <v>0.33214353085543102</v>
      </c>
      <c r="Y710" s="14">
        <v>894</v>
      </c>
      <c r="Z710" s="14">
        <v>42</v>
      </c>
      <c r="AA710" s="12" t="s">
        <v>2369</v>
      </c>
    </row>
    <row r="711" spans="1:27" ht="14.25" x14ac:dyDescent="0.45">
      <c r="A711" s="12" t="s">
        <v>1901</v>
      </c>
      <c r="B711" s="12" t="s">
        <v>1971</v>
      </c>
      <c r="C711" s="12" t="s">
        <v>1972</v>
      </c>
      <c r="D711" s="12" t="s">
        <v>1973</v>
      </c>
      <c r="E711" s="20">
        <v>29105</v>
      </c>
      <c r="F711" s="20">
        <v>44480</v>
      </c>
      <c r="G711" s="12">
        <v>0.14000000000000001</v>
      </c>
      <c r="H711" s="12">
        <v>2.7</v>
      </c>
      <c r="I711" s="13">
        <v>5.1851851851851899E-2</v>
      </c>
      <c r="J711" s="12" t="s">
        <v>1901</v>
      </c>
      <c r="K711" s="14">
        <v>1603</v>
      </c>
      <c r="L711" s="14">
        <v>1899</v>
      </c>
      <c r="M711" s="14">
        <v>1812</v>
      </c>
      <c r="N711" s="12">
        <v>0.14000000000000001</v>
      </c>
      <c r="O711" s="12" t="s">
        <v>1901</v>
      </c>
      <c r="P711" s="12">
        <v>2.2520892149056099E-5</v>
      </c>
      <c r="Q711" s="12">
        <v>2.36108818666454E-4</v>
      </c>
      <c r="R711" s="12">
        <v>4.0826612903225798E-2</v>
      </c>
      <c r="S711" s="14">
        <v>43</v>
      </c>
      <c r="T711" s="12">
        <v>1.5601334622243E-2</v>
      </c>
      <c r="U711" s="14">
        <v>1715</v>
      </c>
      <c r="V711" s="14">
        <v>1</v>
      </c>
      <c r="W711" s="12">
        <v>5.4999999999999997E-3</v>
      </c>
      <c r="X711" s="12">
        <v>2.1101334622243E-2</v>
      </c>
      <c r="Y711" s="14">
        <v>1715</v>
      </c>
      <c r="Z711" s="14">
        <v>42</v>
      </c>
      <c r="AA711" s="12" t="s">
        <v>2369</v>
      </c>
    </row>
    <row r="712" spans="1:27" ht="14.25" x14ac:dyDescent="0.45">
      <c r="A712" s="12" t="s">
        <v>1914</v>
      </c>
      <c r="B712" s="12" t="s">
        <v>1971</v>
      </c>
      <c r="C712" s="12" t="s">
        <v>1972</v>
      </c>
      <c r="D712" s="12" t="s">
        <v>2020</v>
      </c>
      <c r="E712" s="20">
        <v>29631</v>
      </c>
      <c r="F712" s="20">
        <v>44473</v>
      </c>
      <c r="G712" s="12">
        <v>38.43</v>
      </c>
      <c r="H712" s="12">
        <v>2.93333333333333</v>
      </c>
      <c r="I712" s="13">
        <v>13.1011363636364</v>
      </c>
      <c r="J712" s="12" t="s">
        <v>1914</v>
      </c>
      <c r="K712" s="14">
        <v>223</v>
      </c>
      <c r="L712" s="14">
        <v>1888</v>
      </c>
      <c r="M712" s="14">
        <v>530</v>
      </c>
      <c r="N712" s="12">
        <v>38.43</v>
      </c>
      <c r="O712" s="12" t="s">
        <v>1914</v>
      </c>
      <c r="P712" s="12">
        <v>6.1819848949159102E-3</v>
      </c>
      <c r="Q712" s="12">
        <v>5.9656381007264503E-2</v>
      </c>
      <c r="R712" s="12">
        <v>4.4354838709677401E-2</v>
      </c>
      <c r="S712" s="14">
        <v>41</v>
      </c>
      <c r="T712" s="12">
        <v>3.9603482465133801</v>
      </c>
      <c r="U712" s="14">
        <v>310</v>
      </c>
      <c r="V712" s="14">
        <v>1</v>
      </c>
      <c r="W712" s="12">
        <v>5.4999999999999997E-3</v>
      </c>
      <c r="X712" s="12">
        <v>3.9658482465133802</v>
      </c>
      <c r="Y712" s="14">
        <v>310</v>
      </c>
      <c r="Z712" s="14">
        <v>41</v>
      </c>
      <c r="AA712" s="12" t="s">
        <v>2369</v>
      </c>
    </row>
    <row r="713" spans="1:27" ht="14.25" x14ac:dyDescent="0.45">
      <c r="A713" s="12" t="s">
        <v>1933</v>
      </c>
      <c r="B713" s="12" t="s">
        <v>1971</v>
      </c>
      <c r="C713" s="12" t="s">
        <v>1972</v>
      </c>
      <c r="D713" s="12" t="s">
        <v>1993</v>
      </c>
      <c r="E713" s="20">
        <v>30682</v>
      </c>
      <c r="F713" s="20">
        <v>44364</v>
      </c>
      <c r="G713" s="12">
        <v>23.09</v>
      </c>
      <c r="H713" s="12">
        <v>6.56666666666667</v>
      </c>
      <c r="I713" s="13">
        <v>3.5162436548223401</v>
      </c>
      <c r="J713" s="12" t="s">
        <v>1933</v>
      </c>
      <c r="K713" s="14">
        <v>518</v>
      </c>
      <c r="L713" s="14">
        <v>1496</v>
      </c>
      <c r="M713" s="14">
        <v>698</v>
      </c>
      <c r="N713" s="12">
        <v>23.09</v>
      </c>
      <c r="O713" s="12" t="s">
        <v>1933</v>
      </c>
      <c r="P713" s="12">
        <v>3.7143385694407599E-3</v>
      </c>
      <c r="Q713" s="12">
        <v>1.6011311184325E-2</v>
      </c>
      <c r="R713" s="12">
        <v>9.92943548387097E-2</v>
      </c>
      <c r="S713" s="14">
        <v>38</v>
      </c>
      <c r="T713" s="12">
        <v>1.1399946453743399</v>
      </c>
      <c r="U713" s="14">
        <v>541</v>
      </c>
      <c r="V713" s="14">
        <v>1</v>
      </c>
      <c r="W713" s="12">
        <v>5.4999999999999997E-3</v>
      </c>
      <c r="X713" s="12">
        <v>1.14549464537434</v>
      </c>
      <c r="Y713" s="14">
        <v>541</v>
      </c>
      <c r="Z713" s="14">
        <v>38</v>
      </c>
      <c r="AA713" s="12" t="s">
        <v>2369</v>
      </c>
    </row>
    <row r="714" spans="1:27" ht="14.25" x14ac:dyDescent="0.45">
      <c r="A714" s="12" t="s">
        <v>1939</v>
      </c>
      <c r="B714" s="12" t="s">
        <v>1971</v>
      </c>
      <c r="C714" s="12" t="s">
        <v>1972</v>
      </c>
      <c r="D714" s="12" t="s">
        <v>1978</v>
      </c>
      <c r="E714" s="20">
        <v>29228</v>
      </c>
      <c r="F714" s="20">
        <v>44459</v>
      </c>
      <c r="G714" s="12">
        <v>8.59</v>
      </c>
      <c r="H714" s="12">
        <v>3.4</v>
      </c>
      <c r="I714" s="13">
        <v>2.52647058823529</v>
      </c>
      <c r="J714" s="12" t="s">
        <v>1939</v>
      </c>
      <c r="K714" s="14">
        <v>589</v>
      </c>
      <c r="L714" s="14">
        <v>1879</v>
      </c>
      <c r="M714" s="14">
        <v>872</v>
      </c>
      <c r="N714" s="12">
        <v>8.59</v>
      </c>
      <c r="O714" s="12" t="s">
        <v>1939</v>
      </c>
      <c r="P714" s="12">
        <v>1.38181759685994E-3</v>
      </c>
      <c r="Q714" s="12">
        <v>1.150435258683E-2</v>
      </c>
      <c r="R714" s="12">
        <v>5.1411290322580599E-2</v>
      </c>
      <c r="S714" s="14">
        <v>42</v>
      </c>
      <c r="T714" s="12">
        <v>0.77084019655912195</v>
      </c>
      <c r="U714" s="14">
        <v>690</v>
      </c>
      <c r="V714" s="14">
        <v>1</v>
      </c>
      <c r="W714" s="12">
        <v>5.4999999999999997E-3</v>
      </c>
      <c r="X714" s="12">
        <v>0.77634019655912201</v>
      </c>
      <c r="Y714" s="14">
        <v>690</v>
      </c>
      <c r="Z714" s="14">
        <v>42</v>
      </c>
      <c r="AA714" s="12" t="s">
        <v>2369</v>
      </c>
    </row>
    <row r="715" spans="1:27" ht="14.25" x14ac:dyDescent="0.45">
      <c r="A715" s="12" t="s">
        <v>1955</v>
      </c>
      <c r="B715" s="12" t="s">
        <v>1971</v>
      </c>
      <c r="C715" s="12" t="s">
        <v>1972</v>
      </c>
      <c r="D715" s="12" t="s">
        <v>1978</v>
      </c>
      <c r="E715" s="20">
        <v>31143</v>
      </c>
      <c r="F715" s="20">
        <v>43714</v>
      </c>
      <c r="G715" s="12">
        <v>2.12</v>
      </c>
      <c r="H715" s="12">
        <v>28.233333333333299</v>
      </c>
      <c r="I715" s="13">
        <v>7.50885478158205E-2</v>
      </c>
      <c r="J715" s="12" t="s">
        <v>1955</v>
      </c>
      <c r="K715" s="14">
        <v>1552</v>
      </c>
      <c r="L715" s="14">
        <v>280</v>
      </c>
      <c r="M715" s="14">
        <v>1335</v>
      </c>
      <c r="N715" s="12">
        <v>2.12</v>
      </c>
      <c r="O715" s="12" t="s">
        <v>1955</v>
      </c>
      <c r="P715" s="12">
        <v>3.4103065254284997E-4</v>
      </c>
      <c r="Q715" s="12">
        <v>3.4191774617476403E-4</v>
      </c>
      <c r="R715" s="12">
        <v>0.42691532258064502</v>
      </c>
      <c r="S715" s="14">
        <v>37</v>
      </c>
      <c r="T715" s="12">
        <v>3.41585086062796E-2</v>
      </c>
      <c r="U715" s="14">
        <v>1593</v>
      </c>
      <c r="V715" s="14">
        <v>1</v>
      </c>
      <c r="W715" s="12">
        <v>5.4999999999999997E-3</v>
      </c>
      <c r="X715" s="12">
        <v>3.9658508606279598E-2</v>
      </c>
      <c r="Y715" s="14">
        <v>1593</v>
      </c>
      <c r="Z715" s="14">
        <v>37</v>
      </c>
      <c r="AA715" s="12" t="s">
        <v>2369</v>
      </c>
    </row>
    <row r="716" spans="1:27" ht="14.25" x14ac:dyDescent="0.45">
      <c r="A716" s="12" t="s">
        <v>1964</v>
      </c>
      <c r="B716" s="12" t="s">
        <v>1971</v>
      </c>
      <c r="C716" s="12" t="s">
        <v>1972</v>
      </c>
      <c r="D716" s="12" t="s">
        <v>2020</v>
      </c>
      <c r="E716" s="20">
        <v>31553</v>
      </c>
      <c r="F716" s="20">
        <v>43852</v>
      </c>
      <c r="G716" s="12">
        <v>2.23</v>
      </c>
      <c r="H716" s="12">
        <v>23.633333333333301</v>
      </c>
      <c r="I716" s="13">
        <v>9.4358251057827899E-2</v>
      </c>
      <c r="J716" s="12" t="s">
        <v>1964</v>
      </c>
      <c r="K716" s="14">
        <v>1510</v>
      </c>
      <c r="L716" s="14">
        <v>395</v>
      </c>
      <c r="M716" s="14">
        <v>1318</v>
      </c>
      <c r="N716" s="12">
        <v>2.23</v>
      </c>
      <c r="O716" s="12" t="s">
        <v>1964</v>
      </c>
      <c r="P716" s="12">
        <v>3.5872563923139401E-4</v>
      </c>
      <c r="Q716" s="12">
        <v>4.2966286435343202E-4</v>
      </c>
      <c r="R716" s="12">
        <v>0.35735887096774199</v>
      </c>
      <c r="S716" s="14">
        <v>36</v>
      </c>
      <c r="T716" s="12">
        <v>4.03061404932668E-2</v>
      </c>
      <c r="U716" s="14">
        <v>1558</v>
      </c>
      <c r="V716" s="14">
        <v>2</v>
      </c>
      <c r="W716" s="12">
        <v>5.5999999999999999E-3</v>
      </c>
      <c r="X716" s="12">
        <v>4.59061404932668E-2</v>
      </c>
      <c r="Y716" s="14">
        <v>1558</v>
      </c>
      <c r="Z716" s="14">
        <v>36</v>
      </c>
      <c r="AA716" s="12" t="s">
        <v>2369</v>
      </c>
    </row>
    <row r="717" spans="1:27" ht="14.25" x14ac:dyDescent="0.45">
      <c r="A717" s="12" t="s">
        <v>107</v>
      </c>
      <c r="B717" s="12" t="s">
        <v>1971</v>
      </c>
      <c r="C717" s="12" t="s">
        <v>1972</v>
      </c>
      <c r="D717" s="12" t="s">
        <v>1975</v>
      </c>
      <c r="E717" s="20">
        <v>36058</v>
      </c>
      <c r="F717" s="20">
        <v>44109</v>
      </c>
      <c r="G717" s="12">
        <v>11.08</v>
      </c>
      <c r="H717" s="12">
        <v>15.0666666666667</v>
      </c>
      <c r="I717" s="13">
        <v>0.73539823008849603</v>
      </c>
      <c r="J717" s="12" t="s">
        <v>107</v>
      </c>
      <c r="K717" s="14">
        <v>919</v>
      </c>
      <c r="L717" s="14">
        <v>501</v>
      </c>
      <c r="M717" s="14">
        <v>826</v>
      </c>
      <c r="N717" s="12">
        <v>11.08</v>
      </c>
      <c r="O717" s="12" t="s">
        <v>107</v>
      </c>
      <c r="P717" s="12">
        <v>1.7823677500824399E-3</v>
      </c>
      <c r="Q717" s="12">
        <v>3.3486558561436398E-3</v>
      </c>
      <c r="R717" s="12">
        <v>0.227822580645161</v>
      </c>
      <c r="S717" s="14">
        <v>24</v>
      </c>
      <c r="T717" s="12">
        <v>0.27612978163706903</v>
      </c>
      <c r="U717" s="14">
        <v>941</v>
      </c>
      <c r="V717" s="14">
        <v>1</v>
      </c>
      <c r="W717" s="12">
        <v>5.4999999999999997E-3</v>
      </c>
      <c r="X717" s="12">
        <v>0.28162978163706898</v>
      </c>
      <c r="Y717" s="14">
        <v>941</v>
      </c>
      <c r="Z717" s="14">
        <v>23</v>
      </c>
      <c r="AA717" s="12" t="s">
        <v>2370</v>
      </c>
    </row>
    <row r="718" spans="1:27" ht="14.25" x14ac:dyDescent="0.45">
      <c r="A718" s="12" t="s">
        <v>113</v>
      </c>
      <c r="B718" s="12" t="s">
        <v>1971</v>
      </c>
      <c r="C718" s="12" t="s">
        <v>1972</v>
      </c>
      <c r="D718" s="12" t="s">
        <v>2014</v>
      </c>
      <c r="E718" s="20">
        <v>37594</v>
      </c>
      <c r="F718" s="20">
        <v>44169</v>
      </c>
      <c r="G718" s="12">
        <v>117.64</v>
      </c>
      <c r="H718" s="12">
        <v>13.0666666666667</v>
      </c>
      <c r="I718" s="13">
        <v>9.0030612244897998</v>
      </c>
      <c r="J718" s="12" t="s">
        <v>113</v>
      </c>
      <c r="K718" s="14">
        <v>320</v>
      </c>
      <c r="L718" s="14">
        <v>668</v>
      </c>
      <c r="M718" s="14">
        <v>359</v>
      </c>
      <c r="N718" s="12">
        <v>117.64</v>
      </c>
      <c r="O718" s="12" t="s">
        <v>113</v>
      </c>
      <c r="P718" s="12">
        <v>1.8923983945821201E-2</v>
      </c>
      <c r="Q718" s="12">
        <v>4.09956843232809E-2</v>
      </c>
      <c r="R718" s="12">
        <v>0.19758064516129001</v>
      </c>
      <c r="S718" s="14">
        <v>20</v>
      </c>
      <c r="T718" s="12">
        <v>3.2718796681733502</v>
      </c>
      <c r="U718" s="14">
        <v>355</v>
      </c>
      <c r="V718" s="14">
        <v>3</v>
      </c>
      <c r="W718" s="12">
        <v>5.7000000000000002E-3</v>
      </c>
      <c r="X718" s="12">
        <v>3.2775796681733498</v>
      </c>
      <c r="Y718" s="14">
        <v>355</v>
      </c>
      <c r="Z718" s="14">
        <v>19</v>
      </c>
      <c r="AA718" s="12" t="s">
        <v>2370</v>
      </c>
    </row>
    <row r="719" spans="1:27" ht="14.25" x14ac:dyDescent="0.45">
      <c r="A719" s="12" t="s">
        <v>146</v>
      </c>
      <c r="B719" s="12" t="s">
        <v>1971</v>
      </c>
      <c r="C719" s="12" t="s">
        <v>1972</v>
      </c>
      <c r="D719" s="12" t="s">
        <v>1975</v>
      </c>
      <c r="E719" s="20">
        <v>36144</v>
      </c>
      <c r="F719" s="20">
        <v>44062</v>
      </c>
      <c r="G719" s="12">
        <v>14.77</v>
      </c>
      <c r="H719" s="12">
        <v>16.633333333333301</v>
      </c>
      <c r="I719" s="13">
        <v>0.88797595190380796</v>
      </c>
      <c r="J719" s="12" t="s">
        <v>146</v>
      </c>
      <c r="K719" s="14">
        <v>860</v>
      </c>
      <c r="L719" s="14">
        <v>463</v>
      </c>
      <c r="M719" s="14">
        <v>769</v>
      </c>
      <c r="N719" s="12">
        <v>14.77</v>
      </c>
      <c r="O719" s="12" t="s">
        <v>146</v>
      </c>
      <c r="P719" s="12">
        <v>2.3759541217254201E-3</v>
      </c>
      <c r="Q719" s="12">
        <v>4.0434226651586804E-3</v>
      </c>
      <c r="R719" s="12">
        <v>0.25151209677419401</v>
      </c>
      <c r="S719" s="14">
        <v>24</v>
      </c>
      <c r="T719" s="12">
        <v>0.34181219613712099</v>
      </c>
      <c r="U719" s="14">
        <v>880</v>
      </c>
      <c r="V719" s="14">
        <v>2</v>
      </c>
      <c r="W719" s="12">
        <v>5.5999999999999999E-3</v>
      </c>
      <c r="X719" s="12">
        <v>0.34741219613712099</v>
      </c>
      <c r="Y719" s="14">
        <v>880</v>
      </c>
      <c r="Z719" s="14">
        <v>23</v>
      </c>
      <c r="AA719" s="12" t="s">
        <v>2370</v>
      </c>
    </row>
    <row r="720" spans="1:27" ht="14.25" x14ac:dyDescent="0.45">
      <c r="A720" s="12" t="s">
        <v>151</v>
      </c>
      <c r="B720" s="12" t="s">
        <v>1971</v>
      </c>
      <c r="C720" s="12" t="s">
        <v>1972</v>
      </c>
      <c r="D720" s="12" t="s">
        <v>1993</v>
      </c>
      <c r="E720" s="20">
        <v>35708</v>
      </c>
      <c r="F720" s="20">
        <v>44124</v>
      </c>
      <c r="G720" s="12">
        <v>2428.4499999999998</v>
      </c>
      <c r="H720" s="12">
        <v>14.5666666666667</v>
      </c>
      <c r="I720" s="13">
        <v>166.71281464530901</v>
      </c>
      <c r="J720" s="12" t="s">
        <v>151</v>
      </c>
      <c r="K720" s="14">
        <v>6</v>
      </c>
      <c r="L720" s="14">
        <v>557</v>
      </c>
      <c r="M720" s="14">
        <v>15</v>
      </c>
      <c r="N720" s="12">
        <v>2428.4499999999998</v>
      </c>
      <c r="O720" s="12" t="s">
        <v>151</v>
      </c>
      <c r="P720" s="12">
        <v>0.39064900385268098</v>
      </c>
      <c r="Q720" s="12">
        <v>0.75913133893322304</v>
      </c>
      <c r="R720" s="12">
        <v>0.22026209677419401</v>
      </c>
      <c r="S720" s="14">
        <v>25</v>
      </c>
      <c r="T720" s="12">
        <v>62.095046327802002</v>
      </c>
      <c r="U720" s="14">
        <v>5</v>
      </c>
      <c r="V720" s="14">
        <v>30</v>
      </c>
      <c r="W720" s="12">
        <v>7.7000000000000002E-3</v>
      </c>
      <c r="X720" s="12">
        <v>62.102746327802002</v>
      </c>
      <c r="Y720" s="14">
        <v>5</v>
      </c>
      <c r="Z720" s="14">
        <v>24</v>
      </c>
      <c r="AA720" s="12" t="s">
        <v>2370</v>
      </c>
    </row>
    <row r="721" spans="1:27" ht="14.25" x14ac:dyDescent="0.45">
      <c r="A721" s="12" t="s">
        <v>221</v>
      </c>
      <c r="B721" s="12" t="s">
        <v>1971</v>
      </c>
      <c r="C721" s="12" t="s">
        <v>1972</v>
      </c>
      <c r="D721" s="12" t="s">
        <v>1974</v>
      </c>
      <c r="E721" s="20">
        <v>36140</v>
      </c>
      <c r="F721" s="20">
        <v>44218</v>
      </c>
      <c r="G721" s="12">
        <v>0.66</v>
      </c>
      <c r="H721" s="12">
        <v>11.4333333333333</v>
      </c>
      <c r="I721" s="13">
        <v>5.7725947521865897E-2</v>
      </c>
      <c r="J721" s="12" t="s">
        <v>221</v>
      </c>
      <c r="K721" s="14">
        <v>1585</v>
      </c>
      <c r="L721" s="14">
        <v>855</v>
      </c>
      <c r="M721" s="14">
        <v>1642</v>
      </c>
      <c r="N721" s="12">
        <v>0.66</v>
      </c>
      <c r="O721" s="12" t="s">
        <v>221</v>
      </c>
      <c r="P721" s="12">
        <v>1.06169920131265E-4</v>
      </c>
      <c r="Q721" s="12">
        <v>2.6285667317594002E-4</v>
      </c>
      <c r="R721" s="12">
        <v>0.172883064516129</v>
      </c>
      <c r="S721" s="14">
        <v>24</v>
      </c>
      <c r="T721" s="12">
        <v>2.04099140784187E-2</v>
      </c>
      <c r="U721" s="14">
        <v>1681</v>
      </c>
      <c r="V721" s="14">
        <v>1</v>
      </c>
      <c r="W721" s="12">
        <v>5.4999999999999997E-3</v>
      </c>
      <c r="X721" s="12">
        <v>2.5909914078418701E-2</v>
      </c>
      <c r="Y721" s="14">
        <v>1681</v>
      </c>
      <c r="Z721" s="14">
        <v>23</v>
      </c>
      <c r="AA721" s="12" t="s">
        <v>2370</v>
      </c>
    </row>
    <row r="722" spans="1:27" ht="14.25" x14ac:dyDescent="0.45">
      <c r="A722" s="12" t="s">
        <v>227</v>
      </c>
      <c r="B722" s="12" t="s">
        <v>1971</v>
      </c>
      <c r="C722" s="12" t="s">
        <v>1972</v>
      </c>
      <c r="D722" s="12" t="s">
        <v>1993</v>
      </c>
      <c r="E722" s="20">
        <v>36128</v>
      </c>
      <c r="F722" s="20">
        <v>44123</v>
      </c>
      <c r="G722" s="12">
        <v>548.30999999999995</v>
      </c>
      <c r="H722" s="12">
        <v>14.6</v>
      </c>
      <c r="I722" s="13">
        <v>37.555479452054797</v>
      </c>
      <c r="J722" s="12" t="s">
        <v>227</v>
      </c>
      <c r="K722" s="14">
        <v>64</v>
      </c>
      <c r="L722" s="14">
        <v>552</v>
      </c>
      <c r="M722" s="14">
        <v>133</v>
      </c>
      <c r="N722" s="12">
        <v>548.30999999999995</v>
      </c>
      <c r="O722" s="12" t="s">
        <v>227</v>
      </c>
      <c r="P722" s="12">
        <v>8.82030741017783E-2</v>
      </c>
      <c r="Q722" s="12">
        <v>0.17100989783762699</v>
      </c>
      <c r="R722" s="12">
        <v>0.22076612903225801</v>
      </c>
      <c r="S722" s="14">
        <v>24</v>
      </c>
      <c r="T722" s="12">
        <v>13.995733893668399</v>
      </c>
      <c r="U722" s="14">
        <v>73</v>
      </c>
      <c r="V722" s="14">
        <v>24</v>
      </c>
      <c r="W722" s="12">
        <v>7.4000000000000003E-3</v>
      </c>
      <c r="X722" s="12">
        <v>14.0031338936684</v>
      </c>
      <c r="Y722" s="14">
        <v>73</v>
      </c>
      <c r="Z722" s="14">
        <v>23</v>
      </c>
      <c r="AA722" s="12" t="s">
        <v>2370</v>
      </c>
    </row>
    <row r="723" spans="1:27" ht="14.25" x14ac:dyDescent="0.45">
      <c r="A723" s="12" t="s">
        <v>242</v>
      </c>
      <c r="B723" s="12" t="s">
        <v>1971</v>
      </c>
      <c r="C723" s="12" t="s">
        <v>1972</v>
      </c>
      <c r="D723" s="12" t="s">
        <v>1974</v>
      </c>
      <c r="E723" s="20">
        <v>35732</v>
      </c>
      <c r="F723" s="20">
        <v>44211</v>
      </c>
      <c r="G723" s="12">
        <v>5.77</v>
      </c>
      <c r="H723" s="12">
        <v>11.6666666666667</v>
      </c>
      <c r="I723" s="13">
        <v>0.49457142857142899</v>
      </c>
      <c r="J723" s="12" t="s">
        <v>242</v>
      </c>
      <c r="K723" s="14">
        <v>1058</v>
      </c>
      <c r="L723" s="14">
        <v>823</v>
      </c>
      <c r="M723" s="14">
        <v>981</v>
      </c>
      <c r="N723" s="12">
        <v>5.77</v>
      </c>
      <c r="O723" s="12" t="s">
        <v>242</v>
      </c>
      <c r="P723" s="12">
        <v>9.2818248357181296E-4</v>
      </c>
      <c r="Q723" s="12">
        <v>2.2520444608192E-3</v>
      </c>
      <c r="R723" s="12">
        <v>0.17641129032258099</v>
      </c>
      <c r="S723" s="14">
        <v>25</v>
      </c>
      <c r="T723" s="12">
        <v>0.17555962193514299</v>
      </c>
      <c r="U723" s="14">
        <v>1098</v>
      </c>
      <c r="V723" s="14">
        <v>1</v>
      </c>
      <c r="W723" s="12">
        <v>5.4999999999999997E-3</v>
      </c>
      <c r="X723" s="12">
        <v>0.18105962193514299</v>
      </c>
      <c r="Y723" s="14">
        <v>1098</v>
      </c>
      <c r="Z723" s="14">
        <v>24</v>
      </c>
      <c r="AA723" s="12" t="s">
        <v>2370</v>
      </c>
    </row>
    <row r="724" spans="1:27" ht="14.25" x14ac:dyDescent="0.45">
      <c r="A724" s="12" t="s">
        <v>249</v>
      </c>
      <c r="B724" s="12" t="s">
        <v>1971</v>
      </c>
      <c r="C724" s="12" t="s">
        <v>1972</v>
      </c>
      <c r="D724" s="12" t="s">
        <v>1982</v>
      </c>
      <c r="E724" s="20">
        <v>37072</v>
      </c>
      <c r="F724" s="20">
        <v>44194</v>
      </c>
      <c r="G724" s="12">
        <v>1.08</v>
      </c>
      <c r="H724" s="12">
        <v>12.233333333333301</v>
      </c>
      <c r="I724" s="13">
        <v>8.8283378746594005E-2</v>
      </c>
      <c r="J724" s="12" t="s">
        <v>249</v>
      </c>
      <c r="K724" s="14">
        <v>1529</v>
      </c>
      <c r="L724" s="14">
        <v>745</v>
      </c>
      <c r="M724" s="14">
        <v>1532</v>
      </c>
      <c r="N724" s="12">
        <v>1.08</v>
      </c>
      <c r="O724" s="12" t="s">
        <v>249</v>
      </c>
      <c r="P724" s="12">
        <v>1.7373259657843301E-4</v>
      </c>
      <c r="Q724" s="12">
        <v>4.0200076794358498E-4</v>
      </c>
      <c r="R724" s="12">
        <v>0.18497983870967699</v>
      </c>
      <c r="S724" s="14">
        <v>21</v>
      </c>
      <c r="T724" s="12">
        <v>3.1640020368165302E-2</v>
      </c>
      <c r="U724" s="14">
        <v>1608</v>
      </c>
      <c r="V724" s="14">
        <v>1</v>
      </c>
      <c r="W724" s="12">
        <v>5.4999999999999997E-3</v>
      </c>
      <c r="X724" s="12">
        <v>3.71400203681653E-2</v>
      </c>
      <c r="Y724" s="14">
        <v>1610</v>
      </c>
      <c r="Z724" s="14">
        <v>21</v>
      </c>
      <c r="AA724" s="12" t="s">
        <v>2370</v>
      </c>
    </row>
    <row r="725" spans="1:27" ht="14.25" x14ac:dyDescent="0.45">
      <c r="A725" s="12" t="s">
        <v>318</v>
      </c>
      <c r="B725" s="12" t="s">
        <v>1971</v>
      </c>
      <c r="C725" s="12" t="s">
        <v>1972</v>
      </c>
      <c r="D725" s="12" t="s">
        <v>1973</v>
      </c>
      <c r="E725" s="20">
        <v>35887</v>
      </c>
      <c r="F725" s="20">
        <v>44109</v>
      </c>
      <c r="G725" s="12">
        <v>10</v>
      </c>
      <c r="H725" s="12">
        <v>15.0666666666667</v>
      </c>
      <c r="I725" s="13">
        <v>0.66371681415929196</v>
      </c>
      <c r="J725" s="12" t="s">
        <v>318</v>
      </c>
      <c r="K725" s="14">
        <v>953</v>
      </c>
      <c r="L725" s="14">
        <v>501</v>
      </c>
      <c r="M725" s="14">
        <v>843</v>
      </c>
      <c r="N725" s="12">
        <v>10</v>
      </c>
      <c r="O725" s="12" t="s">
        <v>318</v>
      </c>
      <c r="P725" s="12">
        <v>1.60863515350401E-3</v>
      </c>
      <c r="Q725" s="12">
        <v>3.0222525777469601E-3</v>
      </c>
      <c r="R725" s="12">
        <v>0.227822580645161</v>
      </c>
      <c r="S725" s="14">
        <v>24</v>
      </c>
      <c r="T725" s="12">
        <v>0.24921460436558601</v>
      </c>
      <c r="U725" s="14">
        <v>970</v>
      </c>
      <c r="V725" s="14">
        <v>1</v>
      </c>
      <c r="W725" s="12">
        <v>5.4999999999999997E-3</v>
      </c>
      <c r="X725" s="12">
        <v>0.25471460436558602</v>
      </c>
      <c r="Y725" s="14">
        <v>970</v>
      </c>
      <c r="Z725" s="14">
        <v>24</v>
      </c>
      <c r="AA725" s="12" t="s">
        <v>2370</v>
      </c>
    </row>
    <row r="726" spans="1:27" ht="14.25" x14ac:dyDescent="0.45">
      <c r="A726" s="12" t="s">
        <v>320</v>
      </c>
      <c r="B726" s="12" t="s">
        <v>1971</v>
      </c>
      <c r="C726" s="12" t="s">
        <v>1972</v>
      </c>
      <c r="D726" s="12" t="s">
        <v>1975</v>
      </c>
      <c r="E726" s="20">
        <v>36544</v>
      </c>
      <c r="F726" s="20">
        <v>44134</v>
      </c>
      <c r="G726" s="12">
        <v>0.96</v>
      </c>
      <c r="H726" s="12">
        <v>14.233333333333301</v>
      </c>
      <c r="I726" s="13">
        <v>6.74473067915691E-2</v>
      </c>
      <c r="J726" s="12" t="s">
        <v>320</v>
      </c>
      <c r="K726" s="14">
        <v>1569</v>
      </c>
      <c r="L726" s="14">
        <v>593</v>
      </c>
      <c r="M726" s="14">
        <v>1567</v>
      </c>
      <c r="N726" s="12">
        <v>0.96</v>
      </c>
      <c r="O726" s="12" t="s">
        <v>320</v>
      </c>
      <c r="P726" s="12">
        <v>1.54428974736385E-4</v>
      </c>
      <c r="Q726" s="12">
        <v>3.0712314719811797E-4</v>
      </c>
      <c r="R726" s="12">
        <v>0.21522177419354799</v>
      </c>
      <c r="S726" s="14">
        <v>22</v>
      </c>
      <c r="T726" s="12">
        <v>2.4986283252496799E-2</v>
      </c>
      <c r="U726" s="14">
        <v>1652</v>
      </c>
      <c r="V726" s="14">
        <v>1</v>
      </c>
      <c r="W726" s="12">
        <v>5.4999999999999997E-3</v>
      </c>
      <c r="X726" s="12">
        <v>3.0486283252496801E-2</v>
      </c>
      <c r="Y726" s="14">
        <v>1652</v>
      </c>
      <c r="Z726" s="14">
        <v>22</v>
      </c>
      <c r="AA726" s="12" t="s">
        <v>2370</v>
      </c>
    </row>
    <row r="727" spans="1:27" ht="14.25" x14ac:dyDescent="0.45">
      <c r="A727" s="12" t="s">
        <v>343</v>
      </c>
      <c r="B727" s="12" t="s">
        <v>1971</v>
      </c>
      <c r="C727" s="12" t="s">
        <v>1972</v>
      </c>
      <c r="D727" s="12" t="s">
        <v>1974</v>
      </c>
      <c r="E727" s="20">
        <v>35930</v>
      </c>
      <c r="F727" s="20">
        <v>43314</v>
      </c>
      <c r="G727" s="12">
        <v>1170.0999999999999</v>
      </c>
      <c r="H727" s="12">
        <v>41.566666666666698</v>
      </c>
      <c r="I727" s="13">
        <v>28.149959903768998</v>
      </c>
      <c r="J727" s="12" t="s">
        <v>343</v>
      </c>
      <c r="K727" s="14">
        <v>90</v>
      </c>
      <c r="L727" s="14">
        <v>138</v>
      </c>
      <c r="M727" s="14">
        <v>45</v>
      </c>
      <c r="N727" s="12">
        <v>1170.0999999999999</v>
      </c>
      <c r="O727" s="12" t="s">
        <v>343</v>
      </c>
      <c r="P727" s="12">
        <v>0.18822639931150401</v>
      </c>
      <c r="Q727" s="12">
        <v>0.12818160858317701</v>
      </c>
      <c r="R727" s="12">
        <v>0.62852822580645196</v>
      </c>
      <c r="S727" s="14">
        <v>24</v>
      </c>
      <c r="T727" s="12">
        <v>15.06984051063</v>
      </c>
      <c r="U727" s="14">
        <v>68</v>
      </c>
      <c r="V727" s="14">
        <v>30</v>
      </c>
      <c r="W727" s="12">
        <v>7.7000000000000002E-3</v>
      </c>
      <c r="X727" s="12">
        <v>15.07754051063</v>
      </c>
      <c r="Y727" s="14">
        <v>68</v>
      </c>
      <c r="Z727" s="14">
        <v>24</v>
      </c>
      <c r="AA727" s="12" t="s">
        <v>2370</v>
      </c>
    </row>
    <row r="728" spans="1:27" ht="14.25" x14ac:dyDescent="0.45">
      <c r="A728" s="12" t="s">
        <v>349</v>
      </c>
      <c r="B728" s="12" t="s">
        <v>1971</v>
      </c>
      <c r="C728" s="12" t="s">
        <v>1972</v>
      </c>
      <c r="D728" s="12" t="s">
        <v>1982</v>
      </c>
      <c r="E728" s="20">
        <v>36374</v>
      </c>
      <c r="F728" s="20">
        <v>43297</v>
      </c>
      <c r="G728" s="12">
        <v>5.76</v>
      </c>
      <c r="H728" s="12">
        <v>42.133333333333297</v>
      </c>
      <c r="I728" s="13">
        <v>0.13670886075949401</v>
      </c>
      <c r="J728" s="12" t="s">
        <v>349</v>
      </c>
      <c r="K728" s="14">
        <v>1430</v>
      </c>
      <c r="L728" s="14">
        <v>122</v>
      </c>
      <c r="M728" s="14">
        <v>982</v>
      </c>
      <c r="N728" s="12">
        <v>5.76</v>
      </c>
      <c r="O728" s="12" t="s">
        <v>349</v>
      </c>
      <c r="P728" s="12">
        <v>9.26573848418309E-4</v>
      </c>
      <c r="Q728" s="12">
        <v>6.2250751829238699E-4</v>
      </c>
      <c r="R728" s="12">
        <v>0.63709677419354804</v>
      </c>
      <c r="S728" s="14">
        <v>23</v>
      </c>
      <c r="T728" s="12">
        <v>7.3653239208960802E-2</v>
      </c>
      <c r="U728" s="14">
        <v>1418</v>
      </c>
      <c r="V728" s="14">
        <v>3</v>
      </c>
      <c r="W728" s="12">
        <v>5.7000000000000002E-3</v>
      </c>
      <c r="X728" s="12">
        <v>7.9353239208960799E-2</v>
      </c>
      <c r="Y728" s="14">
        <v>1418</v>
      </c>
      <c r="Z728" s="14">
        <v>22</v>
      </c>
      <c r="AA728" s="12" t="s">
        <v>2370</v>
      </c>
    </row>
    <row r="729" spans="1:27" ht="14.25" x14ac:dyDescent="0.45">
      <c r="A729" s="12" t="s">
        <v>351</v>
      </c>
      <c r="B729" s="12" t="s">
        <v>1971</v>
      </c>
      <c r="C729" s="12" t="s">
        <v>1972</v>
      </c>
      <c r="D729" s="12" t="s">
        <v>2007</v>
      </c>
      <c r="E729" s="20">
        <v>36021</v>
      </c>
      <c r="F729" s="20">
        <v>44168</v>
      </c>
      <c r="G729" s="12">
        <v>105.63</v>
      </c>
      <c r="H729" s="12">
        <v>13.1</v>
      </c>
      <c r="I729" s="13">
        <v>8.0633587786259593</v>
      </c>
      <c r="J729" s="12" t="s">
        <v>351</v>
      </c>
      <c r="K729" s="14">
        <v>348</v>
      </c>
      <c r="L729" s="14">
        <v>666</v>
      </c>
      <c r="M729" s="14">
        <v>375</v>
      </c>
      <c r="N729" s="12">
        <v>105.63</v>
      </c>
      <c r="O729" s="12" t="s">
        <v>351</v>
      </c>
      <c r="P729" s="12">
        <v>1.6992013126462899E-2</v>
      </c>
      <c r="Q729" s="12">
        <v>3.6716723660027997E-2</v>
      </c>
      <c r="R729" s="12">
        <v>0.19808467741935501</v>
      </c>
      <c r="S729" s="14">
        <v>24</v>
      </c>
      <c r="T729" s="12">
        <v>2.9319957209941099</v>
      </c>
      <c r="U729" s="14">
        <v>380</v>
      </c>
      <c r="V729" s="14">
        <v>12</v>
      </c>
      <c r="W729" s="12">
        <v>6.6E-3</v>
      </c>
      <c r="X729" s="12">
        <v>2.93859572099411</v>
      </c>
      <c r="Y729" s="14">
        <v>380</v>
      </c>
      <c r="Z729" s="14">
        <v>23</v>
      </c>
      <c r="AA729" s="12" t="s">
        <v>2370</v>
      </c>
    </row>
    <row r="730" spans="1:27" ht="14.25" x14ac:dyDescent="0.45">
      <c r="A730" s="12" t="s">
        <v>366</v>
      </c>
      <c r="B730" s="12" t="s">
        <v>1971</v>
      </c>
      <c r="C730" s="12" t="s">
        <v>1972</v>
      </c>
      <c r="D730" s="12" t="s">
        <v>1974</v>
      </c>
      <c r="E730" s="20">
        <v>35762</v>
      </c>
      <c r="F730" s="20">
        <v>43363</v>
      </c>
      <c r="G730" s="12">
        <v>3531.82</v>
      </c>
      <c r="H730" s="12">
        <v>39.933333333333302</v>
      </c>
      <c r="I730" s="13">
        <v>88.442904841402296</v>
      </c>
      <c r="J730" s="12" t="s">
        <v>366</v>
      </c>
      <c r="K730" s="14">
        <v>24</v>
      </c>
      <c r="L730" s="14">
        <v>188</v>
      </c>
      <c r="M730" s="14">
        <v>4</v>
      </c>
      <c r="N730" s="12">
        <v>3531.82</v>
      </c>
      <c r="O730" s="12" t="s">
        <v>366</v>
      </c>
      <c r="P730" s="12">
        <v>0.56814098078485298</v>
      </c>
      <c r="Q730" s="12">
        <v>0.40272717435813898</v>
      </c>
      <c r="R730" s="12">
        <v>0.60383064516129004</v>
      </c>
      <c r="S730" s="14">
        <v>25</v>
      </c>
      <c r="T730" s="12">
        <v>46.475735176815697</v>
      </c>
      <c r="U730" s="14">
        <v>11</v>
      </c>
      <c r="V730" s="14">
        <v>88</v>
      </c>
      <c r="W730" s="12">
        <v>9.7000000000000003E-3</v>
      </c>
      <c r="X730" s="12">
        <v>46.485435176815699</v>
      </c>
      <c r="Y730" s="14">
        <v>11</v>
      </c>
      <c r="Z730" s="14">
        <v>24</v>
      </c>
      <c r="AA730" s="12" t="s">
        <v>2370</v>
      </c>
    </row>
    <row r="731" spans="1:27" ht="14.25" x14ac:dyDescent="0.45">
      <c r="A731" s="12" t="s">
        <v>370</v>
      </c>
      <c r="B731" s="12" t="s">
        <v>1971</v>
      </c>
      <c r="C731" s="12" t="s">
        <v>1972</v>
      </c>
      <c r="D731" s="12" t="s">
        <v>1975</v>
      </c>
      <c r="E731" s="20">
        <v>35977</v>
      </c>
      <c r="F731" s="20">
        <v>44126</v>
      </c>
      <c r="G731" s="12">
        <v>0.4</v>
      </c>
      <c r="H731" s="12">
        <v>14.5</v>
      </c>
      <c r="I731" s="13">
        <v>2.7586206896551699E-2</v>
      </c>
      <c r="J731" s="12" t="s">
        <v>370</v>
      </c>
      <c r="K731" s="14">
        <v>1664</v>
      </c>
      <c r="L731" s="14">
        <v>568</v>
      </c>
      <c r="M731" s="14">
        <v>1713</v>
      </c>
      <c r="N731" s="12">
        <v>0.4</v>
      </c>
      <c r="O731" s="12" t="s">
        <v>370</v>
      </c>
      <c r="P731" s="12">
        <v>6.4345406140160397E-5</v>
      </c>
      <c r="Q731" s="12">
        <v>1.2561454392106901E-4</v>
      </c>
      <c r="R731" s="12">
        <v>0.219254032258065</v>
      </c>
      <c r="S731" s="14">
        <v>24</v>
      </c>
      <c r="T731" s="12">
        <v>1.0263861725322799E-2</v>
      </c>
      <c r="U731" s="14">
        <v>1757</v>
      </c>
      <c r="V731" s="14">
        <v>1</v>
      </c>
      <c r="W731" s="12">
        <v>5.4999999999999997E-3</v>
      </c>
      <c r="X731" s="12">
        <v>1.5763861725322799E-2</v>
      </c>
      <c r="Y731" s="14">
        <v>1757</v>
      </c>
      <c r="Z731" s="14">
        <v>24</v>
      </c>
      <c r="AA731" s="12" t="s">
        <v>2370</v>
      </c>
    </row>
    <row r="732" spans="1:27" ht="14.25" x14ac:dyDescent="0.45">
      <c r="A732" s="12" t="s">
        <v>400</v>
      </c>
      <c r="B732" s="12" t="s">
        <v>1971</v>
      </c>
      <c r="C732" s="12" t="s">
        <v>1972</v>
      </c>
      <c r="D732" s="12" t="s">
        <v>1973</v>
      </c>
      <c r="E732" s="20">
        <v>35823</v>
      </c>
      <c r="F732" s="20">
        <v>44165</v>
      </c>
      <c r="G732" s="12">
        <v>79</v>
      </c>
      <c r="H732" s="12">
        <v>13.2</v>
      </c>
      <c r="I732" s="13">
        <v>5.9848484848484897</v>
      </c>
      <c r="J732" s="12" t="s">
        <v>400</v>
      </c>
      <c r="K732" s="14">
        <v>409</v>
      </c>
      <c r="L732" s="14">
        <v>658</v>
      </c>
      <c r="M732" s="14">
        <v>409</v>
      </c>
      <c r="N732" s="12">
        <v>79</v>
      </c>
      <c r="O732" s="12" t="s">
        <v>400</v>
      </c>
      <c r="P732" s="12">
        <v>1.2708217712681699E-2</v>
      </c>
      <c r="Q732" s="12">
        <v>2.7252170466209199E-2</v>
      </c>
      <c r="R732" s="12">
        <v>0.19959677419354799</v>
      </c>
      <c r="S732" s="14">
        <v>24</v>
      </c>
      <c r="T732" s="12">
        <v>2.17981881836364</v>
      </c>
      <c r="U732" s="14">
        <v>428</v>
      </c>
      <c r="V732" s="14">
        <v>6</v>
      </c>
      <c r="W732" s="12">
        <v>6.0000000000000001E-3</v>
      </c>
      <c r="X732" s="12">
        <v>2.1858188183636398</v>
      </c>
      <c r="Y732" s="14">
        <v>428</v>
      </c>
      <c r="Z732" s="14">
        <v>24</v>
      </c>
      <c r="AA732" s="12" t="s">
        <v>2370</v>
      </c>
    </row>
    <row r="733" spans="1:27" ht="14.25" x14ac:dyDescent="0.45">
      <c r="A733" s="12" t="s">
        <v>471</v>
      </c>
      <c r="B733" s="12" t="s">
        <v>1971</v>
      </c>
      <c r="C733" s="12" t="s">
        <v>1972</v>
      </c>
      <c r="D733" s="12" t="s">
        <v>1993</v>
      </c>
      <c r="E733" s="20">
        <v>36098</v>
      </c>
      <c r="F733" s="20">
        <v>44112</v>
      </c>
      <c r="G733" s="12">
        <v>2.95</v>
      </c>
      <c r="H733" s="12">
        <v>14.966666666666701</v>
      </c>
      <c r="I733" s="13">
        <v>0.19710467706013399</v>
      </c>
      <c r="J733" s="12" t="s">
        <v>471</v>
      </c>
      <c r="K733" s="14">
        <v>1354</v>
      </c>
      <c r="L733" s="14">
        <v>523</v>
      </c>
      <c r="M733" s="14">
        <v>1235</v>
      </c>
      <c r="N733" s="12">
        <v>2.95</v>
      </c>
      <c r="O733" s="12" t="s">
        <v>471</v>
      </c>
      <c r="P733" s="12">
        <v>4.7454737028368302E-4</v>
      </c>
      <c r="Q733" s="12">
        <v>8.9752151161866397E-4</v>
      </c>
      <c r="R733" s="12">
        <v>0.226310483870968</v>
      </c>
      <c r="S733" s="14">
        <v>24</v>
      </c>
      <c r="T733" s="12">
        <v>7.3890620861804604E-2</v>
      </c>
      <c r="U733" s="14">
        <v>1417</v>
      </c>
      <c r="V733" s="14">
        <v>1</v>
      </c>
      <c r="W733" s="12">
        <v>5.4999999999999997E-3</v>
      </c>
      <c r="X733" s="12">
        <v>7.9390620861804595E-2</v>
      </c>
      <c r="Y733" s="14">
        <v>1417</v>
      </c>
      <c r="Z733" s="14">
        <v>23</v>
      </c>
      <c r="AA733" s="12" t="s">
        <v>2370</v>
      </c>
    </row>
    <row r="734" spans="1:27" ht="14.25" x14ac:dyDescent="0.45">
      <c r="A734" s="12" t="s">
        <v>502</v>
      </c>
      <c r="B734" s="12" t="s">
        <v>1971</v>
      </c>
      <c r="C734" s="12" t="s">
        <v>1972</v>
      </c>
      <c r="D734" s="12" t="s">
        <v>1975</v>
      </c>
      <c r="E734" s="20">
        <v>35922</v>
      </c>
      <c r="F734" s="20">
        <v>44217</v>
      </c>
      <c r="G734" s="12">
        <v>881.08</v>
      </c>
      <c r="H734" s="12">
        <v>11.466666666666701</v>
      </c>
      <c r="I734" s="13">
        <v>76.838372093023295</v>
      </c>
      <c r="J734" s="12" t="s">
        <v>502</v>
      </c>
      <c r="K734" s="14">
        <v>30</v>
      </c>
      <c r="L734" s="14">
        <v>851</v>
      </c>
      <c r="M734" s="14">
        <v>62</v>
      </c>
      <c r="N734" s="12">
        <v>881.08</v>
      </c>
      <c r="O734" s="12" t="s">
        <v>502</v>
      </c>
      <c r="P734" s="12">
        <v>0.14173362610493101</v>
      </c>
      <c r="Q734" s="12">
        <v>0.34988561864621698</v>
      </c>
      <c r="R734" s="12">
        <v>0.17338709677419401</v>
      </c>
      <c r="S734" s="14">
        <v>24</v>
      </c>
      <c r="T734" s="12">
        <v>27.182862144323501</v>
      </c>
      <c r="U734" s="14">
        <v>36</v>
      </c>
      <c r="V734" s="14">
        <v>9</v>
      </c>
      <c r="W734" s="12">
        <v>6.3E-3</v>
      </c>
      <c r="X734" s="12">
        <v>27.1891621443235</v>
      </c>
      <c r="Y734" s="14">
        <v>36</v>
      </c>
      <c r="Z734" s="14">
        <v>24</v>
      </c>
      <c r="AA734" s="12" t="s">
        <v>2370</v>
      </c>
    </row>
    <row r="735" spans="1:27" ht="14.25" x14ac:dyDescent="0.45">
      <c r="A735" s="12" t="s">
        <v>556</v>
      </c>
      <c r="B735" s="12" t="s">
        <v>1971</v>
      </c>
      <c r="C735" s="12" t="s">
        <v>1972</v>
      </c>
      <c r="D735" s="12" t="s">
        <v>2007</v>
      </c>
      <c r="E735" s="20">
        <v>35949</v>
      </c>
      <c r="F735" s="20">
        <v>44169</v>
      </c>
      <c r="G735" s="12">
        <v>11.93</v>
      </c>
      <c r="H735" s="12">
        <v>13.0666666666667</v>
      </c>
      <c r="I735" s="13">
        <v>0.91301020408163303</v>
      </c>
      <c r="J735" s="12" t="s">
        <v>556</v>
      </c>
      <c r="K735" s="14">
        <v>851</v>
      </c>
      <c r="L735" s="14">
        <v>668</v>
      </c>
      <c r="M735" s="14">
        <v>809</v>
      </c>
      <c r="N735" s="12">
        <v>11.93</v>
      </c>
      <c r="O735" s="12" t="s">
        <v>556</v>
      </c>
      <c r="P735" s="12">
        <v>1.9191017381302801E-3</v>
      </c>
      <c r="Q735" s="12">
        <v>4.1574168138111302E-3</v>
      </c>
      <c r="R735" s="12">
        <v>0.19758064516129001</v>
      </c>
      <c r="S735" s="14">
        <v>24</v>
      </c>
      <c r="T735" s="12">
        <v>0.33180486604308101</v>
      </c>
      <c r="U735" s="14">
        <v>891</v>
      </c>
      <c r="V735" s="14">
        <v>4</v>
      </c>
      <c r="W735" s="12">
        <v>5.7999999999999996E-3</v>
      </c>
      <c r="X735" s="12">
        <v>0.33760486604308099</v>
      </c>
      <c r="Y735" s="14">
        <v>890</v>
      </c>
      <c r="Z735" s="14">
        <v>24</v>
      </c>
      <c r="AA735" s="12" t="s">
        <v>2370</v>
      </c>
    </row>
    <row r="736" spans="1:27" ht="14.25" x14ac:dyDescent="0.45">
      <c r="A736" s="12" t="s">
        <v>600</v>
      </c>
      <c r="B736" s="12" t="s">
        <v>1971</v>
      </c>
      <c r="C736" s="12" t="s">
        <v>1972</v>
      </c>
      <c r="D736" s="12" t="s">
        <v>1993</v>
      </c>
      <c r="E736" s="20">
        <v>35706</v>
      </c>
      <c r="F736" s="20">
        <v>44123</v>
      </c>
      <c r="G736" s="12">
        <v>11.17</v>
      </c>
      <c r="H736" s="12">
        <v>14.6</v>
      </c>
      <c r="I736" s="13">
        <v>0.76506849315068504</v>
      </c>
      <c r="J736" s="12" t="s">
        <v>600</v>
      </c>
      <c r="K736" s="14">
        <v>898</v>
      </c>
      <c r="L736" s="14">
        <v>552</v>
      </c>
      <c r="M736" s="14">
        <v>825</v>
      </c>
      <c r="N736" s="12">
        <v>11.17</v>
      </c>
      <c r="O736" s="12" t="s">
        <v>600</v>
      </c>
      <c r="P736" s="12">
        <v>1.7968454664639799E-3</v>
      </c>
      <c r="Q736" s="12">
        <v>3.48376020653698E-3</v>
      </c>
      <c r="R736" s="12">
        <v>0.22076612903225801</v>
      </c>
      <c r="S736" s="14">
        <v>25</v>
      </c>
      <c r="T736" s="12">
        <v>0.28511671790096099</v>
      </c>
      <c r="U736" s="14">
        <v>934</v>
      </c>
      <c r="V736" s="14">
        <v>2</v>
      </c>
      <c r="W736" s="12">
        <v>5.5999999999999999E-3</v>
      </c>
      <c r="X736" s="12">
        <v>0.29071671790096099</v>
      </c>
      <c r="Y736" s="14">
        <v>934</v>
      </c>
      <c r="Z736" s="14">
        <v>24</v>
      </c>
      <c r="AA736" s="12" t="s">
        <v>2370</v>
      </c>
    </row>
    <row r="737" spans="1:27" ht="14.25" x14ac:dyDescent="0.45">
      <c r="A737" s="12" t="s">
        <v>619</v>
      </c>
      <c r="B737" s="12" t="s">
        <v>1971</v>
      </c>
      <c r="C737" s="12" t="s">
        <v>1972</v>
      </c>
      <c r="D737" s="12" t="s">
        <v>2026</v>
      </c>
      <c r="E737" s="20">
        <v>36013</v>
      </c>
      <c r="F737" s="20">
        <v>43894</v>
      </c>
      <c r="G737" s="12">
        <v>6.11</v>
      </c>
      <c r="H737" s="12">
        <v>22.233333333333299</v>
      </c>
      <c r="I737" s="13">
        <v>0.27481259370314798</v>
      </c>
      <c r="J737" s="12" t="s">
        <v>619</v>
      </c>
      <c r="K737" s="14">
        <v>1247</v>
      </c>
      <c r="L737" s="14">
        <v>422</v>
      </c>
      <c r="M737" s="14">
        <v>957</v>
      </c>
      <c r="N737" s="12">
        <v>6.11</v>
      </c>
      <c r="O737" s="12" t="s">
        <v>619</v>
      </c>
      <c r="P737" s="12">
        <v>9.8287607879095004E-4</v>
      </c>
      <c r="Q737" s="12">
        <v>1.25136662503978E-3</v>
      </c>
      <c r="R737" s="12">
        <v>0.33618951612903197</v>
      </c>
      <c r="S737" s="14">
        <v>24</v>
      </c>
      <c r="T737" s="12">
        <v>0.11506826701964699</v>
      </c>
      <c r="U737" s="14">
        <v>1244</v>
      </c>
      <c r="V737" s="14">
        <v>1</v>
      </c>
      <c r="W737" s="12">
        <v>5.4999999999999997E-3</v>
      </c>
      <c r="X737" s="12">
        <v>0.120568267019647</v>
      </c>
      <c r="Y737" s="14">
        <v>1244</v>
      </c>
      <c r="Z737" s="14">
        <v>23</v>
      </c>
      <c r="AA737" s="12" t="s">
        <v>2370</v>
      </c>
    </row>
    <row r="738" spans="1:27" ht="14.25" x14ac:dyDescent="0.45">
      <c r="A738" s="12" t="s">
        <v>694</v>
      </c>
      <c r="B738" s="12" t="s">
        <v>1971</v>
      </c>
      <c r="C738" s="12" t="s">
        <v>1972</v>
      </c>
      <c r="D738" s="12" t="s">
        <v>1982</v>
      </c>
      <c r="E738" s="20">
        <v>36059</v>
      </c>
      <c r="F738" s="20">
        <v>43381</v>
      </c>
      <c r="G738" s="12">
        <v>308.83</v>
      </c>
      <c r="H738" s="12">
        <v>39.3333333333333</v>
      </c>
      <c r="I738" s="13">
        <v>7.8516101694915204</v>
      </c>
      <c r="J738" s="12" t="s">
        <v>694</v>
      </c>
      <c r="K738" s="14">
        <v>356</v>
      </c>
      <c r="L738" s="14">
        <v>195</v>
      </c>
      <c r="M738" s="14">
        <v>215</v>
      </c>
      <c r="N738" s="12">
        <v>308.83</v>
      </c>
      <c r="O738" s="12" t="s">
        <v>694</v>
      </c>
      <c r="P738" s="12">
        <v>4.9679479445664303E-2</v>
      </c>
      <c r="Q738" s="12">
        <v>3.5752520605143098E-2</v>
      </c>
      <c r="R738" s="12">
        <v>0.594758064516129</v>
      </c>
      <c r="S738" s="14">
        <v>24</v>
      </c>
      <c r="T738" s="12">
        <v>4.0975130170338598</v>
      </c>
      <c r="U738" s="14">
        <v>303</v>
      </c>
      <c r="V738" s="14">
        <v>5</v>
      </c>
      <c r="W738" s="12">
        <v>5.8999999999999999E-3</v>
      </c>
      <c r="X738" s="12">
        <v>4.1034130170338603</v>
      </c>
      <c r="Y738" s="14">
        <v>303</v>
      </c>
      <c r="Z738" s="14">
        <v>23</v>
      </c>
      <c r="AA738" s="12" t="s">
        <v>2370</v>
      </c>
    </row>
    <row r="739" spans="1:27" ht="14.25" x14ac:dyDescent="0.45">
      <c r="A739" s="12" t="s">
        <v>700</v>
      </c>
      <c r="B739" s="12" t="s">
        <v>1971</v>
      </c>
      <c r="C739" s="12" t="s">
        <v>1972</v>
      </c>
      <c r="D739" s="12" t="s">
        <v>1975</v>
      </c>
      <c r="E739" s="20">
        <v>36019</v>
      </c>
      <c r="F739" s="20">
        <v>44265</v>
      </c>
      <c r="G739" s="12">
        <v>9.9499999999999993</v>
      </c>
      <c r="H739" s="12">
        <v>9.8666666666666707</v>
      </c>
      <c r="I739" s="13">
        <v>1.0084459459459501</v>
      </c>
      <c r="J739" s="12" t="s">
        <v>700</v>
      </c>
      <c r="K739" s="14">
        <v>818</v>
      </c>
      <c r="L739" s="14">
        <v>979</v>
      </c>
      <c r="M739" s="14">
        <v>846</v>
      </c>
      <c r="N739" s="12">
        <v>9.9499999999999993</v>
      </c>
      <c r="O739" s="12" t="s">
        <v>700</v>
      </c>
      <c r="P739" s="12">
        <v>1.60059197773649E-3</v>
      </c>
      <c r="Q739" s="12">
        <v>4.5919860618781104E-3</v>
      </c>
      <c r="R739" s="12">
        <v>0.149193548387097</v>
      </c>
      <c r="S739" s="14">
        <v>24</v>
      </c>
      <c r="T739" s="12">
        <v>0.34702132803250002</v>
      </c>
      <c r="U739" s="14">
        <v>872</v>
      </c>
      <c r="V739" s="14">
        <v>1</v>
      </c>
      <c r="W739" s="12">
        <v>5.4999999999999997E-3</v>
      </c>
      <c r="X739" s="12">
        <v>0.35252132803250003</v>
      </c>
      <c r="Y739" s="14">
        <v>872</v>
      </c>
      <c r="Z739" s="14">
        <v>23</v>
      </c>
      <c r="AA739" s="12" t="s">
        <v>2370</v>
      </c>
    </row>
    <row r="740" spans="1:27" ht="14.25" x14ac:dyDescent="0.45">
      <c r="A740" s="12" t="s">
        <v>767</v>
      </c>
      <c r="B740" s="12" t="s">
        <v>1971</v>
      </c>
      <c r="C740" s="12" t="s">
        <v>1972</v>
      </c>
      <c r="D740" s="12" t="s">
        <v>1995</v>
      </c>
      <c r="E740" s="20">
        <v>36047</v>
      </c>
      <c r="F740" s="20">
        <v>44265</v>
      </c>
      <c r="G740" s="12">
        <v>46.34</v>
      </c>
      <c r="H740" s="12">
        <v>9.8666666666666707</v>
      </c>
      <c r="I740" s="13">
        <v>4.6966216216216203</v>
      </c>
      <c r="J740" s="12" t="s">
        <v>767</v>
      </c>
      <c r="K740" s="14">
        <v>457</v>
      </c>
      <c r="L740" s="14">
        <v>979</v>
      </c>
      <c r="M740" s="14">
        <v>497</v>
      </c>
      <c r="N740" s="12">
        <v>46.34</v>
      </c>
      <c r="O740" s="12" t="s">
        <v>767</v>
      </c>
      <c r="P740" s="12">
        <v>7.4544153013375797E-3</v>
      </c>
      <c r="Q740" s="12">
        <v>2.13861943826564E-2</v>
      </c>
      <c r="R740" s="12">
        <v>0.149193548387097</v>
      </c>
      <c r="S740" s="14">
        <v>24</v>
      </c>
      <c r="T740" s="12">
        <v>1.61617772271619</v>
      </c>
      <c r="U740" s="14">
        <v>472</v>
      </c>
      <c r="V740" s="14">
        <v>6</v>
      </c>
      <c r="W740" s="12">
        <v>6.0000000000000001E-3</v>
      </c>
      <c r="X740" s="12">
        <v>1.62217772271619</v>
      </c>
      <c r="Y740" s="14">
        <v>472</v>
      </c>
      <c r="Z740" s="14">
        <v>23</v>
      </c>
      <c r="AA740" s="12" t="s">
        <v>2370</v>
      </c>
    </row>
    <row r="741" spans="1:27" ht="14.25" x14ac:dyDescent="0.45">
      <c r="A741" s="12" t="s">
        <v>775</v>
      </c>
      <c r="B741" s="12" t="s">
        <v>1971</v>
      </c>
      <c r="C741" s="12" t="s">
        <v>1972</v>
      </c>
      <c r="D741" s="12" t="s">
        <v>1993</v>
      </c>
      <c r="E741" s="20">
        <v>36000</v>
      </c>
      <c r="F741" s="20">
        <v>44221</v>
      </c>
      <c r="G741" s="12">
        <v>22.45</v>
      </c>
      <c r="H741" s="12">
        <v>11.3333333333333</v>
      </c>
      <c r="I741" s="13">
        <v>1.9808823529411801</v>
      </c>
      <c r="J741" s="12" t="s">
        <v>775</v>
      </c>
      <c r="K741" s="14">
        <v>660</v>
      </c>
      <c r="L741" s="14">
        <v>860</v>
      </c>
      <c r="M741" s="14">
        <v>703</v>
      </c>
      <c r="N741" s="12">
        <v>22.45</v>
      </c>
      <c r="O741" s="12" t="s">
        <v>775</v>
      </c>
      <c r="P741" s="12">
        <v>3.6113859196165001E-3</v>
      </c>
      <c r="Q741" s="12">
        <v>9.0200017080675106E-3</v>
      </c>
      <c r="R741" s="12">
        <v>0.171370967741935</v>
      </c>
      <c r="S741" s="14">
        <v>24</v>
      </c>
      <c r="T741" s="12">
        <v>0.69917707873983803</v>
      </c>
      <c r="U741" s="14">
        <v>714</v>
      </c>
      <c r="V741" s="14">
        <v>3</v>
      </c>
      <c r="W741" s="12">
        <v>5.7000000000000002E-3</v>
      </c>
      <c r="X741" s="12">
        <v>0.70487707873983796</v>
      </c>
      <c r="Y741" s="14">
        <v>714</v>
      </c>
      <c r="Z741" s="14">
        <v>23</v>
      </c>
      <c r="AA741" s="12" t="s">
        <v>2370</v>
      </c>
    </row>
    <row r="742" spans="1:27" ht="14.25" x14ac:dyDescent="0.45">
      <c r="A742" s="12" t="s">
        <v>788</v>
      </c>
      <c r="B742" s="12" t="s">
        <v>1971</v>
      </c>
      <c r="C742" s="12" t="s">
        <v>1972</v>
      </c>
      <c r="D742" s="12" t="s">
        <v>1975</v>
      </c>
      <c r="E742" s="20">
        <v>35864</v>
      </c>
      <c r="F742" s="20">
        <v>44263</v>
      </c>
      <c r="G742" s="12">
        <v>0.18</v>
      </c>
      <c r="H742" s="12">
        <v>9.93333333333333</v>
      </c>
      <c r="I742" s="13">
        <v>1.81208053691275E-2</v>
      </c>
      <c r="J742" s="12" t="s">
        <v>788</v>
      </c>
      <c r="K742" s="14">
        <v>1700</v>
      </c>
      <c r="L742" s="14">
        <v>962</v>
      </c>
      <c r="M742" s="14">
        <v>1788</v>
      </c>
      <c r="N742" s="12">
        <v>0.18</v>
      </c>
      <c r="O742" s="12" t="s">
        <v>788</v>
      </c>
      <c r="P742" s="12">
        <v>2.89554327630722E-5</v>
      </c>
      <c r="Q742" s="12">
        <v>8.25135804447963E-5</v>
      </c>
      <c r="R742" s="12">
        <v>0.15020161290322601</v>
      </c>
      <c r="S742" s="14">
        <v>24</v>
      </c>
      <c r="T742" s="12">
        <v>6.2429275064149704E-3</v>
      </c>
      <c r="U742" s="14">
        <v>1801</v>
      </c>
      <c r="V742" s="14">
        <v>1</v>
      </c>
      <c r="W742" s="12">
        <v>5.4999999999999997E-3</v>
      </c>
      <c r="X742" s="12">
        <v>1.1742927506415E-2</v>
      </c>
      <c r="Y742" s="14">
        <v>1802</v>
      </c>
      <c r="Z742" s="14">
        <v>24</v>
      </c>
      <c r="AA742" s="12" t="s">
        <v>2370</v>
      </c>
    </row>
    <row r="743" spans="1:27" ht="14.25" x14ac:dyDescent="0.45">
      <c r="A743" s="12" t="s">
        <v>834</v>
      </c>
      <c r="B743" s="12" t="s">
        <v>1971</v>
      </c>
      <c r="C743" s="12" t="s">
        <v>1972</v>
      </c>
      <c r="D743" s="12" t="s">
        <v>1973</v>
      </c>
      <c r="E743" s="20">
        <v>35854</v>
      </c>
      <c r="F743" s="20">
        <v>44299</v>
      </c>
      <c r="G743" s="12">
        <v>3.25</v>
      </c>
      <c r="H743" s="12">
        <v>8.7333333333333307</v>
      </c>
      <c r="I743" s="13">
        <v>0.37213740458015299</v>
      </c>
      <c r="J743" s="12" t="s">
        <v>834</v>
      </c>
      <c r="K743" s="14">
        <v>1164</v>
      </c>
      <c r="L743" s="14">
        <v>1164</v>
      </c>
      <c r="M743" s="14">
        <v>1198</v>
      </c>
      <c r="N743" s="12">
        <v>3.25</v>
      </c>
      <c r="O743" s="12" t="s">
        <v>834</v>
      </c>
      <c r="P743" s="12">
        <v>5.2280642488880297E-4</v>
      </c>
      <c r="Q743" s="12">
        <v>1.6945378002710999E-3</v>
      </c>
      <c r="R743" s="12">
        <v>0.132056451612903</v>
      </c>
      <c r="S743" s="14">
        <v>24</v>
      </c>
      <c r="T743" s="12">
        <v>0.12551385345027399</v>
      </c>
      <c r="U743" s="14">
        <v>1215</v>
      </c>
      <c r="V743" s="14">
        <v>2</v>
      </c>
      <c r="W743" s="12">
        <v>5.5999999999999999E-3</v>
      </c>
      <c r="X743" s="12">
        <v>0.13111385345027399</v>
      </c>
      <c r="Y743" s="14">
        <v>1215</v>
      </c>
      <c r="Z743" s="14">
        <v>24</v>
      </c>
      <c r="AA743" s="12" t="s">
        <v>2370</v>
      </c>
    </row>
    <row r="744" spans="1:27" ht="14.25" x14ac:dyDescent="0.45">
      <c r="A744" s="12" t="s">
        <v>840</v>
      </c>
      <c r="B744" s="12" t="s">
        <v>1971</v>
      </c>
      <c r="C744" s="12" t="s">
        <v>1972</v>
      </c>
      <c r="D744" s="12" t="s">
        <v>2007</v>
      </c>
      <c r="E744" s="20">
        <v>35819</v>
      </c>
      <c r="F744" s="20">
        <v>43906</v>
      </c>
      <c r="G744" s="12">
        <v>37.450000000000003</v>
      </c>
      <c r="H744" s="12">
        <v>21.8333333333333</v>
      </c>
      <c r="I744" s="13">
        <v>1.71526717557252</v>
      </c>
      <c r="J744" s="12" t="s">
        <v>840</v>
      </c>
      <c r="K744" s="14">
        <v>702</v>
      </c>
      <c r="L744" s="14">
        <v>431</v>
      </c>
      <c r="M744" s="14">
        <v>534</v>
      </c>
      <c r="N744" s="12">
        <v>37.450000000000003</v>
      </c>
      <c r="O744" s="12" t="s">
        <v>840</v>
      </c>
      <c r="P744" s="12">
        <v>6.0243386498725097E-3</v>
      </c>
      <c r="Q744" s="12">
        <v>7.8105157686341898E-3</v>
      </c>
      <c r="R744" s="12">
        <v>0.33014112903225801</v>
      </c>
      <c r="S744" s="14">
        <v>24</v>
      </c>
      <c r="T744" s="12">
        <v>0.71406993490985604</v>
      </c>
      <c r="U744" s="14">
        <v>706</v>
      </c>
      <c r="V744" s="14">
        <v>4</v>
      </c>
      <c r="W744" s="12">
        <v>5.7999999999999996E-3</v>
      </c>
      <c r="X744" s="12">
        <v>0.71986993490985596</v>
      </c>
      <c r="Y744" s="14">
        <v>706</v>
      </c>
      <c r="Z744" s="14">
        <v>24</v>
      </c>
      <c r="AA744" s="12" t="s">
        <v>2370</v>
      </c>
    </row>
    <row r="745" spans="1:27" ht="14.25" x14ac:dyDescent="0.45">
      <c r="A745" s="12" t="s">
        <v>888</v>
      </c>
      <c r="B745" s="12" t="s">
        <v>1971</v>
      </c>
      <c r="C745" s="12" t="s">
        <v>1972</v>
      </c>
      <c r="D745" s="12" t="s">
        <v>1993</v>
      </c>
      <c r="E745" s="20">
        <v>35678</v>
      </c>
      <c r="F745" s="20">
        <v>44280</v>
      </c>
      <c r="G745" s="12">
        <v>2.21</v>
      </c>
      <c r="H745" s="12">
        <v>9.3666666666666707</v>
      </c>
      <c r="I745" s="13">
        <v>0.235943060498221</v>
      </c>
      <c r="J745" s="12" t="s">
        <v>888</v>
      </c>
      <c r="K745" s="14">
        <v>1297</v>
      </c>
      <c r="L745" s="14">
        <v>1063</v>
      </c>
      <c r="M745" s="14">
        <v>1320</v>
      </c>
      <c r="N745" s="12">
        <v>2.21</v>
      </c>
      <c r="O745" s="12" t="s">
        <v>888</v>
      </c>
      <c r="P745" s="12">
        <v>3.5550836892438598E-4</v>
      </c>
      <c r="Q745" s="12">
        <v>1.07437314767366E-3</v>
      </c>
      <c r="R745" s="12">
        <v>0.141633064516129</v>
      </c>
      <c r="S745" s="14">
        <v>25</v>
      </c>
      <c r="T745" s="12">
        <v>8.0479885564268494E-2</v>
      </c>
      <c r="U745" s="14">
        <v>1356</v>
      </c>
      <c r="V745" s="14">
        <v>2</v>
      </c>
      <c r="W745" s="12">
        <v>5.5999999999999999E-3</v>
      </c>
      <c r="X745" s="12">
        <v>8.6079885564268502E-2</v>
      </c>
      <c r="Y745" s="14">
        <v>1355</v>
      </c>
      <c r="Z745" s="14">
        <v>24</v>
      </c>
      <c r="AA745" s="12" t="s">
        <v>2370</v>
      </c>
    </row>
    <row r="746" spans="1:27" ht="14.25" x14ac:dyDescent="0.45">
      <c r="A746" s="12" t="s">
        <v>913</v>
      </c>
      <c r="B746" s="12" t="s">
        <v>1971</v>
      </c>
      <c r="C746" s="12" t="s">
        <v>1972</v>
      </c>
      <c r="D746" s="12" t="s">
        <v>1974</v>
      </c>
      <c r="E746" s="20">
        <v>35701</v>
      </c>
      <c r="F746" s="20">
        <v>44293</v>
      </c>
      <c r="G746" s="12">
        <v>19.84</v>
      </c>
      <c r="H746" s="12">
        <v>8.93333333333333</v>
      </c>
      <c r="I746" s="13">
        <v>2.22089552238806</v>
      </c>
      <c r="J746" s="12" t="s">
        <v>913</v>
      </c>
      <c r="K746" s="14">
        <v>626</v>
      </c>
      <c r="L746" s="14">
        <v>1151</v>
      </c>
      <c r="M746" s="14">
        <v>722</v>
      </c>
      <c r="N746" s="12">
        <v>19.84</v>
      </c>
      <c r="O746" s="12" t="s">
        <v>913</v>
      </c>
      <c r="P746" s="12">
        <v>3.1915321445519498E-3</v>
      </c>
      <c r="Q746" s="12">
        <v>1.01129082076156E-2</v>
      </c>
      <c r="R746" s="12">
        <v>0.13508064516129001</v>
      </c>
      <c r="S746" s="14">
        <v>25</v>
      </c>
      <c r="T746" s="12">
        <v>0.75173921839667501</v>
      </c>
      <c r="U746" s="14">
        <v>696</v>
      </c>
      <c r="V746" s="14">
        <v>2</v>
      </c>
      <c r="W746" s="12">
        <v>5.5999999999999999E-3</v>
      </c>
      <c r="X746" s="12">
        <v>0.75733921839667495</v>
      </c>
      <c r="Y746" s="14">
        <v>696</v>
      </c>
      <c r="Z746" s="14">
        <v>24</v>
      </c>
      <c r="AA746" s="12" t="s">
        <v>2370</v>
      </c>
    </row>
    <row r="747" spans="1:27" ht="14.25" x14ac:dyDescent="0.45">
      <c r="A747" s="12" t="s">
        <v>940</v>
      </c>
      <c r="B747" s="12" t="s">
        <v>1971</v>
      </c>
      <c r="C747" s="12" t="s">
        <v>1972</v>
      </c>
      <c r="D747" s="12" t="s">
        <v>1975</v>
      </c>
      <c r="E747" s="20">
        <v>35979</v>
      </c>
      <c r="F747" s="20">
        <v>44151</v>
      </c>
      <c r="G747" s="12">
        <v>0.26</v>
      </c>
      <c r="H747" s="12">
        <v>13.6666666666667</v>
      </c>
      <c r="I747" s="13">
        <v>1.90243902439024E-2</v>
      </c>
      <c r="J747" s="12" t="s">
        <v>940</v>
      </c>
      <c r="K747" s="14">
        <v>1692</v>
      </c>
      <c r="L747" s="14">
        <v>625</v>
      </c>
      <c r="M747" s="14">
        <v>1755</v>
      </c>
      <c r="N747" s="12">
        <v>0.26</v>
      </c>
      <c r="O747" s="12" t="s">
        <v>940</v>
      </c>
      <c r="P747" s="12">
        <v>4.18245139911042E-5</v>
      </c>
      <c r="Q747" s="12">
        <v>8.6628078765078794E-5</v>
      </c>
      <c r="R747" s="12">
        <v>0.20665322580645201</v>
      </c>
      <c r="S747" s="14">
        <v>24</v>
      </c>
      <c r="T747" s="12">
        <v>6.9826741974838404E-3</v>
      </c>
      <c r="U747" s="14">
        <v>1793</v>
      </c>
      <c r="V747" s="14">
        <v>1</v>
      </c>
      <c r="W747" s="12">
        <v>5.4999999999999997E-3</v>
      </c>
      <c r="X747" s="12">
        <v>1.2482674197483799E-2</v>
      </c>
      <c r="Y747" s="14">
        <v>1793</v>
      </c>
      <c r="Z747" s="14">
        <v>24</v>
      </c>
      <c r="AA747" s="12" t="s">
        <v>2370</v>
      </c>
    </row>
    <row r="748" spans="1:27" ht="14.25" x14ac:dyDescent="0.45">
      <c r="A748" s="12" t="s">
        <v>958</v>
      </c>
      <c r="B748" s="12" t="s">
        <v>1971</v>
      </c>
      <c r="C748" s="12" t="s">
        <v>1972</v>
      </c>
      <c r="D748" s="12" t="s">
        <v>1975</v>
      </c>
      <c r="E748" s="20">
        <v>36107</v>
      </c>
      <c r="F748" s="20">
        <v>44280</v>
      </c>
      <c r="G748" s="12">
        <v>2.84</v>
      </c>
      <c r="H748" s="12">
        <v>9.3666666666666707</v>
      </c>
      <c r="I748" s="13">
        <v>0.30320284697508898</v>
      </c>
      <c r="J748" s="12" t="s">
        <v>958</v>
      </c>
      <c r="K748" s="14">
        <v>1224</v>
      </c>
      <c r="L748" s="14">
        <v>1063</v>
      </c>
      <c r="M748" s="14">
        <v>1245</v>
      </c>
      <c r="N748" s="12">
        <v>2.84</v>
      </c>
      <c r="O748" s="12" t="s">
        <v>958</v>
      </c>
      <c r="P748" s="12">
        <v>4.5685238359513899E-4</v>
      </c>
      <c r="Q748" s="12">
        <v>1.38064241601503E-3</v>
      </c>
      <c r="R748" s="12">
        <v>0.141633064516129</v>
      </c>
      <c r="S748" s="14">
        <v>24</v>
      </c>
      <c r="T748" s="12">
        <v>0.103422115385757</v>
      </c>
      <c r="U748" s="14">
        <v>1283</v>
      </c>
      <c r="V748" s="14">
        <v>2</v>
      </c>
      <c r="W748" s="12">
        <v>5.5999999999999999E-3</v>
      </c>
      <c r="X748" s="12">
        <v>0.109022115385757</v>
      </c>
      <c r="Y748" s="14">
        <v>1284</v>
      </c>
      <c r="Z748" s="14">
        <v>23</v>
      </c>
      <c r="AA748" s="12" t="s">
        <v>2370</v>
      </c>
    </row>
    <row r="749" spans="1:27" ht="14.25" x14ac:dyDescent="0.45">
      <c r="A749" s="12" t="s">
        <v>998</v>
      </c>
      <c r="B749" s="12" t="s">
        <v>1971</v>
      </c>
      <c r="C749" s="12" t="s">
        <v>1972</v>
      </c>
      <c r="D749" s="12" t="s">
        <v>2241</v>
      </c>
      <c r="E749" s="20">
        <v>36040</v>
      </c>
      <c r="F749" s="20">
        <v>44328</v>
      </c>
      <c r="G749" s="12">
        <v>4.1500000000000004</v>
      </c>
      <c r="H749" s="12">
        <v>7.7666666666666702</v>
      </c>
      <c r="I749" s="13">
        <v>0.53433476394849799</v>
      </c>
      <c r="J749" s="12" t="s">
        <v>998</v>
      </c>
      <c r="K749" s="14">
        <v>1030</v>
      </c>
      <c r="L749" s="14">
        <v>1260</v>
      </c>
      <c r="M749" s="14">
        <v>1104</v>
      </c>
      <c r="N749" s="12">
        <v>4.1500000000000004</v>
      </c>
      <c r="O749" s="12" t="s">
        <v>998</v>
      </c>
      <c r="P749" s="12">
        <v>6.67583588704164E-4</v>
      </c>
      <c r="Q749" s="12">
        <v>2.4331078907029002E-3</v>
      </c>
      <c r="R749" s="12">
        <v>0.117439516129032</v>
      </c>
      <c r="S749" s="14">
        <v>24</v>
      </c>
      <c r="T749" s="12">
        <v>0.177103627745337</v>
      </c>
      <c r="U749" s="14">
        <v>1095</v>
      </c>
      <c r="V749" s="14">
        <v>1</v>
      </c>
      <c r="W749" s="12">
        <v>5.4999999999999997E-3</v>
      </c>
      <c r="X749" s="12">
        <v>0.182603627745337</v>
      </c>
      <c r="Y749" s="14">
        <v>1095</v>
      </c>
      <c r="Z749" s="14">
        <v>23</v>
      </c>
      <c r="AA749" s="12" t="s">
        <v>2370</v>
      </c>
    </row>
    <row r="750" spans="1:27" ht="14.25" x14ac:dyDescent="0.45">
      <c r="A750" s="12" t="s">
        <v>1026</v>
      </c>
      <c r="B750" s="12" t="s">
        <v>1971</v>
      </c>
      <c r="C750" s="12" t="s">
        <v>1972</v>
      </c>
      <c r="D750" s="12" t="s">
        <v>1990</v>
      </c>
      <c r="E750" s="20">
        <v>36094</v>
      </c>
      <c r="F750" s="20">
        <v>44334</v>
      </c>
      <c r="G750" s="12">
        <v>2</v>
      </c>
      <c r="H750" s="12">
        <v>7.56666666666667</v>
      </c>
      <c r="I750" s="13">
        <v>0.26431718061673998</v>
      </c>
      <c r="J750" s="12" t="s">
        <v>1026</v>
      </c>
      <c r="K750" s="14">
        <v>1261</v>
      </c>
      <c r="L750" s="14">
        <v>1269</v>
      </c>
      <c r="M750" s="14">
        <v>1359</v>
      </c>
      <c r="N750" s="12">
        <v>2</v>
      </c>
      <c r="O750" s="12" t="s">
        <v>1026</v>
      </c>
      <c r="P750" s="12">
        <v>3.2172703070080199E-4</v>
      </c>
      <c r="Q750" s="12">
        <v>1.2035754758957099E-3</v>
      </c>
      <c r="R750" s="12">
        <v>0.114415322580645</v>
      </c>
      <c r="S750" s="14">
        <v>24</v>
      </c>
      <c r="T750" s="12">
        <v>8.7288230894761801E-2</v>
      </c>
      <c r="U750" s="14">
        <v>1326</v>
      </c>
      <c r="V750" s="14">
        <v>1</v>
      </c>
      <c r="W750" s="12">
        <v>5.4999999999999997E-3</v>
      </c>
      <c r="X750" s="12">
        <v>9.2788230894761806E-2</v>
      </c>
      <c r="Y750" s="14">
        <v>1326</v>
      </c>
      <c r="Z750" s="14">
        <v>23</v>
      </c>
      <c r="AA750" s="12" t="s">
        <v>2370</v>
      </c>
    </row>
    <row r="751" spans="1:27" ht="14.25" x14ac:dyDescent="0.45">
      <c r="A751" s="12" t="s">
        <v>1035</v>
      </c>
      <c r="B751" s="12" t="s">
        <v>1971</v>
      </c>
      <c r="C751" s="12" t="s">
        <v>1972</v>
      </c>
      <c r="D751" s="12" t="s">
        <v>1993</v>
      </c>
      <c r="E751" s="20">
        <v>35886</v>
      </c>
      <c r="F751" s="20">
        <v>44334</v>
      </c>
      <c r="G751" s="12">
        <v>100.64</v>
      </c>
      <c r="H751" s="12">
        <v>7.56666666666667</v>
      </c>
      <c r="I751" s="13">
        <v>13.3004405286344</v>
      </c>
      <c r="J751" s="12" t="s">
        <v>1035</v>
      </c>
      <c r="K751" s="14">
        <v>218</v>
      </c>
      <c r="L751" s="14">
        <v>1269</v>
      </c>
      <c r="M751" s="14">
        <v>380</v>
      </c>
      <c r="N751" s="12">
        <v>100.64</v>
      </c>
      <c r="O751" s="12" t="s">
        <v>1035</v>
      </c>
      <c r="P751" s="12">
        <v>1.6189304184864299E-2</v>
      </c>
      <c r="Q751" s="12">
        <v>6.0563917947071999E-2</v>
      </c>
      <c r="R751" s="12">
        <v>0.114415322580645</v>
      </c>
      <c r="S751" s="14">
        <v>24</v>
      </c>
      <c r="T751" s="12">
        <v>4.3923437786244097</v>
      </c>
      <c r="U751" s="14">
        <v>287</v>
      </c>
      <c r="V751" s="14">
        <v>4</v>
      </c>
      <c r="W751" s="12">
        <v>5.7999999999999996E-3</v>
      </c>
      <c r="X751" s="12">
        <v>4.3981437786244104</v>
      </c>
      <c r="Y751" s="14">
        <v>287</v>
      </c>
      <c r="Z751" s="14">
        <v>24</v>
      </c>
      <c r="AA751" s="12" t="s">
        <v>2370</v>
      </c>
    </row>
    <row r="752" spans="1:27" ht="14.25" x14ac:dyDescent="0.45">
      <c r="A752" s="12" t="s">
        <v>1036</v>
      </c>
      <c r="B752" s="12" t="s">
        <v>1971</v>
      </c>
      <c r="C752" s="12" t="s">
        <v>1972</v>
      </c>
      <c r="D752" s="12" t="s">
        <v>1997</v>
      </c>
      <c r="E752" s="20">
        <v>35877</v>
      </c>
      <c r="F752" s="20">
        <v>44299</v>
      </c>
      <c r="G752" s="12">
        <v>0.04</v>
      </c>
      <c r="H752" s="12">
        <v>8.7333333333333307</v>
      </c>
      <c r="I752" s="13">
        <v>4.5801526717557297E-3</v>
      </c>
      <c r="J752" s="12" t="s">
        <v>1036</v>
      </c>
      <c r="K752" s="14">
        <v>1781</v>
      </c>
      <c r="L752" s="14">
        <v>1164</v>
      </c>
      <c r="M752" s="14">
        <v>1890</v>
      </c>
      <c r="N752" s="12">
        <v>0.04</v>
      </c>
      <c r="O752" s="12" t="s">
        <v>1036</v>
      </c>
      <c r="P752" s="12">
        <v>6.4345406140160404E-6</v>
      </c>
      <c r="Q752" s="12">
        <v>2.08558498494905E-5</v>
      </c>
      <c r="R752" s="12">
        <v>0.132056451612903</v>
      </c>
      <c r="S752" s="14">
        <v>24</v>
      </c>
      <c r="T752" s="12">
        <v>1.5447858886187601E-3</v>
      </c>
      <c r="U752" s="14">
        <v>1887</v>
      </c>
      <c r="V752" s="14">
        <v>1</v>
      </c>
      <c r="W752" s="12">
        <v>5.4999999999999997E-3</v>
      </c>
      <c r="X752" s="12">
        <v>7.0447858886187598E-3</v>
      </c>
      <c r="Y752" s="14">
        <v>1887</v>
      </c>
      <c r="Z752" s="14">
        <v>24</v>
      </c>
      <c r="AA752" s="12" t="s">
        <v>2370</v>
      </c>
    </row>
    <row r="753" spans="1:27" ht="14.25" x14ac:dyDescent="0.45">
      <c r="A753" s="12" t="s">
        <v>1062</v>
      </c>
      <c r="B753" s="12" t="s">
        <v>1971</v>
      </c>
      <c r="C753" s="12" t="s">
        <v>1972</v>
      </c>
      <c r="D753" s="12" t="s">
        <v>1974</v>
      </c>
      <c r="E753" s="20">
        <v>36336</v>
      </c>
      <c r="F753" s="20">
        <v>44337</v>
      </c>
      <c r="G753" s="12">
        <v>11.07</v>
      </c>
      <c r="H753" s="12">
        <v>7.4666666666666703</v>
      </c>
      <c r="I753" s="13">
        <v>1.4825892857142899</v>
      </c>
      <c r="J753" s="12" t="s">
        <v>1062</v>
      </c>
      <c r="K753" s="14">
        <v>734</v>
      </c>
      <c r="L753" s="14">
        <v>1428</v>
      </c>
      <c r="M753" s="14">
        <v>827</v>
      </c>
      <c r="N753" s="12">
        <v>11.07</v>
      </c>
      <c r="O753" s="12" t="s">
        <v>1062</v>
      </c>
      <c r="P753" s="12">
        <v>1.7807591149289401E-3</v>
      </c>
      <c r="Q753" s="12">
        <v>6.7510106643383101E-3</v>
      </c>
      <c r="R753" s="12">
        <v>0.112903225806452</v>
      </c>
      <c r="S753" s="14">
        <v>23</v>
      </c>
      <c r="T753" s="12">
        <v>0.48871663333097998</v>
      </c>
      <c r="U753" s="14">
        <v>789</v>
      </c>
      <c r="V753" s="14">
        <v>3</v>
      </c>
      <c r="W753" s="12">
        <v>5.7000000000000002E-3</v>
      </c>
      <c r="X753" s="12">
        <v>0.49441663333098002</v>
      </c>
      <c r="Y753" s="14">
        <v>789</v>
      </c>
      <c r="Z753" s="14">
        <v>23</v>
      </c>
      <c r="AA753" s="12" t="s">
        <v>2370</v>
      </c>
    </row>
    <row r="754" spans="1:27" ht="14.25" x14ac:dyDescent="0.45">
      <c r="A754" s="12" t="s">
        <v>1074</v>
      </c>
      <c r="B754" s="12" t="s">
        <v>1971</v>
      </c>
      <c r="C754" s="12" t="s">
        <v>1972</v>
      </c>
      <c r="D754" s="12" t="s">
        <v>1975</v>
      </c>
      <c r="E754" s="20">
        <v>35645</v>
      </c>
      <c r="F754" s="20">
        <v>44327</v>
      </c>
      <c r="G754" s="12">
        <v>3.65</v>
      </c>
      <c r="H754" s="12">
        <v>7.8</v>
      </c>
      <c r="I754" s="13">
        <v>0.46794871794871801</v>
      </c>
      <c r="J754" s="12" t="s">
        <v>1074</v>
      </c>
      <c r="K754" s="14">
        <v>1081</v>
      </c>
      <c r="L754" s="14">
        <v>1252</v>
      </c>
      <c r="M754" s="14">
        <v>1151</v>
      </c>
      <c r="N754" s="12">
        <v>3.65</v>
      </c>
      <c r="O754" s="12" t="s">
        <v>1074</v>
      </c>
      <c r="P754" s="12">
        <v>5.8715183102896304E-4</v>
      </c>
      <c r="Q754" s="12">
        <v>2.1308172234046799E-3</v>
      </c>
      <c r="R754" s="12">
        <v>0.117943548387097</v>
      </c>
      <c r="S754" s="14">
        <v>25</v>
      </c>
      <c r="T754" s="12">
        <v>0.15519427012637799</v>
      </c>
      <c r="U754" s="14">
        <v>1140</v>
      </c>
      <c r="V754" s="14">
        <v>1</v>
      </c>
      <c r="W754" s="12">
        <v>5.4999999999999997E-3</v>
      </c>
      <c r="X754" s="12">
        <v>0.16069427012637799</v>
      </c>
      <c r="Y754" s="14">
        <v>1141</v>
      </c>
      <c r="Z754" s="14">
        <v>24</v>
      </c>
      <c r="AA754" s="12" t="s">
        <v>2370</v>
      </c>
    </row>
    <row r="755" spans="1:27" ht="14.25" x14ac:dyDescent="0.45">
      <c r="A755" s="12" t="s">
        <v>1082</v>
      </c>
      <c r="B755" s="12" t="s">
        <v>1971</v>
      </c>
      <c r="C755" s="12" t="s">
        <v>1972</v>
      </c>
      <c r="D755" s="12" t="s">
        <v>1997</v>
      </c>
      <c r="E755" s="20">
        <v>36351</v>
      </c>
      <c r="F755" s="20">
        <v>44335</v>
      </c>
      <c r="G755" s="12">
        <v>0.01</v>
      </c>
      <c r="H755" s="12">
        <v>7.5333333333333297</v>
      </c>
      <c r="I755" s="13">
        <v>1.3274336283185799E-3</v>
      </c>
      <c r="J755" s="12" t="s">
        <v>1082</v>
      </c>
      <c r="K755" s="14">
        <v>1821</v>
      </c>
      <c r="L755" s="14">
        <v>1332</v>
      </c>
      <c r="M755" s="14">
        <v>1944</v>
      </c>
      <c r="N755" s="12">
        <v>0.01</v>
      </c>
      <c r="O755" s="12" t="s">
        <v>1082</v>
      </c>
      <c r="P755" s="12">
        <v>1.6086351535040101E-6</v>
      </c>
      <c r="Q755" s="12">
        <v>6.04450515549393E-6</v>
      </c>
      <c r="R755" s="12">
        <v>0.113911290322581</v>
      </c>
      <c r="S755" s="14">
        <v>23</v>
      </c>
      <c r="T755" s="12">
        <v>4.38105390474771E-4</v>
      </c>
      <c r="U755" s="14">
        <v>1938</v>
      </c>
      <c r="V755" s="14">
        <v>1</v>
      </c>
      <c r="W755" s="12">
        <v>5.4999999999999997E-3</v>
      </c>
      <c r="X755" s="12">
        <v>5.9381053904747697E-3</v>
      </c>
      <c r="Y755" s="14">
        <v>1938</v>
      </c>
      <c r="Z755" s="14">
        <v>23</v>
      </c>
      <c r="AA755" s="12" t="s">
        <v>2370</v>
      </c>
    </row>
    <row r="756" spans="1:27" ht="14.25" x14ac:dyDescent="0.45">
      <c r="A756" s="12" t="s">
        <v>1085</v>
      </c>
      <c r="B756" s="12" t="s">
        <v>1971</v>
      </c>
      <c r="C756" s="12" t="s">
        <v>1972</v>
      </c>
      <c r="D756" s="12" t="s">
        <v>1987</v>
      </c>
      <c r="E756" s="20">
        <v>36016</v>
      </c>
      <c r="F756" s="20">
        <v>44328</v>
      </c>
      <c r="G756" s="12">
        <v>257.10000000000002</v>
      </c>
      <c r="H756" s="12">
        <v>7.7666666666666702</v>
      </c>
      <c r="I756" s="13">
        <v>33.103004291845501</v>
      </c>
      <c r="J756" s="12" t="s">
        <v>1085</v>
      </c>
      <c r="K756" s="14">
        <v>72</v>
      </c>
      <c r="L756" s="14">
        <v>1260</v>
      </c>
      <c r="M756" s="14">
        <v>252</v>
      </c>
      <c r="N756" s="12">
        <v>257.10000000000002</v>
      </c>
      <c r="O756" s="12" t="s">
        <v>1085</v>
      </c>
      <c r="P756" s="12">
        <v>4.1358009796588102E-2</v>
      </c>
      <c r="Q756" s="12">
        <v>0.15073543101198</v>
      </c>
      <c r="R756" s="12">
        <v>0.117439516129032</v>
      </c>
      <c r="S756" s="14">
        <v>24</v>
      </c>
      <c r="T756" s="12">
        <v>10.971889805620799</v>
      </c>
      <c r="U756" s="14">
        <v>100</v>
      </c>
      <c r="V756" s="14">
        <v>6</v>
      </c>
      <c r="W756" s="12">
        <v>6.0000000000000001E-3</v>
      </c>
      <c r="X756" s="12">
        <v>10.9778898056208</v>
      </c>
      <c r="Y756" s="14">
        <v>100</v>
      </c>
      <c r="Z756" s="14">
        <v>23</v>
      </c>
      <c r="AA756" s="12" t="s">
        <v>2370</v>
      </c>
    </row>
    <row r="757" spans="1:27" ht="14.25" x14ac:dyDescent="0.45">
      <c r="A757" s="12" t="s">
        <v>1088</v>
      </c>
      <c r="B757" s="12" t="s">
        <v>1971</v>
      </c>
      <c r="C757" s="12" t="s">
        <v>1972</v>
      </c>
      <c r="D757" s="12" t="s">
        <v>1982</v>
      </c>
      <c r="E757" s="20">
        <v>37144</v>
      </c>
      <c r="F757" s="20">
        <v>44299</v>
      </c>
      <c r="G757" s="12">
        <v>3.49</v>
      </c>
      <c r="H757" s="12">
        <v>8.7333333333333307</v>
      </c>
      <c r="I757" s="13">
        <v>0.39961832061068697</v>
      </c>
      <c r="J757" s="12" t="s">
        <v>1088</v>
      </c>
      <c r="K757" s="14">
        <v>1139</v>
      </c>
      <c r="L757" s="14">
        <v>1164</v>
      </c>
      <c r="M757" s="14">
        <v>1177</v>
      </c>
      <c r="N757" s="12">
        <v>3.49</v>
      </c>
      <c r="O757" s="12" t="s">
        <v>1088</v>
      </c>
      <c r="P757" s="12">
        <v>5.6141366857289895E-4</v>
      </c>
      <c r="Q757" s="12">
        <v>1.8196728993680499E-3</v>
      </c>
      <c r="R757" s="12">
        <v>0.132056451612903</v>
      </c>
      <c r="S757" s="14">
        <v>21</v>
      </c>
      <c r="T757" s="12">
        <v>0.13478256878198699</v>
      </c>
      <c r="U757" s="14">
        <v>1195</v>
      </c>
      <c r="V757" s="14">
        <v>1</v>
      </c>
      <c r="W757" s="12">
        <v>5.4999999999999997E-3</v>
      </c>
      <c r="X757" s="12">
        <v>0.140282568781987</v>
      </c>
      <c r="Y757" s="14">
        <v>1196</v>
      </c>
      <c r="Z757" s="14">
        <v>20</v>
      </c>
      <c r="AA757" s="12" t="s">
        <v>2370</v>
      </c>
    </row>
    <row r="758" spans="1:27" ht="14.25" x14ac:dyDescent="0.45">
      <c r="A758" s="12" t="s">
        <v>1096</v>
      </c>
      <c r="B758" s="12" t="s">
        <v>1971</v>
      </c>
      <c r="C758" s="12" t="s">
        <v>1972</v>
      </c>
      <c r="D758" s="12" t="s">
        <v>2007</v>
      </c>
      <c r="E758" s="20">
        <v>35947</v>
      </c>
      <c r="F758" s="20">
        <v>44337</v>
      </c>
      <c r="G758" s="12">
        <v>1</v>
      </c>
      <c r="H758" s="12">
        <v>7.4666666666666703</v>
      </c>
      <c r="I758" s="13">
        <v>0.13392857142857101</v>
      </c>
      <c r="J758" s="12" t="s">
        <v>1096</v>
      </c>
      <c r="K758" s="14">
        <v>1436</v>
      </c>
      <c r="L758" s="14">
        <v>1428</v>
      </c>
      <c r="M758" s="14">
        <v>1549</v>
      </c>
      <c r="N758" s="12">
        <v>1</v>
      </c>
      <c r="O758" s="12" t="s">
        <v>1096</v>
      </c>
      <c r="P758" s="12">
        <v>1.6086351535040099E-4</v>
      </c>
      <c r="Q758" s="12">
        <v>6.0984739515251201E-4</v>
      </c>
      <c r="R758" s="12">
        <v>0.112903225806452</v>
      </c>
      <c r="S758" s="14">
        <v>24</v>
      </c>
      <c r="T758" s="12">
        <v>4.4147844022672099E-2</v>
      </c>
      <c r="U758" s="14">
        <v>1541</v>
      </c>
      <c r="V758" s="14">
        <v>2</v>
      </c>
      <c r="W758" s="12">
        <v>5.5999999999999999E-3</v>
      </c>
      <c r="X758" s="12">
        <v>4.97478440226721E-2</v>
      </c>
      <c r="Y758" s="14">
        <v>1541</v>
      </c>
      <c r="Z758" s="14">
        <v>24</v>
      </c>
      <c r="AA758" s="12" t="s">
        <v>2370</v>
      </c>
    </row>
    <row r="759" spans="1:27" ht="14.25" x14ac:dyDescent="0.45">
      <c r="A759" s="12" t="s">
        <v>1115</v>
      </c>
      <c r="B759" s="12" t="s">
        <v>1971</v>
      </c>
      <c r="C759" s="12" t="s">
        <v>1972</v>
      </c>
      <c r="D759" s="12" t="s">
        <v>1974</v>
      </c>
      <c r="E759" s="20">
        <v>35632</v>
      </c>
      <c r="F759" s="20">
        <v>44336</v>
      </c>
      <c r="G759" s="12">
        <v>183.74</v>
      </c>
      <c r="H759" s="12">
        <v>7.5</v>
      </c>
      <c r="I759" s="13">
        <v>24.498666666666701</v>
      </c>
      <c r="J759" s="12" t="s">
        <v>1115</v>
      </c>
      <c r="K759" s="14">
        <v>106</v>
      </c>
      <c r="L759" s="14">
        <v>1377</v>
      </c>
      <c r="M759" s="14">
        <v>297</v>
      </c>
      <c r="N759" s="12">
        <v>183.74</v>
      </c>
      <c r="O759" s="12" t="s">
        <v>1115</v>
      </c>
      <c r="P759" s="12">
        <v>2.9557062310482701E-2</v>
      </c>
      <c r="Q759" s="12">
        <v>0.111555345450277</v>
      </c>
      <c r="R759" s="12">
        <v>0.113407258064516</v>
      </c>
      <c r="S759" s="14">
        <v>25</v>
      </c>
      <c r="T759" s="12">
        <v>8.0805989272854006</v>
      </c>
      <c r="U759" s="14">
        <v>148</v>
      </c>
      <c r="V759" s="14">
        <v>3</v>
      </c>
      <c r="W759" s="12">
        <v>5.7000000000000002E-3</v>
      </c>
      <c r="X759" s="12">
        <v>8.0862989272853891</v>
      </c>
      <c r="Y759" s="14">
        <v>148</v>
      </c>
      <c r="Z759" s="14">
        <v>24</v>
      </c>
      <c r="AA759" s="12" t="s">
        <v>2370</v>
      </c>
    </row>
    <row r="760" spans="1:27" ht="14.25" x14ac:dyDescent="0.45">
      <c r="A760" s="12" t="s">
        <v>1124</v>
      </c>
      <c r="B760" s="12" t="s">
        <v>1971</v>
      </c>
      <c r="C760" s="12" t="s">
        <v>1972</v>
      </c>
      <c r="D760" s="12" t="s">
        <v>2072</v>
      </c>
      <c r="E760" s="20">
        <v>35699</v>
      </c>
      <c r="F760" s="20">
        <v>44309</v>
      </c>
      <c r="G760" s="12">
        <v>3.59</v>
      </c>
      <c r="H760" s="12">
        <v>8.4</v>
      </c>
      <c r="I760" s="13">
        <v>0.42738095238095197</v>
      </c>
      <c r="J760" s="12" t="s">
        <v>1124</v>
      </c>
      <c r="K760" s="14">
        <v>1119</v>
      </c>
      <c r="L760" s="14">
        <v>1226</v>
      </c>
      <c r="M760" s="14">
        <v>1159</v>
      </c>
      <c r="N760" s="12">
        <v>3.59</v>
      </c>
      <c r="O760" s="12" t="s">
        <v>1124</v>
      </c>
      <c r="P760" s="12">
        <v>5.7750002010793897E-4</v>
      </c>
      <c r="Q760" s="12">
        <v>1.9460907987533501E-3</v>
      </c>
      <c r="R760" s="12">
        <v>0.12701612903225801</v>
      </c>
      <c r="S760" s="14">
        <v>25</v>
      </c>
      <c r="T760" s="12">
        <v>0.14328692567613199</v>
      </c>
      <c r="U760" s="14">
        <v>1179</v>
      </c>
      <c r="V760" s="14">
        <v>1</v>
      </c>
      <c r="W760" s="12">
        <v>5.4999999999999997E-3</v>
      </c>
      <c r="X760" s="12">
        <v>0.148786925676132</v>
      </c>
      <c r="Y760" s="14">
        <v>1179</v>
      </c>
      <c r="Z760" s="14">
        <v>24</v>
      </c>
      <c r="AA760" s="12" t="s">
        <v>2370</v>
      </c>
    </row>
    <row r="761" spans="1:27" ht="14.25" x14ac:dyDescent="0.45">
      <c r="A761" s="12" t="s">
        <v>1126</v>
      </c>
      <c r="B761" s="12" t="s">
        <v>1971</v>
      </c>
      <c r="C761" s="12" t="s">
        <v>1972</v>
      </c>
      <c r="D761" s="12" t="s">
        <v>2007</v>
      </c>
      <c r="E761" s="20">
        <v>35857</v>
      </c>
      <c r="F761" s="20">
        <v>44334</v>
      </c>
      <c r="G761" s="12">
        <v>0.03</v>
      </c>
      <c r="H761" s="12">
        <v>7.56666666666667</v>
      </c>
      <c r="I761" s="13">
        <v>3.9647577092510999E-3</v>
      </c>
      <c r="J761" s="12" t="s">
        <v>1126</v>
      </c>
      <c r="K761" s="14">
        <v>1787</v>
      </c>
      <c r="L761" s="14">
        <v>1269</v>
      </c>
      <c r="M761" s="14">
        <v>1895</v>
      </c>
      <c r="N761" s="12">
        <v>0.03</v>
      </c>
      <c r="O761" s="12" t="s">
        <v>1126</v>
      </c>
      <c r="P761" s="12">
        <v>4.8259054605120303E-6</v>
      </c>
      <c r="Q761" s="12">
        <v>1.8053632138435599E-5</v>
      </c>
      <c r="R761" s="12">
        <v>0.114415322580645</v>
      </c>
      <c r="S761" s="14">
        <v>24</v>
      </c>
      <c r="T761" s="12">
        <v>1.30932346342143E-3</v>
      </c>
      <c r="U761" s="14">
        <v>1894</v>
      </c>
      <c r="V761" s="14">
        <v>2</v>
      </c>
      <c r="W761" s="12">
        <v>5.5999999999999999E-3</v>
      </c>
      <c r="X761" s="12">
        <v>6.9093234634214299E-3</v>
      </c>
      <c r="Y761" s="14">
        <v>1890</v>
      </c>
      <c r="Z761" s="14">
        <v>24</v>
      </c>
      <c r="AA761" s="12" t="s">
        <v>2370</v>
      </c>
    </row>
    <row r="762" spans="1:27" ht="14.25" x14ac:dyDescent="0.45">
      <c r="A762" s="12" t="s">
        <v>1129</v>
      </c>
      <c r="B762" s="12" t="s">
        <v>1971</v>
      </c>
      <c r="C762" s="12" t="s">
        <v>1972</v>
      </c>
      <c r="D762" s="12" t="s">
        <v>2026</v>
      </c>
      <c r="E762" s="20">
        <v>36355</v>
      </c>
      <c r="F762" s="20">
        <v>44334</v>
      </c>
      <c r="G762" s="12">
        <v>0.84</v>
      </c>
      <c r="H762" s="12">
        <v>7.56666666666667</v>
      </c>
      <c r="I762" s="13">
        <v>0.111013215859031</v>
      </c>
      <c r="J762" s="12" t="s">
        <v>1129</v>
      </c>
      <c r="K762" s="14">
        <v>1465</v>
      </c>
      <c r="L762" s="14">
        <v>1269</v>
      </c>
      <c r="M762" s="14">
        <v>1591</v>
      </c>
      <c r="N762" s="12">
        <v>0.84</v>
      </c>
      <c r="O762" s="12" t="s">
        <v>1129</v>
      </c>
      <c r="P762" s="12">
        <v>1.3512535289433701E-4</v>
      </c>
      <c r="Q762" s="12">
        <v>5.0550169987619703E-4</v>
      </c>
      <c r="R762" s="12">
        <v>0.114415322580645</v>
      </c>
      <c r="S762" s="14">
        <v>23</v>
      </c>
      <c r="T762" s="12">
        <v>3.6661056975799897E-2</v>
      </c>
      <c r="U762" s="14">
        <v>1572</v>
      </c>
      <c r="V762" s="14">
        <v>2</v>
      </c>
      <c r="W762" s="12">
        <v>5.5999999999999999E-3</v>
      </c>
      <c r="X762" s="12">
        <v>4.2261056975799897E-2</v>
      </c>
      <c r="Y762" s="14">
        <v>1572</v>
      </c>
      <c r="Z762" s="14">
        <v>22</v>
      </c>
      <c r="AA762" s="12" t="s">
        <v>2370</v>
      </c>
    </row>
    <row r="763" spans="1:27" ht="14.25" x14ac:dyDescent="0.45">
      <c r="A763" s="12" t="s">
        <v>1130</v>
      </c>
      <c r="B763" s="12" t="s">
        <v>1971</v>
      </c>
      <c r="C763" s="12" t="s">
        <v>1972</v>
      </c>
      <c r="D763" s="12" t="s">
        <v>2007</v>
      </c>
      <c r="E763" s="20">
        <v>36312</v>
      </c>
      <c r="F763" s="20">
        <v>44334</v>
      </c>
      <c r="G763" s="12">
        <v>0.72</v>
      </c>
      <c r="H763" s="12">
        <v>7.56666666666667</v>
      </c>
      <c r="I763" s="13">
        <v>9.5154185022026397E-2</v>
      </c>
      <c r="J763" s="12" t="s">
        <v>1130</v>
      </c>
      <c r="K763" s="14">
        <v>1508</v>
      </c>
      <c r="L763" s="14">
        <v>1269</v>
      </c>
      <c r="M763" s="14">
        <v>1618</v>
      </c>
      <c r="N763" s="12">
        <v>0.72</v>
      </c>
      <c r="O763" s="12" t="s">
        <v>1130</v>
      </c>
      <c r="P763" s="12">
        <v>1.15821731052289E-4</v>
      </c>
      <c r="Q763" s="12">
        <v>4.33287171322455E-4</v>
      </c>
      <c r="R763" s="12">
        <v>0.114415322580645</v>
      </c>
      <c r="S763" s="14">
        <v>23</v>
      </c>
      <c r="T763" s="12">
        <v>3.1423763122114201E-2</v>
      </c>
      <c r="U763" s="14">
        <v>1612</v>
      </c>
      <c r="V763" s="14">
        <v>1</v>
      </c>
      <c r="W763" s="12">
        <v>5.4999999999999997E-3</v>
      </c>
      <c r="X763" s="12">
        <v>3.6923763122114199E-2</v>
      </c>
      <c r="Y763" s="14">
        <v>1612</v>
      </c>
      <c r="Z763" s="14">
        <v>23</v>
      </c>
      <c r="AA763" s="12" t="s">
        <v>2370</v>
      </c>
    </row>
    <row r="764" spans="1:27" ht="14.25" x14ac:dyDescent="0.45">
      <c r="A764" s="12" t="s">
        <v>1139</v>
      </c>
      <c r="B764" s="12" t="s">
        <v>1971</v>
      </c>
      <c r="C764" s="12" t="s">
        <v>1972</v>
      </c>
      <c r="D764" s="12" t="s">
        <v>2072</v>
      </c>
      <c r="E764" s="20">
        <v>35996</v>
      </c>
      <c r="F764" s="20">
        <v>44271</v>
      </c>
      <c r="G764" s="12">
        <v>0.54</v>
      </c>
      <c r="H764" s="12">
        <v>9.6666666666666696</v>
      </c>
      <c r="I764" s="13">
        <v>5.5862068965517299E-2</v>
      </c>
      <c r="J764" s="12" t="s">
        <v>1139</v>
      </c>
      <c r="K764" s="14">
        <v>1593</v>
      </c>
      <c r="L764" s="14">
        <v>1004</v>
      </c>
      <c r="M764" s="14">
        <v>1669</v>
      </c>
      <c r="N764" s="12">
        <v>0.54</v>
      </c>
      <c r="O764" s="12" t="s">
        <v>1139</v>
      </c>
      <c r="P764" s="12">
        <v>8.6866298289216506E-5</v>
      </c>
      <c r="Q764" s="12">
        <v>2.5436945144016498E-4</v>
      </c>
      <c r="R764" s="12">
        <v>0.14616935483870999</v>
      </c>
      <c r="S764" s="14">
        <v>24</v>
      </c>
      <c r="T764" s="12">
        <v>1.9155576900855901E-2</v>
      </c>
      <c r="U764" s="14">
        <v>1691</v>
      </c>
      <c r="V764" s="14">
        <v>1</v>
      </c>
      <c r="W764" s="12">
        <v>5.4999999999999997E-3</v>
      </c>
      <c r="X764" s="12">
        <v>2.4655576900855899E-2</v>
      </c>
      <c r="Y764" s="14">
        <v>1692</v>
      </c>
      <c r="Z764" s="14">
        <v>23</v>
      </c>
      <c r="AA764" s="12" t="s">
        <v>2370</v>
      </c>
    </row>
    <row r="765" spans="1:27" ht="14.25" x14ac:dyDescent="0.45">
      <c r="A765" s="12" t="s">
        <v>1152</v>
      </c>
      <c r="B765" s="12" t="s">
        <v>1971</v>
      </c>
      <c r="C765" s="12" t="s">
        <v>1972</v>
      </c>
      <c r="D765" s="12" t="s">
        <v>1987</v>
      </c>
      <c r="E765" s="20">
        <v>35985</v>
      </c>
      <c r="F765" s="20">
        <v>44334</v>
      </c>
      <c r="G765" s="12">
        <v>2.67</v>
      </c>
      <c r="H765" s="12">
        <v>7.56666666666667</v>
      </c>
      <c r="I765" s="13">
        <v>0.35286343612334797</v>
      </c>
      <c r="J765" s="12" t="s">
        <v>1152</v>
      </c>
      <c r="K765" s="14">
        <v>1184</v>
      </c>
      <c r="L765" s="14">
        <v>1269</v>
      </c>
      <c r="M765" s="14">
        <v>1259</v>
      </c>
      <c r="N765" s="12">
        <v>2.67</v>
      </c>
      <c r="O765" s="12" t="s">
        <v>1152</v>
      </c>
      <c r="P765" s="12">
        <v>4.2950558598557002E-4</v>
      </c>
      <c r="Q765" s="12">
        <v>1.6067732603207701E-3</v>
      </c>
      <c r="R765" s="12">
        <v>0.114415322580645</v>
      </c>
      <c r="S765" s="14">
        <v>24</v>
      </c>
      <c r="T765" s="12">
        <v>0.11652978824450699</v>
      </c>
      <c r="U765" s="14">
        <v>1238</v>
      </c>
      <c r="V765" s="14">
        <v>1</v>
      </c>
      <c r="W765" s="12">
        <v>5.4999999999999997E-3</v>
      </c>
      <c r="X765" s="12">
        <v>0.122029788244507</v>
      </c>
      <c r="Y765" s="14">
        <v>1238</v>
      </c>
      <c r="Z765" s="14">
        <v>24</v>
      </c>
      <c r="AA765" s="12" t="s">
        <v>2370</v>
      </c>
    </row>
    <row r="766" spans="1:27" ht="14.25" x14ac:dyDescent="0.45">
      <c r="A766" s="12" t="s">
        <v>1160</v>
      </c>
      <c r="B766" s="12" t="s">
        <v>1971</v>
      </c>
      <c r="C766" s="12" t="s">
        <v>1972</v>
      </c>
      <c r="D766" s="12" t="s">
        <v>1975</v>
      </c>
      <c r="E766" s="20">
        <v>35949</v>
      </c>
      <c r="F766" s="20">
        <v>44287</v>
      </c>
      <c r="G766" s="12">
        <v>0.03</v>
      </c>
      <c r="H766" s="12">
        <v>9.1333333333333293</v>
      </c>
      <c r="I766" s="13">
        <v>3.2846715328467202E-3</v>
      </c>
      <c r="J766" s="12" t="s">
        <v>1160</v>
      </c>
      <c r="K766" s="14">
        <v>1792</v>
      </c>
      <c r="L766" s="14">
        <v>1119</v>
      </c>
      <c r="M766" s="14">
        <v>1895</v>
      </c>
      <c r="N766" s="12">
        <v>0.03</v>
      </c>
      <c r="O766" s="12" t="s">
        <v>1160</v>
      </c>
      <c r="P766" s="12">
        <v>4.8259054605120303E-6</v>
      </c>
      <c r="Q766" s="12">
        <v>1.4956841224178401E-5</v>
      </c>
      <c r="R766" s="12">
        <v>0.13810483870967699</v>
      </c>
      <c r="S766" s="14">
        <v>24</v>
      </c>
      <c r="T766" s="12">
        <v>1.11577403128035E-3</v>
      </c>
      <c r="U766" s="14">
        <v>1902</v>
      </c>
      <c r="V766" s="14">
        <v>1</v>
      </c>
      <c r="W766" s="12">
        <v>5.4999999999999997E-3</v>
      </c>
      <c r="X766" s="12">
        <v>6.6157740312803503E-3</v>
      </c>
      <c r="Y766" s="14">
        <v>1903</v>
      </c>
      <c r="Z766" s="14">
        <v>24</v>
      </c>
      <c r="AA766" s="12" t="s">
        <v>2370</v>
      </c>
    </row>
    <row r="767" spans="1:27" ht="14.25" x14ac:dyDescent="0.45">
      <c r="A767" s="12" t="s">
        <v>1166</v>
      </c>
      <c r="B767" s="12" t="s">
        <v>1971</v>
      </c>
      <c r="C767" s="12" t="s">
        <v>1972</v>
      </c>
      <c r="D767" s="12" t="s">
        <v>1990</v>
      </c>
      <c r="E767" s="20">
        <v>35661</v>
      </c>
      <c r="F767" s="20">
        <v>44321</v>
      </c>
      <c r="G767" s="12">
        <v>0.09</v>
      </c>
      <c r="H767" s="12">
        <v>8</v>
      </c>
      <c r="I767" s="13">
        <v>1.125E-2</v>
      </c>
      <c r="J767" s="12" t="s">
        <v>1166</v>
      </c>
      <c r="K767" s="14">
        <v>1736</v>
      </c>
      <c r="L767" s="14">
        <v>1238</v>
      </c>
      <c r="M767" s="14">
        <v>1839</v>
      </c>
      <c r="N767" s="12">
        <v>0.09</v>
      </c>
      <c r="O767" s="12" t="s">
        <v>1166</v>
      </c>
      <c r="P767" s="12">
        <v>1.44777163815361E-5</v>
      </c>
      <c r="Q767" s="12">
        <v>5.1227181192811002E-5</v>
      </c>
      <c r="R767" s="12">
        <v>0.120967741935484</v>
      </c>
      <c r="S767" s="14">
        <v>25</v>
      </c>
      <c r="T767" s="12">
        <v>3.7446131888582901E-3</v>
      </c>
      <c r="U767" s="14">
        <v>1842</v>
      </c>
      <c r="V767" s="14">
        <v>1</v>
      </c>
      <c r="W767" s="12">
        <v>5.4999999999999997E-3</v>
      </c>
      <c r="X767" s="12">
        <v>9.2446131888582906E-3</v>
      </c>
      <c r="Y767" s="14">
        <v>1842</v>
      </c>
      <c r="Z767" s="14">
        <v>24</v>
      </c>
      <c r="AA767" s="12" t="s">
        <v>2370</v>
      </c>
    </row>
    <row r="768" spans="1:27" ht="14.25" x14ac:dyDescent="0.45">
      <c r="A768" s="12" t="s">
        <v>1168</v>
      </c>
      <c r="B768" s="12" t="s">
        <v>1971</v>
      </c>
      <c r="C768" s="12" t="s">
        <v>1972</v>
      </c>
      <c r="D768" s="12" t="s">
        <v>1993</v>
      </c>
      <c r="E768" s="20">
        <v>36068</v>
      </c>
      <c r="F768" s="20">
        <v>44371</v>
      </c>
      <c r="G768" s="12">
        <v>3.21</v>
      </c>
      <c r="H768" s="12">
        <v>6.3333333333333304</v>
      </c>
      <c r="I768" s="13">
        <v>0.50684210526315798</v>
      </c>
      <c r="J768" s="12" t="s">
        <v>1168</v>
      </c>
      <c r="K768" s="14">
        <v>1044</v>
      </c>
      <c r="L768" s="14">
        <v>1557</v>
      </c>
      <c r="M768" s="14">
        <v>1201</v>
      </c>
      <c r="N768" s="12">
        <v>3.21</v>
      </c>
      <c r="O768" s="12" t="s">
        <v>1168</v>
      </c>
      <c r="P768" s="12">
        <v>5.1637188427478703E-4</v>
      </c>
      <c r="Q768" s="12">
        <v>2.3079193211077002E-3</v>
      </c>
      <c r="R768" s="12">
        <v>9.5766129032257993E-2</v>
      </c>
      <c r="S768" s="14">
        <v>24</v>
      </c>
      <c r="T768" s="12">
        <v>0.163608903229536</v>
      </c>
      <c r="U768" s="14">
        <v>1124</v>
      </c>
      <c r="V768" s="14">
        <v>1</v>
      </c>
      <c r="W768" s="12">
        <v>5.4999999999999997E-3</v>
      </c>
      <c r="X768" s="12">
        <v>0.16910890322953601</v>
      </c>
      <c r="Y768" s="14">
        <v>1124</v>
      </c>
      <c r="Z768" s="14">
        <v>23</v>
      </c>
      <c r="AA768" s="12" t="s">
        <v>2370</v>
      </c>
    </row>
    <row r="769" spans="1:27" ht="14.25" x14ac:dyDescent="0.45">
      <c r="A769" s="12" t="s">
        <v>1204</v>
      </c>
      <c r="B769" s="12" t="s">
        <v>1971</v>
      </c>
      <c r="C769" s="12" t="s">
        <v>1972</v>
      </c>
      <c r="D769" s="12" t="s">
        <v>1990</v>
      </c>
      <c r="E769" s="20">
        <v>36095</v>
      </c>
      <c r="F769" s="20">
        <v>43963</v>
      </c>
      <c r="G769" s="12">
        <v>0.2</v>
      </c>
      <c r="H769" s="12">
        <v>19.933333333333302</v>
      </c>
      <c r="I769" s="13">
        <v>1.00334448160535E-2</v>
      </c>
      <c r="J769" s="12" t="s">
        <v>1204</v>
      </c>
      <c r="K769" s="14">
        <v>1746</v>
      </c>
      <c r="L769" s="14">
        <v>448</v>
      </c>
      <c r="M769" s="14">
        <v>1780</v>
      </c>
      <c r="N769" s="12">
        <v>0.2</v>
      </c>
      <c r="O769" s="12" t="s">
        <v>1204</v>
      </c>
      <c r="P769" s="12">
        <v>3.2172703070080199E-5</v>
      </c>
      <c r="Q769" s="12">
        <v>4.56875640515595E-5</v>
      </c>
      <c r="R769" s="12">
        <v>0.30141129032258102</v>
      </c>
      <c r="S769" s="14">
        <v>24</v>
      </c>
      <c r="T769" s="12">
        <v>4.0619491183504696E-3</v>
      </c>
      <c r="U769" s="14">
        <v>1836</v>
      </c>
      <c r="V769" s="14">
        <v>1</v>
      </c>
      <c r="W769" s="12">
        <v>5.4999999999999997E-3</v>
      </c>
      <c r="X769" s="12">
        <v>9.5619491183504702E-3</v>
      </c>
      <c r="Y769" s="14">
        <v>1836</v>
      </c>
      <c r="Z769" s="14">
        <v>23</v>
      </c>
      <c r="AA769" s="12" t="s">
        <v>2370</v>
      </c>
    </row>
    <row r="770" spans="1:27" ht="14.25" x14ac:dyDescent="0.45">
      <c r="A770" s="12" t="s">
        <v>1221</v>
      </c>
      <c r="B770" s="12" t="s">
        <v>1971</v>
      </c>
      <c r="C770" s="12" t="s">
        <v>1972</v>
      </c>
      <c r="D770" s="12" t="s">
        <v>1982</v>
      </c>
      <c r="E770" s="20">
        <v>35829</v>
      </c>
      <c r="F770" s="20">
        <v>44370</v>
      </c>
      <c r="G770" s="12">
        <v>2.25</v>
      </c>
      <c r="H770" s="12">
        <v>6.3666666666666698</v>
      </c>
      <c r="I770" s="13">
        <v>0.353403141361257</v>
      </c>
      <c r="J770" s="12" t="s">
        <v>1221</v>
      </c>
      <c r="K770" s="14">
        <v>1182</v>
      </c>
      <c r="L770" s="14">
        <v>1504</v>
      </c>
      <c r="M770" s="14">
        <v>1314</v>
      </c>
      <c r="N770" s="12">
        <v>2.25</v>
      </c>
      <c r="O770" s="12" t="s">
        <v>1221</v>
      </c>
      <c r="P770" s="12">
        <v>3.6194290953840198E-4</v>
      </c>
      <c r="Q770" s="12">
        <v>1.60923082281082E-3</v>
      </c>
      <c r="R770" s="12">
        <v>9.6270161290322606E-2</v>
      </c>
      <c r="S770" s="14">
        <v>24</v>
      </c>
      <c r="T770" s="12">
        <v>0.11414978553336599</v>
      </c>
      <c r="U770" s="14">
        <v>1248</v>
      </c>
      <c r="V770" s="14">
        <v>1</v>
      </c>
      <c r="W770" s="12">
        <v>5.4999999999999997E-3</v>
      </c>
      <c r="X770" s="12">
        <v>0.119649785533366</v>
      </c>
      <c r="Y770" s="14">
        <v>1248</v>
      </c>
      <c r="Z770" s="14">
        <v>24</v>
      </c>
      <c r="AA770" s="12" t="s">
        <v>2370</v>
      </c>
    </row>
    <row r="771" spans="1:27" ht="14.25" x14ac:dyDescent="0.45">
      <c r="A771" s="12" t="s">
        <v>1241</v>
      </c>
      <c r="B771" s="12" t="s">
        <v>1971</v>
      </c>
      <c r="C771" s="12" t="s">
        <v>1972</v>
      </c>
      <c r="D771" s="12" t="s">
        <v>1993</v>
      </c>
      <c r="E771" s="20">
        <v>35706</v>
      </c>
      <c r="F771" s="20">
        <v>44267</v>
      </c>
      <c r="G771" s="12">
        <v>0.09</v>
      </c>
      <c r="H771" s="12">
        <v>9.8000000000000007</v>
      </c>
      <c r="I771" s="13">
        <v>9.1836734693877507E-3</v>
      </c>
      <c r="J771" s="12" t="s">
        <v>1241</v>
      </c>
      <c r="K771" s="14">
        <v>1752</v>
      </c>
      <c r="L771" s="14">
        <v>989</v>
      </c>
      <c r="M771" s="14">
        <v>1839</v>
      </c>
      <c r="N771" s="12">
        <v>0.09</v>
      </c>
      <c r="O771" s="12" t="s">
        <v>1241</v>
      </c>
      <c r="P771" s="12">
        <v>1.44777163815361E-5</v>
      </c>
      <c r="Q771" s="12">
        <v>4.1818107096172302E-5</v>
      </c>
      <c r="R771" s="12">
        <v>0.148185483870968</v>
      </c>
      <c r="S771" s="14">
        <v>25</v>
      </c>
      <c r="T771" s="12">
        <v>3.15654605781837E-3</v>
      </c>
      <c r="U771" s="14">
        <v>1853</v>
      </c>
      <c r="V771" s="14">
        <v>1</v>
      </c>
      <c r="W771" s="12">
        <v>5.4999999999999997E-3</v>
      </c>
      <c r="X771" s="12">
        <v>8.6565460578183692E-3</v>
      </c>
      <c r="Y771" s="14">
        <v>1853</v>
      </c>
      <c r="Z771" s="14">
        <v>24</v>
      </c>
      <c r="AA771" s="12" t="s">
        <v>2370</v>
      </c>
    </row>
    <row r="772" spans="1:27" ht="14.25" x14ac:dyDescent="0.45">
      <c r="A772" s="12" t="s">
        <v>1280</v>
      </c>
      <c r="B772" s="12" t="s">
        <v>1971</v>
      </c>
      <c r="C772" s="12" t="s">
        <v>1972</v>
      </c>
      <c r="D772" s="12" t="s">
        <v>1975</v>
      </c>
      <c r="E772" s="20">
        <v>36140</v>
      </c>
      <c r="F772" s="20">
        <v>44337</v>
      </c>
      <c r="G772" s="12">
        <v>0.69</v>
      </c>
      <c r="H772" s="12">
        <v>7.4666666666666703</v>
      </c>
      <c r="I772" s="13">
        <v>9.2410714285714304E-2</v>
      </c>
      <c r="J772" s="12" t="s">
        <v>1280</v>
      </c>
      <c r="K772" s="14">
        <v>1515</v>
      </c>
      <c r="L772" s="14">
        <v>1428</v>
      </c>
      <c r="M772" s="14">
        <v>1631</v>
      </c>
      <c r="N772" s="12">
        <v>0.69</v>
      </c>
      <c r="O772" s="12" t="s">
        <v>1280</v>
      </c>
      <c r="P772" s="12">
        <v>1.1099582559177699E-4</v>
      </c>
      <c r="Q772" s="12">
        <v>4.2079470265523299E-4</v>
      </c>
      <c r="R772" s="12">
        <v>0.112903225806452</v>
      </c>
      <c r="S772" s="14">
        <v>24</v>
      </c>
      <c r="T772" s="12">
        <v>3.04620123756437E-2</v>
      </c>
      <c r="U772" s="14">
        <v>1618</v>
      </c>
      <c r="V772" s="14">
        <v>1</v>
      </c>
      <c r="W772" s="12">
        <v>5.4999999999999997E-3</v>
      </c>
      <c r="X772" s="12">
        <v>3.5962012375643698E-2</v>
      </c>
      <c r="Y772" s="14">
        <v>1618</v>
      </c>
      <c r="Z772" s="14">
        <v>23</v>
      </c>
      <c r="AA772" s="12" t="s">
        <v>2370</v>
      </c>
    </row>
    <row r="773" spans="1:27" ht="14.25" x14ac:dyDescent="0.45">
      <c r="A773" s="12" t="s">
        <v>1283</v>
      </c>
      <c r="B773" s="12" t="s">
        <v>1971</v>
      </c>
      <c r="C773" s="12" t="s">
        <v>1972</v>
      </c>
      <c r="D773" s="12" t="s">
        <v>1975</v>
      </c>
      <c r="E773" s="20">
        <v>35838</v>
      </c>
      <c r="F773" s="20">
        <v>44370</v>
      </c>
      <c r="G773" s="12">
        <v>4.08</v>
      </c>
      <c r="H773" s="12">
        <v>6.3666666666666698</v>
      </c>
      <c r="I773" s="13">
        <v>0.64083769633507903</v>
      </c>
      <c r="J773" s="12" t="s">
        <v>1283</v>
      </c>
      <c r="K773" s="14">
        <v>970</v>
      </c>
      <c r="L773" s="14">
        <v>1504</v>
      </c>
      <c r="M773" s="14">
        <v>1111</v>
      </c>
      <c r="N773" s="12">
        <v>4.08</v>
      </c>
      <c r="O773" s="12" t="s">
        <v>1283</v>
      </c>
      <c r="P773" s="12">
        <v>6.5632314262963596E-4</v>
      </c>
      <c r="Q773" s="12">
        <v>2.9180718920302799E-3</v>
      </c>
      <c r="R773" s="12">
        <v>9.6270161290322606E-2</v>
      </c>
      <c r="S773" s="14">
        <v>24</v>
      </c>
      <c r="T773" s="12">
        <v>0.20699161110050401</v>
      </c>
      <c r="U773" s="14">
        <v>1035</v>
      </c>
      <c r="V773" s="14">
        <v>1</v>
      </c>
      <c r="W773" s="12">
        <v>5.4999999999999997E-3</v>
      </c>
      <c r="X773" s="12">
        <v>0.21249161110050399</v>
      </c>
      <c r="Y773" s="14">
        <v>1035</v>
      </c>
      <c r="Z773" s="14">
        <v>24</v>
      </c>
      <c r="AA773" s="12" t="s">
        <v>2370</v>
      </c>
    </row>
    <row r="774" spans="1:27" ht="14.25" x14ac:dyDescent="0.45">
      <c r="A774" s="12" t="s">
        <v>1307</v>
      </c>
      <c r="B774" s="12" t="s">
        <v>1971</v>
      </c>
      <c r="C774" s="12" t="s">
        <v>1972</v>
      </c>
      <c r="D774" s="12" t="s">
        <v>1975</v>
      </c>
      <c r="E774" s="20">
        <v>35954</v>
      </c>
      <c r="F774" s="20">
        <v>44373</v>
      </c>
      <c r="G774" s="12">
        <v>0.53</v>
      </c>
      <c r="H774" s="12">
        <v>6.2666666666666702</v>
      </c>
      <c r="I774" s="13">
        <v>8.4574468085106394E-2</v>
      </c>
      <c r="J774" s="12" t="s">
        <v>1307</v>
      </c>
      <c r="K774" s="14">
        <v>1534</v>
      </c>
      <c r="L774" s="14">
        <v>1629</v>
      </c>
      <c r="M774" s="14">
        <v>1673</v>
      </c>
      <c r="N774" s="12">
        <v>0.53</v>
      </c>
      <c r="O774" s="12" t="s">
        <v>1307</v>
      </c>
      <c r="P774" s="12">
        <v>8.5257663135712494E-5</v>
      </c>
      <c r="Q774" s="12">
        <v>3.85112142300565E-4</v>
      </c>
      <c r="R774" s="12">
        <v>9.4758064516129004E-2</v>
      </c>
      <c r="S774" s="14">
        <v>24</v>
      </c>
      <c r="T774" s="12">
        <v>2.7266671261374501E-2</v>
      </c>
      <c r="U774" s="14">
        <v>1644</v>
      </c>
      <c r="V774" s="14">
        <v>1</v>
      </c>
      <c r="W774" s="12">
        <v>5.4999999999999997E-3</v>
      </c>
      <c r="X774" s="12">
        <v>3.27666712613746E-2</v>
      </c>
      <c r="Y774" s="14">
        <v>1644</v>
      </c>
      <c r="Z774" s="14">
        <v>24</v>
      </c>
      <c r="AA774" s="12" t="s">
        <v>2370</v>
      </c>
    </row>
    <row r="775" spans="1:27" ht="14.25" x14ac:dyDescent="0.45">
      <c r="A775" s="12" t="s">
        <v>1330</v>
      </c>
      <c r="B775" s="12" t="s">
        <v>1971</v>
      </c>
      <c r="C775" s="12" t="s">
        <v>1972</v>
      </c>
      <c r="D775" s="12" t="s">
        <v>1982</v>
      </c>
      <c r="E775" s="20">
        <v>36131</v>
      </c>
      <c r="F775" s="20">
        <v>44372</v>
      </c>
      <c r="G775" s="12">
        <v>0.08</v>
      </c>
      <c r="H775" s="12">
        <v>6.3</v>
      </c>
      <c r="I775" s="13">
        <v>1.26984126984127E-2</v>
      </c>
      <c r="J775" s="12" t="s">
        <v>1330</v>
      </c>
      <c r="K775" s="14">
        <v>1722</v>
      </c>
      <c r="L775" s="14">
        <v>1606</v>
      </c>
      <c r="M775" s="14">
        <v>1849</v>
      </c>
      <c r="N775" s="12">
        <v>0.08</v>
      </c>
      <c r="O775" s="12" t="s">
        <v>1330</v>
      </c>
      <c r="P775" s="12">
        <v>1.2869081228032099E-5</v>
      </c>
      <c r="Q775" s="12">
        <v>5.7822567836682598E-5</v>
      </c>
      <c r="R775" s="12">
        <v>9.5262096774193505E-2</v>
      </c>
      <c r="S775" s="14">
        <v>24</v>
      </c>
      <c r="T775" s="12">
        <v>4.0965010358438702E-3</v>
      </c>
      <c r="U775" s="14">
        <v>1835</v>
      </c>
      <c r="V775" s="14">
        <v>1</v>
      </c>
      <c r="W775" s="12">
        <v>5.4999999999999997E-3</v>
      </c>
      <c r="X775" s="12">
        <v>9.5965010358438699E-3</v>
      </c>
      <c r="Y775" s="14">
        <v>1835</v>
      </c>
      <c r="Z775" s="14">
        <v>23</v>
      </c>
      <c r="AA775" s="12" t="s">
        <v>2370</v>
      </c>
    </row>
    <row r="776" spans="1:27" ht="14.25" x14ac:dyDescent="0.45">
      <c r="A776" s="12" t="s">
        <v>1339</v>
      </c>
      <c r="B776" s="12" t="s">
        <v>1971</v>
      </c>
      <c r="C776" s="12" t="s">
        <v>1972</v>
      </c>
      <c r="D776" s="12" t="s">
        <v>1997</v>
      </c>
      <c r="E776" s="20">
        <v>36301</v>
      </c>
      <c r="F776" s="20">
        <v>44267</v>
      </c>
      <c r="G776" s="12">
        <v>4.25</v>
      </c>
      <c r="H776" s="12">
        <v>9.8000000000000007</v>
      </c>
      <c r="I776" s="13">
        <v>0.43367346938775497</v>
      </c>
      <c r="J776" s="12" t="s">
        <v>1339</v>
      </c>
      <c r="K776" s="14">
        <v>1114</v>
      </c>
      <c r="L776" s="14">
        <v>989</v>
      </c>
      <c r="M776" s="14">
        <v>1092</v>
      </c>
      <c r="N776" s="12">
        <v>4.25</v>
      </c>
      <c r="O776" s="12" t="s">
        <v>1339</v>
      </c>
      <c r="P776" s="12">
        <v>6.8366994023920402E-4</v>
      </c>
      <c r="Q776" s="12">
        <v>1.9747439462081402E-3</v>
      </c>
      <c r="R776" s="12">
        <v>0.148185483870968</v>
      </c>
      <c r="S776" s="14">
        <v>23</v>
      </c>
      <c r="T776" s="12">
        <v>0.149059119396979</v>
      </c>
      <c r="U776" s="14">
        <v>1160</v>
      </c>
      <c r="V776" s="14">
        <v>1</v>
      </c>
      <c r="W776" s="12">
        <v>5.4999999999999997E-3</v>
      </c>
      <c r="X776" s="12">
        <v>0.154559119396979</v>
      </c>
      <c r="Y776" s="14">
        <v>1160</v>
      </c>
      <c r="Z776" s="14">
        <v>23</v>
      </c>
      <c r="AA776" s="12" t="s">
        <v>2370</v>
      </c>
    </row>
    <row r="777" spans="1:27" ht="14.25" x14ac:dyDescent="0.45">
      <c r="A777" s="12" t="s">
        <v>1344</v>
      </c>
      <c r="B777" s="12" t="s">
        <v>1971</v>
      </c>
      <c r="C777" s="12" t="s">
        <v>1972</v>
      </c>
      <c r="D777" s="12" t="s">
        <v>1974</v>
      </c>
      <c r="E777" s="20">
        <v>35977</v>
      </c>
      <c r="F777" s="20">
        <v>44372</v>
      </c>
      <c r="G777" s="12">
        <v>1.64</v>
      </c>
      <c r="H777" s="12">
        <v>6.3</v>
      </c>
      <c r="I777" s="13">
        <v>0.26031746031746</v>
      </c>
      <c r="J777" s="12" t="s">
        <v>1344</v>
      </c>
      <c r="K777" s="14">
        <v>1266</v>
      </c>
      <c r="L777" s="14">
        <v>1606</v>
      </c>
      <c r="M777" s="14">
        <v>1463</v>
      </c>
      <c r="N777" s="12">
        <v>1.64</v>
      </c>
      <c r="O777" s="12" t="s">
        <v>1344</v>
      </c>
      <c r="P777" s="12">
        <v>2.6381616517465699E-4</v>
      </c>
      <c r="Q777" s="12">
        <v>1.1853626406519899E-3</v>
      </c>
      <c r="R777" s="12">
        <v>9.5262096774193505E-2</v>
      </c>
      <c r="S777" s="14">
        <v>24</v>
      </c>
      <c r="T777" s="12">
        <v>8.3978271234799298E-2</v>
      </c>
      <c r="U777" s="14">
        <v>1340</v>
      </c>
      <c r="V777" s="14">
        <v>1</v>
      </c>
      <c r="W777" s="12">
        <v>5.4999999999999997E-3</v>
      </c>
      <c r="X777" s="12">
        <v>8.9478271234799303E-2</v>
      </c>
      <c r="Y777" s="14">
        <v>1341</v>
      </c>
      <c r="Z777" s="14">
        <v>24</v>
      </c>
      <c r="AA777" s="12" t="s">
        <v>2370</v>
      </c>
    </row>
    <row r="778" spans="1:27" ht="14.25" x14ac:dyDescent="0.45">
      <c r="A778" s="12" t="s">
        <v>1360</v>
      </c>
      <c r="B778" s="12" t="s">
        <v>1971</v>
      </c>
      <c r="C778" s="12" t="s">
        <v>1972</v>
      </c>
      <c r="D778" s="12" t="s">
        <v>1984</v>
      </c>
      <c r="E778" s="20">
        <v>35814</v>
      </c>
      <c r="F778" s="20">
        <v>44374</v>
      </c>
      <c r="G778" s="12">
        <v>1.04</v>
      </c>
      <c r="H778" s="12">
        <v>6.2333333333333298</v>
      </c>
      <c r="I778" s="13">
        <v>0.166844919786096</v>
      </c>
      <c r="J778" s="12" t="s">
        <v>1360</v>
      </c>
      <c r="K778" s="14">
        <v>1388</v>
      </c>
      <c r="L778" s="14">
        <v>1637</v>
      </c>
      <c r="M778" s="14">
        <v>1542</v>
      </c>
      <c r="N778" s="12">
        <v>1.04</v>
      </c>
      <c r="O778" s="12" t="s">
        <v>1360</v>
      </c>
      <c r="P778" s="12">
        <v>1.6729805596441699E-4</v>
      </c>
      <c r="Q778" s="12">
        <v>7.5973288328732202E-4</v>
      </c>
      <c r="R778" s="12">
        <v>9.4254032258064502E-2</v>
      </c>
      <c r="S778" s="14">
        <v>24</v>
      </c>
      <c r="T778" s="12">
        <v>5.3756982304123298E-2</v>
      </c>
      <c r="U778" s="14">
        <v>1503</v>
      </c>
      <c r="V778" s="14">
        <v>1</v>
      </c>
      <c r="W778" s="12">
        <v>5.4999999999999997E-3</v>
      </c>
      <c r="X778" s="12">
        <v>5.9256982304123303E-2</v>
      </c>
      <c r="Y778" s="14">
        <v>1504</v>
      </c>
      <c r="Z778" s="14">
        <v>24</v>
      </c>
      <c r="AA778" s="12" t="s">
        <v>2370</v>
      </c>
    </row>
    <row r="779" spans="1:27" ht="14.25" x14ac:dyDescent="0.45">
      <c r="A779" s="12" t="s">
        <v>1383</v>
      </c>
      <c r="B779" s="12" t="s">
        <v>1971</v>
      </c>
      <c r="C779" s="12" t="s">
        <v>1972</v>
      </c>
      <c r="D779" s="12" t="s">
        <v>1975</v>
      </c>
      <c r="E779" s="20">
        <v>36171</v>
      </c>
      <c r="F779" s="20">
        <v>44371</v>
      </c>
      <c r="G779" s="12">
        <v>2.0099999999999998</v>
      </c>
      <c r="H779" s="12">
        <v>6.3333333333333304</v>
      </c>
      <c r="I779" s="13">
        <v>0.31736842105263202</v>
      </c>
      <c r="J779" s="12" t="s">
        <v>1383</v>
      </c>
      <c r="K779" s="14">
        <v>1210</v>
      </c>
      <c r="L779" s="14">
        <v>1557</v>
      </c>
      <c r="M779" s="14">
        <v>1357</v>
      </c>
      <c r="N779" s="12">
        <v>2.0099999999999998</v>
      </c>
      <c r="O779" s="12" t="s">
        <v>1383</v>
      </c>
      <c r="P779" s="12">
        <v>3.23335665854306E-4</v>
      </c>
      <c r="Q779" s="12">
        <v>1.4451457431235101E-3</v>
      </c>
      <c r="R779" s="12">
        <v>9.5766129032257993E-2</v>
      </c>
      <c r="S779" s="14">
        <v>23</v>
      </c>
      <c r="T779" s="12">
        <v>0.102446696414756</v>
      </c>
      <c r="U779" s="14">
        <v>1287</v>
      </c>
      <c r="V779" s="14">
        <v>1</v>
      </c>
      <c r="W779" s="12">
        <v>5.4999999999999997E-3</v>
      </c>
      <c r="X779" s="12">
        <v>0.107946696414756</v>
      </c>
      <c r="Y779" s="14">
        <v>1287</v>
      </c>
      <c r="Z779" s="14">
        <v>23</v>
      </c>
      <c r="AA779" s="12" t="s">
        <v>2370</v>
      </c>
    </row>
    <row r="780" spans="1:27" ht="14.25" x14ac:dyDescent="0.45">
      <c r="A780" s="12" t="s">
        <v>1389</v>
      </c>
      <c r="B780" s="12" t="s">
        <v>1971</v>
      </c>
      <c r="C780" s="12" t="s">
        <v>1972</v>
      </c>
      <c r="D780" s="12" t="s">
        <v>1975</v>
      </c>
      <c r="E780" s="20">
        <v>36069</v>
      </c>
      <c r="F780" s="20">
        <v>44355</v>
      </c>
      <c r="G780" s="12">
        <v>8.1199999999999992</v>
      </c>
      <c r="H780" s="12">
        <v>6.8666666666666698</v>
      </c>
      <c r="I780" s="13">
        <v>1.18252427184466</v>
      </c>
      <c r="J780" s="12" t="s">
        <v>1389</v>
      </c>
      <c r="K780" s="14">
        <v>771</v>
      </c>
      <c r="L780" s="14">
        <v>1482</v>
      </c>
      <c r="M780" s="14">
        <v>887</v>
      </c>
      <c r="N780" s="12">
        <v>8.1199999999999992</v>
      </c>
      <c r="O780" s="12" t="s">
        <v>1389</v>
      </c>
      <c r="P780" s="12">
        <v>1.30621174464526E-3</v>
      </c>
      <c r="Q780" s="12">
        <v>5.3846564567718502E-3</v>
      </c>
      <c r="R780" s="12">
        <v>0.10383064516128999</v>
      </c>
      <c r="S780" s="14">
        <v>24</v>
      </c>
      <c r="T780" s="12">
        <v>0.38552396897243801</v>
      </c>
      <c r="U780" s="14">
        <v>840</v>
      </c>
      <c r="V780" s="14">
        <v>6</v>
      </c>
      <c r="W780" s="12">
        <v>6.0000000000000001E-3</v>
      </c>
      <c r="X780" s="12">
        <v>0.39152396897243802</v>
      </c>
      <c r="Y780" s="14">
        <v>840</v>
      </c>
      <c r="Z780" s="14">
        <v>23</v>
      </c>
      <c r="AA780" s="12" t="s">
        <v>2370</v>
      </c>
    </row>
    <row r="781" spans="1:27" ht="14.25" x14ac:dyDescent="0.45">
      <c r="A781" s="12" t="s">
        <v>1450</v>
      </c>
      <c r="B781" s="12" t="s">
        <v>1971</v>
      </c>
      <c r="C781" s="12" t="s">
        <v>1972</v>
      </c>
      <c r="D781" s="12" t="s">
        <v>1982</v>
      </c>
      <c r="E781" s="20">
        <v>36103</v>
      </c>
      <c r="F781" s="20">
        <v>44130</v>
      </c>
      <c r="G781" s="12">
        <v>7.67</v>
      </c>
      <c r="H781" s="12">
        <v>14.366666666666699</v>
      </c>
      <c r="I781" s="13">
        <v>0.53387470997679798</v>
      </c>
      <c r="J781" s="12" t="s">
        <v>1450</v>
      </c>
      <c r="K781" s="14">
        <v>1031</v>
      </c>
      <c r="L781" s="14">
        <v>577</v>
      </c>
      <c r="M781" s="14">
        <v>900</v>
      </c>
      <c r="N781" s="12">
        <v>7.67</v>
      </c>
      <c r="O781" s="12" t="s">
        <v>1450</v>
      </c>
      <c r="P781" s="12">
        <v>1.2338231627375699E-3</v>
      </c>
      <c r="Q781" s="12">
        <v>2.4310130224214099E-3</v>
      </c>
      <c r="R781" s="12">
        <v>0.21723790322580599</v>
      </c>
      <c r="S781" s="14">
        <v>24</v>
      </c>
      <c r="T781" s="12">
        <v>0.19820668250399701</v>
      </c>
      <c r="U781" s="14">
        <v>1051</v>
      </c>
      <c r="V781" s="14">
        <v>1</v>
      </c>
      <c r="W781" s="12">
        <v>5.4999999999999997E-3</v>
      </c>
      <c r="X781" s="12">
        <v>0.20370668250399701</v>
      </c>
      <c r="Y781" s="14">
        <v>1051</v>
      </c>
      <c r="Z781" s="14">
        <v>23</v>
      </c>
      <c r="AA781" s="12" t="s">
        <v>2370</v>
      </c>
    </row>
    <row r="782" spans="1:27" ht="14.25" x14ac:dyDescent="0.45">
      <c r="A782" s="12" t="s">
        <v>1455</v>
      </c>
      <c r="B782" s="12" t="s">
        <v>1971</v>
      </c>
      <c r="C782" s="12" t="s">
        <v>1972</v>
      </c>
      <c r="D782" s="12" t="s">
        <v>1975</v>
      </c>
      <c r="E782" s="20">
        <v>35731</v>
      </c>
      <c r="F782" s="20">
        <v>44335</v>
      </c>
      <c r="G782" s="12">
        <v>0.16</v>
      </c>
      <c r="H782" s="12">
        <v>7.5333333333333297</v>
      </c>
      <c r="I782" s="13">
        <v>2.12389380530973E-2</v>
      </c>
      <c r="J782" s="12" t="s">
        <v>1455</v>
      </c>
      <c r="K782" s="14">
        <v>1680</v>
      </c>
      <c r="L782" s="14">
        <v>1332</v>
      </c>
      <c r="M782" s="14">
        <v>1801</v>
      </c>
      <c r="N782" s="12">
        <v>0.16</v>
      </c>
      <c r="O782" s="12" t="s">
        <v>1455</v>
      </c>
      <c r="P782" s="12">
        <v>2.5738162456064101E-5</v>
      </c>
      <c r="Q782" s="12">
        <v>9.6712082487902798E-5</v>
      </c>
      <c r="R782" s="12">
        <v>0.113911290322581</v>
      </c>
      <c r="S782" s="14">
        <v>25</v>
      </c>
      <c r="T782" s="12">
        <v>7.0096862475963299E-3</v>
      </c>
      <c r="U782" s="14">
        <v>1789</v>
      </c>
      <c r="V782" s="14">
        <v>1</v>
      </c>
      <c r="W782" s="12">
        <v>5.4999999999999997E-3</v>
      </c>
      <c r="X782" s="12">
        <v>1.25096862475963E-2</v>
      </c>
      <c r="Y782" s="14">
        <v>1790</v>
      </c>
      <c r="Z782" s="14">
        <v>24</v>
      </c>
      <c r="AA782" s="12" t="s">
        <v>2370</v>
      </c>
    </row>
    <row r="783" spans="1:27" ht="14.25" x14ac:dyDescent="0.45">
      <c r="A783" s="12" t="s">
        <v>1467</v>
      </c>
      <c r="B783" s="12" t="s">
        <v>1971</v>
      </c>
      <c r="C783" s="12" t="s">
        <v>1972</v>
      </c>
      <c r="D783" s="12" t="s">
        <v>1975</v>
      </c>
      <c r="E783" s="20">
        <v>35741</v>
      </c>
      <c r="F783" s="20">
        <v>44371</v>
      </c>
      <c r="G783" s="12">
        <v>1.08</v>
      </c>
      <c r="H783" s="12">
        <v>6.3333333333333304</v>
      </c>
      <c r="I783" s="13">
        <v>0.170526315789474</v>
      </c>
      <c r="J783" s="12" t="s">
        <v>1467</v>
      </c>
      <c r="K783" s="14">
        <v>1381</v>
      </c>
      <c r="L783" s="14">
        <v>1557</v>
      </c>
      <c r="M783" s="14">
        <v>1532</v>
      </c>
      <c r="N783" s="12">
        <v>1.08</v>
      </c>
      <c r="O783" s="12" t="s">
        <v>1467</v>
      </c>
      <c r="P783" s="12">
        <v>1.7373259657843301E-4</v>
      </c>
      <c r="Q783" s="12">
        <v>7.7649622018576697E-4</v>
      </c>
      <c r="R783" s="12">
        <v>9.5766129032257993E-2</v>
      </c>
      <c r="S783" s="14">
        <v>25</v>
      </c>
      <c r="T783" s="12">
        <v>5.5045986133301701E-2</v>
      </c>
      <c r="U783" s="14">
        <v>1498</v>
      </c>
      <c r="V783" s="14">
        <v>2</v>
      </c>
      <c r="W783" s="12">
        <v>5.5999999999999999E-3</v>
      </c>
      <c r="X783" s="12">
        <v>6.0645986133301702E-2</v>
      </c>
      <c r="Y783" s="14">
        <v>1497</v>
      </c>
      <c r="Z783" s="14">
        <v>24</v>
      </c>
      <c r="AA783" s="12" t="s">
        <v>2370</v>
      </c>
    </row>
    <row r="784" spans="1:27" ht="14.25" x14ac:dyDescent="0.45">
      <c r="A784" s="12" t="s">
        <v>1471</v>
      </c>
      <c r="B784" s="12" t="s">
        <v>1971</v>
      </c>
      <c r="C784" s="12" t="s">
        <v>1972</v>
      </c>
      <c r="D784" s="12" t="s">
        <v>1982</v>
      </c>
      <c r="E784" s="20">
        <v>35937</v>
      </c>
      <c r="F784" s="20">
        <v>44335</v>
      </c>
      <c r="G784" s="12">
        <v>0.09</v>
      </c>
      <c r="H784" s="12">
        <v>7.5333333333333297</v>
      </c>
      <c r="I784" s="13">
        <v>1.19469026548673E-2</v>
      </c>
      <c r="J784" s="12" t="s">
        <v>1471</v>
      </c>
      <c r="K784" s="14">
        <v>1730</v>
      </c>
      <c r="L784" s="14">
        <v>1332</v>
      </c>
      <c r="M784" s="14">
        <v>1839</v>
      </c>
      <c r="N784" s="12">
        <v>0.09</v>
      </c>
      <c r="O784" s="12" t="s">
        <v>1471</v>
      </c>
      <c r="P784" s="12">
        <v>1.44777163815361E-5</v>
      </c>
      <c r="Q784" s="12">
        <v>5.4400546399445303E-5</v>
      </c>
      <c r="R784" s="12">
        <v>0.113911290322581</v>
      </c>
      <c r="S784" s="14">
        <v>24</v>
      </c>
      <c r="T784" s="12">
        <v>3.9429485142729401E-3</v>
      </c>
      <c r="U784" s="14">
        <v>1839</v>
      </c>
      <c r="V784" s="14">
        <v>1</v>
      </c>
      <c r="W784" s="12">
        <v>5.4999999999999997E-3</v>
      </c>
      <c r="X784" s="12">
        <v>9.4429485142729398E-3</v>
      </c>
      <c r="Y784" s="14">
        <v>1839</v>
      </c>
      <c r="Z784" s="14">
        <v>24</v>
      </c>
      <c r="AA784" s="12" t="s">
        <v>2370</v>
      </c>
    </row>
    <row r="785" spans="1:27" ht="14.25" x14ac:dyDescent="0.45">
      <c r="A785" s="12" t="s">
        <v>1486</v>
      </c>
      <c r="B785" s="12" t="s">
        <v>1971</v>
      </c>
      <c r="C785" s="12" t="s">
        <v>1972</v>
      </c>
      <c r="D785" s="12" t="s">
        <v>1987</v>
      </c>
      <c r="E785" s="20">
        <v>36239</v>
      </c>
      <c r="F785" s="20">
        <v>44370</v>
      </c>
      <c r="G785" s="12">
        <v>1.04</v>
      </c>
      <c r="H785" s="12">
        <v>6.3666666666666698</v>
      </c>
      <c r="I785" s="13">
        <v>0.163350785340314</v>
      </c>
      <c r="J785" s="12" t="s">
        <v>1486</v>
      </c>
      <c r="K785" s="14">
        <v>1398</v>
      </c>
      <c r="L785" s="14">
        <v>1504</v>
      </c>
      <c r="M785" s="14">
        <v>1542</v>
      </c>
      <c r="N785" s="12">
        <v>1.04</v>
      </c>
      <c r="O785" s="12" t="s">
        <v>1486</v>
      </c>
      <c r="P785" s="12">
        <v>1.6729805596441699E-4</v>
      </c>
      <c r="Q785" s="12">
        <v>7.4382224698811095E-4</v>
      </c>
      <c r="R785" s="12">
        <v>9.6270161290322606E-2</v>
      </c>
      <c r="S785" s="14">
        <v>23</v>
      </c>
      <c r="T785" s="12">
        <v>5.2762567535422598E-2</v>
      </c>
      <c r="U785" s="14">
        <v>1508</v>
      </c>
      <c r="V785" s="14">
        <v>1</v>
      </c>
      <c r="W785" s="12">
        <v>5.4999999999999997E-3</v>
      </c>
      <c r="X785" s="12">
        <v>5.8262567535422603E-2</v>
      </c>
      <c r="Y785" s="14">
        <v>1508</v>
      </c>
      <c r="Z785" s="14">
        <v>23</v>
      </c>
      <c r="AA785" s="12" t="s">
        <v>2370</v>
      </c>
    </row>
    <row r="786" spans="1:27" ht="14.25" x14ac:dyDescent="0.45">
      <c r="A786" s="12" t="s">
        <v>1488</v>
      </c>
      <c r="B786" s="12" t="s">
        <v>1971</v>
      </c>
      <c r="C786" s="12" t="s">
        <v>1972</v>
      </c>
      <c r="D786" s="12" t="s">
        <v>1993</v>
      </c>
      <c r="E786" s="20">
        <v>36041</v>
      </c>
      <c r="F786" s="20">
        <v>44336</v>
      </c>
      <c r="G786" s="12">
        <v>6.69</v>
      </c>
      <c r="H786" s="12">
        <v>7.5</v>
      </c>
      <c r="I786" s="13">
        <v>0.89200000000000002</v>
      </c>
      <c r="J786" s="12" t="s">
        <v>1488</v>
      </c>
      <c r="K786" s="14">
        <v>857</v>
      </c>
      <c r="L786" s="14">
        <v>1377</v>
      </c>
      <c r="M786" s="14">
        <v>935</v>
      </c>
      <c r="N786" s="12">
        <v>6.69</v>
      </c>
      <c r="O786" s="12" t="s">
        <v>1488</v>
      </c>
      <c r="P786" s="12">
        <v>1.0761769176941801E-3</v>
      </c>
      <c r="Q786" s="12">
        <v>4.0617462776877701E-3</v>
      </c>
      <c r="R786" s="12">
        <v>0.113407258064516</v>
      </c>
      <c r="S786" s="14">
        <v>24</v>
      </c>
      <c r="T786" s="12">
        <v>0.294215776769018</v>
      </c>
      <c r="U786" s="14">
        <v>927</v>
      </c>
      <c r="V786" s="14">
        <v>2</v>
      </c>
      <c r="W786" s="12">
        <v>5.5999999999999999E-3</v>
      </c>
      <c r="X786" s="12">
        <v>0.29981577676901799</v>
      </c>
      <c r="Y786" s="14">
        <v>927</v>
      </c>
      <c r="Z786" s="14">
        <v>23</v>
      </c>
      <c r="AA786" s="12" t="s">
        <v>2370</v>
      </c>
    </row>
    <row r="787" spans="1:27" ht="14.25" x14ac:dyDescent="0.45">
      <c r="A787" s="12" t="s">
        <v>1495</v>
      </c>
      <c r="B787" s="12" t="s">
        <v>1971</v>
      </c>
      <c r="C787" s="12" t="s">
        <v>1972</v>
      </c>
      <c r="D787" s="12" t="s">
        <v>1982</v>
      </c>
      <c r="E787" s="20">
        <v>36443</v>
      </c>
      <c r="F787" s="20">
        <v>44343</v>
      </c>
      <c r="G787" s="12">
        <v>0.83</v>
      </c>
      <c r="H787" s="12">
        <v>7.2666666666666702</v>
      </c>
      <c r="I787" s="13">
        <v>0.114220183486239</v>
      </c>
      <c r="J787" s="12" t="s">
        <v>1495</v>
      </c>
      <c r="K787" s="14">
        <v>1455</v>
      </c>
      <c r="L787" s="14">
        <v>1472</v>
      </c>
      <c r="M787" s="14">
        <v>1594</v>
      </c>
      <c r="N787" s="12">
        <v>0.83</v>
      </c>
      <c r="O787" s="12" t="s">
        <v>1495</v>
      </c>
      <c r="P787" s="12">
        <v>1.3351671774083299E-4</v>
      </c>
      <c r="Q787" s="12">
        <v>5.2010471425117E-4</v>
      </c>
      <c r="R787" s="12">
        <v>0.109879032258065</v>
      </c>
      <c r="S787" s="14">
        <v>23</v>
      </c>
      <c r="T787" s="12">
        <v>3.75134215559794E-2</v>
      </c>
      <c r="U787" s="14">
        <v>1568</v>
      </c>
      <c r="V787" s="14">
        <v>1</v>
      </c>
      <c r="W787" s="12">
        <v>5.4999999999999997E-3</v>
      </c>
      <c r="X787" s="12">
        <v>4.3013421555979398E-2</v>
      </c>
      <c r="Y787" s="14">
        <v>1568</v>
      </c>
      <c r="Z787" s="14">
        <v>22</v>
      </c>
      <c r="AA787" s="12" t="s">
        <v>2370</v>
      </c>
    </row>
    <row r="788" spans="1:27" ht="14.25" x14ac:dyDescent="0.45">
      <c r="A788" s="12" t="s">
        <v>1538</v>
      </c>
      <c r="B788" s="12" t="s">
        <v>1971</v>
      </c>
      <c r="C788" s="12" t="s">
        <v>1972</v>
      </c>
      <c r="D788" s="12" t="s">
        <v>1975</v>
      </c>
      <c r="E788" s="20">
        <v>35991</v>
      </c>
      <c r="F788" s="20">
        <v>43384</v>
      </c>
      <c r="G788" s="12">
        <v>378.85</v>
      </c>
      <c r="H788" s="12">
        <v>39.233333333333299</v>
      </c>
      <c r="I788" s="13">
        <v>9.6563296516567494</v>
      </c>
      <c r="J788" s="12" t="s">
        <v>1538</v>
      </c>
      <c r="K788" s="14">
        <v>304</v>
      </c>
      <c r="L788" s="14">
        <v>198</v>
      </c>
      <c r="M788" s="14">
        <v>189</v>
      </c>
      <c r="N788" s="12">
        <v>378.85</v>
      </c>
      <c r="O788" s="12" t="s">
        <v>1538</v>
      </c>
      <c r="P788" s="12">
        <v>6.0943142790499401E-2</v>
      </c>
      <c r="Q788" s="12">
        <v>4.3970359886482999E-2</v>
      </c>
      <c r="R788" s="12">
        <v>0.59324596774193505</v>
      </c>
      <c r="S788" s="14">
        <v>24</v>
      </c>
      <c r="T788" s="12">
        <v>5.0335153475489198</v>
      </c>
      <c r="U788" s="14">
        <v>258</v>
      </c>
      <c r="V788" s="14">
        <v>5</v>
      </c>
      <c r="W788" s="12">
        <v>5.8999999999999999E-3</v>
      </c>
      <c r="X788" s="12">
        <v>5.0394153475489203</v>
      </c>
      <c r="Y788" s="14">
        <v>258</v>
      </c>
      <c r="Z788" s="14">
        <v>23</v>
      </c>
      <c r="AA788" s="12" t="s">
        <v>2370</v>
      </c>
    </row>
    <row r="789" spans="1:27" ht="14.25" x14ac:dyDescent="0.45">
      <c r="A789" s="12" t="s">
        <v>1551</v>
      </c>
      <c r="B789" s="12" t="s">
        <v>1971</v>
      </c>
      <c r="C789" s="12" t="s">
        <v>1972</v>
      </c>
      <c r="D789" s="12" t="s">
        <v>1974</v>
      </c>
      <c r="E789" s="20">
        <v>35663</v>
      </c>
      <c r="F789" s="20">
        <v>44280</v>
      </c>
      <c r="G789" s="12">
        <v>0.02</v>
      </c>
      <c r="H789" s="12">
        <v>9.3666666666666707</v>
      </c>
      <c r="I789" s="13">
        <v>2.1352313167259801E-3</v>
      </c>
      <c r="J789" s="12" t="s">
        <v>1551</v>
      </c>
      <c r="K789" s="14">
        <v>1809</v>
      </c>
      <c r="L789" s="14">
        <v>1063</v>
      </c>
      <c r="M789" s="14">
        <v>1922</v>
      </c>
      <c r="N789" s="12">
        <v>0.02</v>
      </c>
      <c r="O789" s="12" t="s">
        <v>1551</v>
      </c>
      <c r="P789" s="12">
        <v>3.2172703070080202E-6</v>
      </c>
      <c r="Q789" s="12">
        <v>9.7228339155987699E-6</v>
      </c>
      <c r="R789" s="12">
        <v>0.141633064516129</v>
      </c>
      <c r="S789" s="14">
        <v>25</v>
      </c>
      <c r="T789" s="12">
        <v>7.2832475623772395E-4</v>
      </c>
      <c r="U789" s="14">
        <v>1927</v>
      </c>
      <c r="V789" s="14">
        <v>1</v>
      </c>
      <c r="W789" s="12">
        <v>5.4999999999999997E-3</v>
      </c>
      <c r="X789" s="12">
        <v>6.2283247562377204E-3</v>
      </c>
      <c r="Y789" s="14">
        <v>1927</v>
      </c>
      <c r="Z789" s="14">
        <v>24</v>
      </c>
      <c r="AA789" s="12" t="s">
        <v>2370</v>
      </c>
    </row>
    <row r="790" spans="1:27" ht="14.25" x14ac:dyDescent="0.45">
      <c r="A790" s="12" t="s">
        <v>1555</v>
      </c>
      <c r="B790" s="12" t="s">
        <v>1971</v>
      </c>
      <c r="C790" s="12" t="s">
        <v>1972</v>
      </c>
      <c r="D790" s="12" t="s">
        <v>2026</v>
      </c>
      <c r="E790" s="20">
        <v>36056</v>
      </c>
      <c r="F790" s="20">
        <v>44371</v>
      </c>
      <c r="G790" s="12">
        <v>0.65</v>
      </c>
      <c r="H790" s="12">
        <v>6.3333333333333304</v>
      </c>
      <c r="I790" s="13">
        <v>0.102631578947368</v>
      </c>
      <c r="J790" s="12" t="s">
        <v>1555</v>
      </c>
      <c r="K790" s="14">
        <v>1487</v>
      </c>
      <c r="L790" s="14">
        <v>1557</v>
      </c>
      <c r="M790" s="14">
        <v>1644</v>
      </c>
      <c r="N790" s="12">
        <v>0.65</v>
      </c>
      <c r="O790" s="12" t="s">
        <v>1555</v>
      </c>
      <c r="P790" s="12">
        <v>1.04561284977761E-4</v>
      </c>
      <c r="Q790" s="12">
        <v>4.6733568807476701E-4</v>
      </c>
      <c r="R790" s="12">
        <v>9.5766129032257993E-2</v>
      </c>
      <c r="S790" s="14">
        <v>24</v>
      </c>
      <c r="T790" s="12">
        <v>3.3129528691338998E-2</v>
      </c>
      <c r="U790" s="14">
        <v>1602</v>
      </c>
      <c r="V790" s="14">
        <v>1</v>
      </c>
      <c r="W790" s="12">
        <v>5.4999999999999997E-3</v>
      </c>
      <c r="X790" s="12">
        <v>3.8629528691339003E-2</v>
      </c>
      <c r="Y790" s="14">
        <v>1602</v>
      </c>
      <c r="Z790" s="14">
        <v>23</v>
      </c>
      <c r="AA790" s="12" t="s">
        <v>2370</v>
      </c>
    </row>
    <row r="791" spans="1:27" ht="14.25" x14ac:dyDescent="0.45">
      <c r="A791" s="12" t="s">
        <v>1556</v>
      </c>
      <c r="B791" s="12" t="s">
        <v>1971</v>
      </c>
      <c r="C791" s="12" t="s">
        <v>1972</v>
      </c>
      <c r="D791" s="12" t="s">
        <v>1993</v>
      </c>
      <c r="E791" s="20">
        <v>36269</v>
      </c>
      <c r="F791" s="20">
        <v>44337</v>
      </c>
      <c r="G791" s="12">
        <v>0.11</v>
      </c>
      <c r="H791" s="12">
        <v>7.4666666666666703</v>
      </c>
      <c r="I791" s="13">
        <v>1.47321428571429E-2</v>
      </c>
      <c r="J791" s="12" t="s">
        <v>1556</v>
      </c>
      <c r="K791" s="14">
        <v>1712</v>
      </c>
      <c r="L791" s="14">
        <v>1428</v>
      </c>
      <c r="M791" s="14">
        <v>1826</v>
      </c>
      <c r="N791" s="12">
        <v>0.11</v>
      </c>
      <c r="O791" s="12" t="s">
        <v>1556</v>
      </c>
      <c r="P791" s="12">
        <v>1.7694986688544098E-5</v>
      </c>
      <c r="Q791" s="12">
        <v>6.7083213466776395E-5</v>
      </c>
      <c r="R791" s="12">
        <v>0.112903225806452</v>
      </c>
      <c r="S791" s="14">
        <v>23</v>
      </c>
      <c r="T791" s="12">
        <v>4.8562628424939297E-3</v>
      </c>
      <c r="U791" s="14">
        <v>1820</v>
      </c>
      <c r="V791" s="14">
        <v>2</v>
      </c>
      <c r="W791" s="12">
        <v>5.5999999999999999E-3</v>
      </c>
      <c r="X791" s="12">
        <v>1.04562628424939E-2</v>
      </c>
      <c r="Y791" s="14">
        <v>1820</v>
      </c>
      <c r="Z791" s="14">
        <v>23</v>
      </c>
      <c r="AA791" s="12" t="s">
        <v>2370</v>
      </c>
    </row>
    <row r="792" spans="1:27" ht="14.25" x14ac:dyDescent="0.45">
      <c r="A792" s="12" t="s">
        <v>1574</v>
      </c>
      <c r="B792" s="12" t="s">
        <v>1971</v>
      </c>
      <c r="C792" s="12" t="s">
        <v>1972</v>
      </c>
      <c r="D792" s="12" t="s">
        <v>1975</v>
      </c>
      <c r="E792" s="20">
        <v>35881</v>
      </c>
      <c r="F792" s="20">
        <v>44266</v>
      </c>
      <c r="G792" s="12">
        <v>2.14</v>
      </c>
      <c r="H792" s="12">
        <v>9.8333333333333304</v>
      </c>
      <c r="I792" s="13">
        <v>0.217627118644068</v>
      </c>
      <c r="J792" s="12" t="s">
        <v>1574</v>
      </c>
      <c r="K792" s="14">
        <v>1323</v>
      </c>
      <c r="L792" s="14">
        <v>982</v>
      </c>
      <c r="M792" s="14">
        <v>1331</v>
      </c>
      <c r="N792" s="12">
        <v>2.14</v>
      </c>
      <c r="O792" s="12" t="s">
        <v>1574</v>
      </c>
      <c r="P792" s="12">
        <v>3.44247922849858E-4</v>
      </c>
      <c r="Q792" s="12">
        <v>9.9097100793324802E-4</v>
      </c>
      <c r="R792" s="12">
        <v>0.148689516129032</v>
      </c>
      <c r="S792" s="14">
        <v>24</v>
      </c>
      <c r="T792" s="12">
        <v>7.48449851026977E-2</v>
      </c>
      <c r="U792" s="14">
        <v>1408</v>
      </c>
      <c r="V792" s="14">
        <v>1</v>
      </c>
      <c r="W792" s="12">
        <v>5.4999999999999997E-3</v>
      </c>
      <c r="X792" s="12">
        <v>8.0344985102697705E-2</v>
      </c>
      <c r="Y792" s="14">
        <v>1408</v>
      </c>
      <c r="Z792" s="14">
        <v>24</v>
      </c>
      <c r="AA792" s="12" t="s">
        <v>2370</v>
      </c>
    </row>
    <row r="793" spans="1:27" ht="14.25" x14ac:dyDescent="0.45">
      <c r="A793" s="12" t="s">
        <v>1599</v>
      </c>
      <c r="B793" s="12" t="s">
        <v>1971</v>
      </c>
      <c r="C793" s="12" t="s">
        <v>1972</v>
      </c>
      <c r="D793" s="12" t="s">
        <v>1993</v>
      </c>
      <c r="E793" s="20">
        <v>35686</v>
      </c>
      <c r="F793" s="20">
        <v>44417</v>
      </c>
      <c r="G793" s="12">
        <v>1.71</v>
      </c>
      <c r="H793" s="12">
        <v>4.8</v>
      </c>
      <c r="I793" s="13">
        <v>0.35625000000000001</v>
      </c>
      <c r="J793" s="12" t="s">
        <v>1599</v>
      </c>
      <c r="K793" s="14">
        <v>1181</v>
      </c>
      <c r="L793" s="14">
        <v>1757</v>
      </c>
      <c r="M793" s="14">
        <v>1456</v>
      </c>
      <c r="N793" s="12">
        <v>1.71</v>
      </c>
      <c r="O793" s="12" t="s">
        <v>1599</v>
      </c>
      <c r="P793" s="12">
        <v>2.75076611249186E-4</v>
      </c>
      <c r="Q793" s="12">
        <v>1.6221940711056799E-3</v>
      </c>
      <c r="R793" s="12">
        <v>7.25806451612903E-2</v>
      </c>
      <c r="S793" s="14">
        <v>25</v>
      </c>
      <c r="T793" s="12">
        <v>0.11170250236595</v>
      </c>
      <c r="U793" s="14">
        <v>1258</v>
      </c>
      <c r="V793" s="14">
        <v>1</v>
      </c>
      <c r="W793" s="12">
        <v>5.4999999999999997E-3</v>
      </c>
      <c r="X793" s="12">
        <v>0.11720250236595001</v>
      </c>
      <c r="Y793" s="14">
        <v>1258</v>
      </c>
      <c r="Z793" s="14">
        <v>24</v>
      </c>
      <c r="AA793" s="12" t="s">
        <v>2370</v>
      </c>
    </row>
    <row r="794" spans="1:27" ht="14.25" x14ac:dyDescent="0.45">
      <c r="A794" s="12" t="s">
        <v>1612</v>
      </c>
      <c r="B794" s="12" t="s">
        <v>1971</v>
      </c>
      <c r="C794" s="12" t="s">
        <v>1972</v>
      </c>
      <c r="D794" s="12" t="s">
        <v>1974</v>
      </c>
      <c r="E794" s="20">
        <v>36154</v>
      </c>
      <c r="F794" s="20">
        <v>44420</v>
      </c>
      <c r="G794" s="12">
        <v>0.77</v>
      </c>
      <c r="H794" s="12">
        <v>4.7</v>
      </c>
      <c r="I794" s="13">
        <v>0.16382978723404301</v>
      </c>
      <c r="J794" s="12" t="s">
        <v>1612</v>
      </c>
      <c r="K794" s="14">
        <v>1394</v>
      </c>
      <c r="L794" s="14">
        <v>1792</v>
      </c>
      <c r="M794" s="14">
        <v>1608</v>
      </c>
      <c r="N794" s="12">
        <v>0.77</v>
      </c>
      <c r="O794" s="12" t="s">
        <v>1612</v>
      </c>
      <c r="P794" s="12">
        <v>1.23864906819809E-4</v>
      </c>
      <c r="Q794" s="12">
        <v>7.4600339514826499E-4</v>
      </c>
      <c r="R794" s="12">
        <v>7.1068548387096794E-2</v>
      </c>
      <c r="S794" s="14">
        <v>24</v>
      </c>
      <c r="T794" s="12">
        <v>5.1270146202509401E-2</v>
      </c>
      <c r="U794" s="14">
        <v>1514</v>
      </c>
      <c r="V794" s="14">
        <v>1</v>
      </c>
      <c r="W794" s="12">
        <v>5.4999999999999997E-3</v>
      </c>
      <c r="X794" s="12">
        <v>5.6770146202509399E-2</v>
      </c>
      <c r="Y794" s="14">
        <v>1514</v>
      </c>
      <c r="Z794" s="14">
        <v>23</v>
      </c>
      <c r="AA794" s="12" t="s">
        <v>2370</v>
      </c>
    </row>
    <row r="795" spans="1:27" ht="14.25" x14ac:dyDescent="0.45">
      <c r="A795" s="12" t="s">
        <v>1620</v>
      </c>
      <c r="B795" s="12" t="s">
        <v>1971</v>
      </c>
      <c r="C795" s="12" t="s">
        <v>1972</v>
      </c>
      <c r="D795" s="12" t="s">
        <v>2007</v>
      </c>
      <c r="E795" s="20">
        <v>35685</v>
      </c>
      <c r="F795" s="20">
        <v>44410</v>
      </c>
      <c r="G795" s="12">
        <v>1.02</v>
      </c>
      <c r="H795" s="12">
        <v>5.0333333333333297</v>
      </c>
      <c r="I795" s="13">
        <v>0.202649006622517</v>
      </c>
      <c r="J795" s="12" t="s">
        <v>1620</v>
      </c>
      <c r="K795" s="14">
        <v>1345</v>
      </c>
      <c r="L795" s="14">
        <v>1727</v>
      </c>
      <c r="M795" s="14">
        <v>1548</v>
      </c>
      <c r="N795" s="12">
        <v>1.02</v>
      </c>
      <c r="O795" s="12" t="s">
        <v>1620</v>
      </c>
      <c r="P795" s="12">
        <v>1.6408078565740899E-4</v>
      </c>
      <c r="Q795" s="12">
        <v>9.2276776718176203E-4</v>
      </c>
      <c r="R795" s="12">
        <v>7.6108870967741896E-2</v>
      </c>
      <c r="S795" s="14">
        <v>25</v>
      </c>
      <c r="T795" s="12">
        <v>6.3826014911012904E-2</v>
      </c>
      <c r="U795" s="14">
        <v>1467</v>
      </c>
      <c r="V795" s="14">
        <v>1</v>
      </c>
      <c r="W795" s="12">
        <v>5.4999999999999997E-3</v>
      </c>
      <c r="X795" s="12">
        <v>6.9326014911012895E-2</v>
      </c>
      <c r="Y795" s="14">
        <v>1467</v>
      </c>
      <c r="Z795" s="14">
        <v>24</v>
      </c>
      <c r="AA795" s="12" t="s">
        <v>2370</v>
      </c>
    </row>
    <row r="796" spans="1:27" ht="14.25" x14ac:dyDescent="0.45">
      <c r="A796" s="12" t="s">
        <v>1670</v>
      </c>
      <c r="B796" s="12" t="s">
        <v>1971</v>
      </c>
      <c r="C796" s="12" t="s">
        <v>1972</v>
      </c>
      <c r="D796" s="12" t="s">
        <v>2026</v>
      </c>
      <c r="E796" s="20">
        <v>35923</v>
      </c>
      <c r="F796" s="20">
        <v>44407</v>
      </c>
      <c r="G796" s="12">
        <v>0.48</v>
      </c>
      <c r="H796" s="12">
        <v>5.1333333333333302</v>
      </c>
      <c r="I796" s="13">
        <v>9.3506493506493496E-2</v>
      </c>
      <c r="J796" s="12" t="s">
        <v>1670</v>
      </c>
      <c r="K796" s="14">
        <v>1513</v>
      </c>
      <c r="L796" s="14">
        <v>1720</v>
      </c>
      <c r="M796" s="14">
        <v>1694</v>
      </c>
      <c r="N796" s="12">
        <v>0.48</v>
      </c>
      <c r="O796" s="12" t="s">
        <v>1670</v>
      </c>
      <c r="P796" s="12">
        <v>7.7214487368192403E-5</v>
      </c>
      <c r="Q796" s="12">
        <v>4.2578436316102698E-4</v>
      </c>
      <c r="R796" s="12">
        <v>7.7620967741935498E-2</v>
      </c>
      <c r="S796" s="14">
        <v>24</v>
      </c>
      <c r="T796" s="12">
        <v>2.9507065973871399E-2</v>
      </c>
      <c r="U796" s="14">
        <v>1624</v>
      </c>
      <c r="V796" s="14">
        <v>1</v>
      </c>
      <c r="W796" s="12">
        <v>5.4999999999999997E-3</v>
      </c>
      <c r="X796" s="12">
        <v>3.5007065973871397E-2</v>
      </c>
      <c r="Y796" s="14">
        <v>1626</v>
      </c>
      <c r="Z796" s="14">
        <v>24</v>
      </c>
      <c r="AA796" s="12" t="s">
        <v>2370</v>
      </c>
    </row>
    <row r="797" spans="1:27" ht="14.25" x14ac:dyDescent="0.45">
      <c r="A797" s="12" t="s">
        <v>1676</v>
      </c>
      <c r="B797" s="12" t="s">
        <v>1971</v>
      </c>
      <c r="C797" s="12" t="s">
        <v>1972</v>
      </c>
      <c r="D797" s="12" t="s">
        <v>1975</v>
      </c>
      <c r="E797" s="20">
        <v>36068</v>
      </c>
      <c r="F797" s="20">
        <v>44421</v>
      </c>
      <c r="G797" s="12">
        <v>27.66</v>
      </c>
      <c r="H797" s="12">
        <v>4.6666666666666696</v>
      </c>
      <c r="I797" s="13">
        <v>5.9271428571428597</v>
      </c>
      <c r="J797" s="12" t="s">
        <v>1676</v>
      </c>
      <c r="K797" s="14">
        <v>411</v>
      </c>
      <c r="L797" s="14">
        <v>1803</v>
      </c>
      <c r="M797" s="14">
        <v>591</v>
      </c>
      <c r="N797" s="12">
        <v>27.66</v>
      </c>
      <c r="O797" s="12" t="s">
        <v>1676</v>
      </c>
      <c r="P797" s="12">
        <v>4.44948483459209E-3</v>
      </c>
      <c r="Q797" s="12">
        <v>2.69894063198696E-2</v>
      </c>
      <c r="R797" s="12">
        <v>7.0564516129032306E-2</v>
      </c>
      <c r="S797" s="14">
        <v>24</v>
      </c>
      <c r="T797" s="12">
        <v>1.8536935762890501</v>
      </c>
      <c r="U797" s="14">
        <v>448</v>
      </c>
      <c r="V797" s="14">
        <v>1</v>
      </c>
      <c r="W797" s="12">
        <v>5.4999999999999997E-3</v>
      </c>
      <c r="X797" s="12">
        <v>1.8591935762890499</v>
      </c>
      <c r="Y797" s="14">
        <v>449</v>
      </c>
      <c r="Z797" s="14">
        <v>23</v>
      </c>
      <c r="AA797" s="12" t="s">
        <v>2370</v>
      </c>
    </row>
    <row r="798" spans="1:27" ht="14.25" x14ac:dyDescent="0.45">
      <c r="A798" s="12" t="s">
        <v>1680</v>
      </c>
      <c r="B798" s="12" t="s">
        <v>1971</v>
      </c>
      <c r="C798" s="12" t="s">
        <v>1972</v>
      </c>
      <c r="D798" s="12" t="s">
        <v>1975</v>
      </c>
      <c r="E798" s="20">
        <v>36590</v>
      </c>
      <c r="F798" s="20">
        <v>44403</v>
      </c>
      <c r="G798" s="12">
        <v>1.76</v>
      </c>
      <c r="H798" s="12">
        <v>5.2666666666666702</v>
      </c>
      <c r="I798" s="13">
        <v>0.33417721518987298</v>
      </c>
      <c r="J798" s="12" t="s">
        <v>1680</v>
      </c>
      <c r="K798" s="14">
        <v>1200</v>
      </c>
      <c r="L798" s="14">
        <v>1692</v>
      </c>
      <c r="M798" s="14">
        <v>1445</v>
      </c>
      <c r="N798" s="12">
        <v>1.76</v>
      </c>
      <c r="O798" s="12" t="s">
        <v>1680</v>
      </c>
      <c r="P798" s="12">
        <v>2.8311978701670601E-4</v>
      </c>
      <c r="Q798" s="12">
        <v>1.52168504471472E-3</v>
      </c>
      <c r="R798" s="12">
        <v>7.9637096774193505E-2</v>
      </c>
      <c r="S798" s="14">
        <v>22</v>
      </c>
      <c r="T798" s="12">
        <v>0.105722307307797</v>
      </c>
      <c r="U798" s="14">
        <v>1274</v>
      </c>
      <c r="V798" s="14">
        <v>1</v>
      </c>
      <c r="W798" s="12">
        <v>5.4999999999999997E-3</v>
      </c>
      <c r="X798" s="12">
        <v>0.111222307307797</v>
      </c>
      <c r="Y798" s="14">
        <v>1275</v>
      </c>
      <c r="Z798" s="14">
        <v>22</v>
      </c>
      <c r="AA798" s="12" t="s">
        <v>2370</v>
      </c>
    </row>
    <row r="799" spans="1:27" ht="14.25" x14ac:dyDescent="0.45">
      <c r="A799" s="12" t="s">
        <v>1683</v>
      </c>
      <c r="B799" s="12" t="s">
        <v>1971</v>
      </c>
      <c r="C799" s="12" t="s">
        <v>1972</v>
      </c>
      <c r="D799" s="12" t="s">
        <v>1975</v>
      </c>
      <c r="E799" s="20">
        <v>35980</v>
      </c>
      <c r="F799" s="20">
        <v>44411</v>
      </c>
      <c r="G799" s="12">
        <v>1.23</v>
      </c>
      <c r="H799" s="12">
        <v>5</v>
      </c>
      <c r="I799" s="13">
        <v>0.246</v>
      </c>
      <c r="J799" s="12" t="s">
        <v>1683</v>
      </c>
      <c r="K799" s="14">
        <v>1283</v>
      </c>
      <c r="L799" s="14">
        <v>1738</v>
      </c>
      <c r="M799" s="14">
        <v>1516</v>
      </c>
      <c r="N799" s="12">
        <v>1.23</v>
      </c>
      <c r="O799" s="12" t="s">
        <v>1683</v>
      </c>
      <c r="P799" s="12">
        <v>1.9786212388099301E-4</v>
      </c>
      <c r="Q799" s="12">
        <v>1.1201676954161301E-3</v>
      </c>
      <c r="R799" s="12">
        <v>7.5604838709677394E-2</v>
      </c>
      <c r="S799" s="14">
        <v>24</v>
      </c>
      <c r="T799" s="12">
        <v>7.7430310609045594E-2</v>
      </c>
      <c r="U799" s="14">
        <v>1383</v>
      </c>
      <c r="V799" s="14">
        <v>1</v>
      </c>
      <c r="W799" s="12">
        <v>5.4999999999999997E-3</v>
      </c>
      <c r="X799" s="12">
        <v>8.2930310609045696E-2</v>
      </c>
      <c r="Y799" s="14">
        <v>1383</v>
      </c>
      <c r="Z799" s="14">
        <v>24</v>
      </c>
      <c r="AA799" s="12" t="s">
        <v>2370</v>
      </c>
    </row>
    <row r="800" spans="1:27" ht="14.25" x14ac:dyDescent="0.45">
      <c r="A800" s="12" t="s">
        <v>1691</v>
      </c>
      <c r="B800" s="12" t="s">
        <v>1971</v>
      </c>
      <c r="C800" s="12" t="s">
        <v>1972</v>
      </c>
      <c r="D800" s="12" t="s">
        <v>1978</v>
      </c>
      <c r="E800" s="20">
        <v>36162</v>
      </c>
      <c r="F800" s="20">
        <v>44406</v>
      </c>
      <c r="G800" s="12">
        <v>1.17</v>
      </c>
      <c r="H800" s="12">
        <v>5.1666666666666696</v>
      </c>
      <c r="I800" s="13">
        <v>0.22645161290322599</v>
      </c>
      <c r="J800" s="12" t="s">
        <v>1691</v>
      </c>
      <c r="K800" s="14">
        <v>1309</v>
      </c>
      <c r="L800" s="14">
        <v>1715</v>
      </c>
      <c r="M800" s="14">
        <v>1524</v>
      </c>
      <c r="N800" s="12">
        <v>1.17</v>
      </c>
      <c r="O800" s="12" t="s">
        <v>1691</v>
      </c>
      <c r="P800" s="12">
        <v>1.8821031295996899E-4</v>
      </c>
      <c r="Q800" s="12">
        <v>1.0311535827198101E-3</v>
      </c>
      <c r="R800" s="12">
        <v>7.8125E-2</v>
      </c>
      <c r="S800" s="14">
        <v>23</v>
      </c>
      <c r="T800" s="12">
        <v>7.1504985655986897E-2</v>
      </c>
      <c r="U800" s="14">
        <v>1433</v>
      </c>
      <c r="V800" s="14">
        <v>1</v>
      </c>
      <c r="W800" s="12">
        <v>5.4999999999999997E-3</v>
      </c>
      <c r="X800" s="12">
        <v>7.7004985655986902E-2</v>
      </c>
      <c r="Y800" s="14">
        <v>1433</v>
      </c>
      <c r="Z800" s="14">
        <v>23</v>
      </c>
      <c r="AA800" s="12" t="s">
        <v>2370</v>
      </c>
    </row>
    <row r="801" spans="1:27" ht="14.25" x14ac:dyDescent="0.45">
      <c r="A801" s="12" t="s">
        <v>1697</v>
      </c>
      <c r="B801" s="12" t="s">
        <v>1971</v>
      </c>
      <c r="C801" s="12" t="s">
        <v>1972</v>
      </c>
      <c r="D801" s="12" t="s">
        <v>1975</v>
      </c>
      <c r="E801" s="20">
        <v>35990</v>
      </c>
      <c r="F801" s="20">
        <v>44410</v>
      </c>
      <c r="G801" s="12">
        <v>3.42</v>
      </c>
      <c r="H801" s="12">
        <v>5.0333333333333297</v>
      </c>
      <c r="I801" s="13">
        <v>0.67947019867549696</v>
      </c>
      <c r="J801" s="12" t="s">
        <v>1697</v>
      </c>
      <c r="K801" s="14">
        <v>943</v>
      </c>
      <c r="L801" s="14">
        <v>1727</v>
      </c>
      <c r="M801" s="14">
        <v>1184</v>
      </c>
      <c r="N801" s="12">
        <v>3.42</v>
      </c>
      <c r="O801" s="12" t="s">
        <v>1697</v>
      </c>
      <c r="P801" s="12">
        <v>5.5015322249837102E-4</v>
      </c>
      <c r="Q801" s="12">
        <v>3.09398604290355E-3</v>
      </c>
      <c r="R801" s="12">
        <v>7.6108870967741896E-2</v>
      </c>
      <c r="S801" s="14">
        <v>24</v>
      </c>
      <c r="T801" s="12">
        <v>0.21400487352516101</v>
      </c>
      <c r="U801" s="14">
        <v>1019</v>
      </c>
      <c r="V801" s="14">
        <v>1</v>
      </c>
      <c r="W801" s="12">
        <v>5.4999999999999997E-3</v>
      </c>
      <c r="X801" s="12">
        <v>0.21950487352516099</v>
      </c>
      <c r="Y801" s="14">
        <v>1019</v>
      </c>
      <c r="Z801" s="14">
        <v>23</v>
      </c>
      <c r="AA801" s="12" t="s">
        <v>2370</v>
      </c>
    </row>
    <row r="802" spans="1:27" ht="14.25" x14ac:dyDescent="0.45">
      <c r="A802" s="12" t="s">
        <v>1698</v>
      </c>
      <c r="B802" s="12" t="s">
        <v>1971</v>
      </c>
      <c r="C802" s="12" t="s">
        <v>1972</v>
      </c>
      <c r="D802" s="12" t="s">
        <v>2007</v>
      </c>
      <c r="E802" s="20">
        <v>35910</v>
      </c>
      <c r="F802" s="20">
        <v>44144</v>
      </c>
      <c r="G802" s="12">
        <v>4.2300000000000004</v>
      </c>
      <c r="H802" s="12">
        <v>13.9</v>
      </c>
      <c r="I802" s="13">
        <v>0.30431654676259001</v>
      </c>
      <c r="J802" s="12" t="s">
        <v>1698</v>
      </c>
      <c r="K802" s="14">
        <v>1223</v>
      </c>
      <c r="L802" s="14">
        <v>610</v>
      </c>
      <c r="M802" s="14">
        <v>1094</v>
      </c>
      <c r="N802" s="12">
        <v>4.2300000000000004</v>
      </c>
      <c r="O802" s="12" t="s">
        <v>1698</v>
      </c>
      <c r="P802" s="12">
        <v>6.8045266993219599E-4</v>
      </c>
      <c r="Q802" s="12">
        <v>1.38571367830913E-3</v>
      </c>
      <c r="R802" s="12">
        <v>0.210181451612903</v>
      </c>
      <c r="S802" s="14">
        <v>24</v>
      </c>
      <c r="T802" s="12">
        <v>0.112124080016778</v>
      </c>
      <c r="U802" s="14">
        <v>1255</v>
      </c>
      <c r="V802" s="14">
        <v>10</v>
      </c>
      <c r="W802" s="12">
        <v>6.4000000000000003E-3</v>
      </c>
      <c r="X802" s="12">
        <v>0.118524080016778</v>
      </c>
      <c r="Y802" s="14">
        <v>1253</v>
      </c>
      <c r="Z802" s="14">
        <v>24</v>
      </c>
      <c r="AA802" s="12" t="s">
        <v>2370</v>
      </c>
    </row>
    <row r="803" spans="1:27" ht="14.25" x14ac:dyDescent="0.45">
      <c r="A803" s="12" t="s">
        <v>1703</v>
      </c>
      <c r="B803" s="12" t="s">
        <v>1971</v>
      </c>
      <c r="C803" s="12" t="s">
        <v>1972</v>
      </c>
      <c r="D803" s="12" t="s">
        <v>1975</v>
      </c>
      <c r="E803" s="20">
        <v>35688</v>
      </c>
      <c r="F803" s="20">
        <v>44420</v>
      </c>
      <c r="G803" s="12">
        <v>0.11</v>
      </c>
      <c r="H803" s="12">
        <v>4.7</v>
      </c>
      <c r="I803" s="13">
        <v>2.3404255319148901E-2</v>
      </c>
      <c r="J803" s="12" t="s">
        <v>1703</v>
      </c>
      <c r="K803" s="14">
        <v>1675</v>
      </c>
      <c r="L803" s="14">
        <v>1792</v>
      </c>
      <c r="M803" s="14">
        <v>1826</v>
      </c>
      <c r="N803" s="12">
        <v>0.11</v>
      </c>
      <c r="O803" s="12" t="s">
        <v>1703</v>
      </c>
      <c r="P803" s="12">
        <v>1.7694986688544098E-5</v>
      </c>
      <c r="Q803" s="12">
        <v>1.06571913592609E-4</v>
      </c>
      <c r="R803" s="12">
        <v>7.1068548387096794E-2</v>
      </c>
      <c r="S803" s="14">
        <v>25</v>
      </c>
      <c r="T803" s="12">
        <v>7.32430660035848E-3</v>
      </c>
      <c r="U803" s="14">
        <v>1788</v>
      </c>
      <c r="V803" s="14">
        <v>1</v>
      </c>
      <c r="W803" s="12">
        <v>5.4999999999999997E-3</v>
      </c>
      <c r="X803" s="12">
        <v>1.28243066003585E-2</v>
      </c>
      <c r="Y803" s="14">
        <v>1788</v>
      </c>
      <c r="Z803" s="14">
        <v>24</v>
      </c>
      <c r="AA803" s="12" t="s">
        <v>2370</v>
      </c>
    </row>
    <row r="804" spans="1:27" ht="14.25" x14ac:dyDescent="0.45">
      <c r="A804" s="12" t="s">
        <v>1712</v>
      </c>
      <c r="B804" s="12" t="s">
        <v>1971</v>
      </c>
      <c r="C804" s="12" t="s">
        <v>1972</v>
      </c>
      <c r="D804" s="12" t="s">
        <v>1997</v>
      </c>
      <c r="E804" s="20">
        <v>35933</v>
      </c>
      <c r="F804" s="20">
        <v>44372</v>
      </c>
      <c r="G804" s="12">
        <v>0.24</v>
      </c>
      <c r="H804" s="12">
        <v>6.3</v>
      </c>
      <c r="I804" s="13">
        <v>3.8095238095238099E-2</v>
      </c>
      <c r="J804" s="12" t="s">
        <v>1712</v>
      </c>
      <c r="K804" s="14">
        <v>1633</v>
      </c>
      <c r="L804" s="14">
        <v>1606</v>
      </c>
      <c r="M804" s="14">
        <v>1761</v>
      </c>
      <c r="N804" s="12">
        <v>0.24</v>
      </c>
      <c r="O804" s="12" t="s">
        <v>1712</v>
      </c>
      <c r="P804" s="12">
        <v>3.8607243684096202E-5</v>
      </c>
      <c r="Q804" s="12">
        <v>1.73467703510048E-4</v>
      </c>
      <c r="R804" s="12">
        <v>9.5262096774193505E-2</v>
      </c>
      <c r="S804" s="14">
        <v>24</v>
      </c>
      <c r="T804" s="12">
        <v>1.22895031075316E-2</v>
      </c>
      <c r="U804" s="14">
        <v>1740</v>
      </c>
      <c r="V804" s="14">
        <v>1</v>
      </c>
      <c r="W804" s="12">
        <v>5.4999999999999997E-3</v>
      </c>
      <c r="X804" s="12">
        <v>1.77895031075316E-2</v>
      </c>
      <c r="Y804" s="14">
        <v>1740</v>
      </c>
      <c r="Z804" s="14">
        <v>24</v>
      </c>
      <c r="AA804" s="12" t="s">
        <v>2370</v>
      </c>
    </row>
    <row r="805" spans="1:27" ht="14.25" x14ac:dyDescent="0.45">
      <c r="A805" s="12" t="s">
        <v>1714</v>
      </c>
      <c r="B805" s="12" t="s">
        <v>1971</v>
      </c>
      <c r="C805" s="12" t="s">
        <v>1972</v>
      </c>
      <c r="D805" s="12" t="s">
        <v>1982</v>
      </c>
      <c r="E805" s="20">
        <v>36222</v>
      </c>
      <c r="F805" s="20">
        <v>44411</v>
      </c>
      <c r="G805" s="12">
        <v>0.23</v>
      </c>
      <c r="H805" s="12">
        <v>5</v>
      </c>
      <c r="I805" s="13">
        <v>4.5999999999999999E-2</v>
      </c>
      <c r="J805" s="12" t="s">
        <v>1714</v>
      </c>
      <c r="K805" s="14">
        <v>1617</v>
      </c>
      <c r="L805" s="14">
        <v>1738</v>
      </c>
      <c r="M805" s="14">
        <v>1769</v>
      </c>
      <c r="N805" s="12">
        <v>0.23</v>
      </c>
      <c r="O805" s="12" t="s">
        <v>1714</v>
      </c>
      <c r="P805" s="12">
        <v>3.6998608530592203E-5</v>
      </c>
      <c r="Q805" s="12">
        <v>2.0946225198838301E-4</v>
      </c>
      <c r="R805" s="12">
        <v>7.5604838709677394E-2</v>
      </c>
      <c r="S805" s="14">
        <v>23</v>
      </c>
      <c r="T805" s="12">
        <v>1.44788385691711E-2</v>
      </c>
      <c r="U805" s="14">
        <v>1720</v>
      </c>
      <c r="V805" s="14">
        <v>1</v>
      </c>
      <c r="W805" s="12">
        <v>5.4999999999999997E-3</v>
      </c>
      <c r="X805" s="12">
        <v>1.9978838569171101E-2</v>
      </c>
      <c r="Y805" s="14">
        <v>1721</v>
      </c>
      <c r="Z805" s="14">
        <v>23</v>
      </c>
      <c r="AA805" s="12" t="s">
        <v>2370</v>
      </c>
    </row>
    <row r="806" spans="1:27" ht="14.25" x14ac:dyDescent="0.45">
      <c r="A806" s="12" t="s">
        <v>1716</v>
      </c>
      <c r="B806" s="12" t="s">
        <v>1971</v>
      </c>
      <c r="C806" s="12" t="s">
        <v>1972</v>
      </c>
      <c r="D806" s="12" t="s">
        <v>1982</v>
      </c>
      <c r="E806" s="20">
        <v>36550</v>
      </c>
      <c r="F806" s="20">
        <v>44391</v>
      </c>
      <c r="G806" s="12">
        <v>104.89</v>
      </c>
      <c r="H806" s="12">
        <v>5.6666666666666696</v>
      </c>
      <c r="I806" s="13">
        <v>18.510000000000002</v>
      </c>
      <c r="J806" s="12" t="s">
        <v>1716</v>
      </c>
      <c r="K806" s="14">
        <v>147</v>
      </c>
      <c r="L806" s="14">
        <v>1669</v>
      </c>
      <c r="M806" s="14">
        <v>377</v>
      </c>
      <c r="N806" s="12">
        <v>104.89</v>
      </c>
      <c r="O806" s="12" t="s">
        <v>1716</v>
      </c>
      <c r="P806" s="12">
        <v>1.68729741251036E-2</v>
      </c>
      <c r="Q806" s="12">
        <v>8.4285788789238397E-2</v>
      </c>
      <c r="R806" s="12">
        <v>8.5685483870967694E-2</v>
      </c>
      <c r="S806" s="14">
        <v>22</v>
      </c>
      <c r="T806" s="12">
        <v>5.9005983290187798</v>
      </c>
      <c r="U806" s="14">
        <v>225</v>
      </c>
      <c r="V806" s="14">
        <v>4</v>
      </c>
      <c r="W806" s="12">
        <v>5.7999999999999996E-3</v>
      </c>
      <c r="X806" s="12">
        <v>5.9063983290187796</v>
      </c>
      <c r="Y806" s="14">
        <v>225</v>
      </c>
      <c r="Z806" s="14">
        <v>22</v>
      </c>
      <c r="AA806" s="12" t="s">
        <v>2370</v>
      </c>
    </row>
    <row r="807" spans="1:27" ht="14.25" x14ac:dyDescent="0.45">
      <c r="A807" s="12" t="s">
        <v>1719</v>
      </c>
      <c r="B807" s="12" t="s">
        <v>1971</v>
      </c>
      <c r="C807" s="12" t="s">
        <v>1972</v>
      </c>
      <c r="D807" s="12" t="s">
        <v>1975</v>
      </c>
      <c r="E807" s="20">
        <v>35943</v>
      </c>
      <c r="F807" s="20">
        <v>44334</v>
      </c>
      <c r="G807" s="12">
        <v>0.15</v>
      </c>
      <c r="H807" s="12">
        <v>7.56666666666667</v>
      </c>
      <c r="I807" s="13">
        <v>1.9823788546255501E-2</v>
      </c>
      <c r="J807" s="12" t="s">
        <v>1719</v>
      </c>
      <c r="K807" s="14">
        <v>1688</v>
      </c>
      <c r="L807" s="14">
        <v>1269</v>
      </c>
      <c r="M807" s="14">
        <v>1807</v>
      </c>
      <c r="N807" s="12">
        <v>0.15</v>
      </c>
      <c r="O807" s="12" t="s">
        <v>1719</v>
      </c>
      <c r="P807" s="12">
        <v>2.4129527302560101E-5</v>
      </c>
      <c r="Q807" s="12">
        <v>9.0268160692177999E-5</v>
      </c>
      <c r="R807" s="12">
        <v>0.114415322580645</v>
      </c>
      <c r="S807" s="14">
        <v>24</v>
      </c>
      <c r="T807" s="12">
        <v>6.5466173171071299E-3</v>
      </c>
      <c r="U807" s="14">
        <v>1799</v>
      </c>
      <c r="V807" s="14">
        <v>1</v>
      </c>
      <c r="W807" s="12">
        <v>5.4999999999999997E-3</v>
      </c>
      <c r="X807" s="12">
        <v>1.20466173171071E-2</v>
      </c>
      <c r="Y807" s="14">
        <v>1799</v>
      </c>
      <c r="Z807" s="14">
        <v>24</v>
      </c>
      <c r="AA807" s="12" t="s">
        <v>2370</v>
      </c>
    </row>
    <row r="808" spans="1:27" ht="14.25" x14ac:dyDescent="0.45">
      <c r="A808" s="12" t="s">
        <v>1720</v>
      </c>
      <c r="B808" s="12" t="s">
        <v>1971</v>
      </c>
      <c r="C808" s="12" t="s">
        <v>1972</v>
      </c>
      <c r="D808" s="12" t="s">
        <v>1982</v>
      </c>
      <c r="E808" s="20">
        <v>36847</v>
      </c>
      <c r="F808" s="20">
        <v>44417</v>
      </c>
      <c r="G808" s="12">
        <v>4.12</v>
      </c>
      <c r="H808" s="12">
        <v>4.8</v>
      </c>
      <c r="I808" s="13">
        <v>0.85833333333333295</v>
      </c>
      <c r="J808" s="12" t="s">
        <v>1720</v>
      </c>
      <c r="K808" s="14">
        <v>874</v>
      </c>
      <c r="L808" s="14">
        <v>1757</v>
      </c>
      <c r="M808" s="14">
        <v>1106</v>
      </c>
      <c r="N808" s="12">
        <v>4.12</v>
      </c>
      <c r="O808" s="12" t="s">
        <v>1720</v>
      </c>
      <c r="P808" s="12">
        <v>6.6275768324365201E-4</v>
      </c>
      <c r="Q808" s="12">
        <v>3.9084441947107697E-3</v>
      </c>
      <c r="R808" s="12">
        <v>7.25806451612903E-2</v>
      </c>
      <c r="S808" s="14">
        <v>22</v>
      </c>
      <c r="T808" s="12">
        <v>0.26913117529106001</v>
      </c>
      <c r="U808" s="14">
        <v>950</v>
      </c>
      <c r="V808" s="14">
        <v>2</v>
      </c>
      <c r="W808" s="12">
        <v>5.5999999999999999E-3</v>
      </c>
      <c r="X808" s="12">
        <v>0.27473117529106</v>
      </c>
      <c r="Y808" s="14">
        <v>950</v>
      </c>
      <c r="Z808" s="14">
        <v>21</v>
      </c>
      <c r="AA808" s="12" t="s">
        <v>2370</v>
      </c>
    </row>
    <row r="809" spans="1:27" ht="14.25" x14ac:dyDescent="0.45">
      <c r="A809" s="12" t="s">
        <v>1723</v>
      </c>
      <c r="B809" s="12" t="s">
        <v>1971</v>
      </c>
      <c r="C809" s="12" t="s">
        <v>1972</v>
      </c>
      <c r="D809" s="12" t="s">
        <v>1982</v>
      </c>
      <c r="E809" s="20">
        <v>36742</v>
      </c>
      <c r="F809" s="20">
        <v>44420</v>
      </c>
      <c r="G809" s="12">
        <v>3.07</v>
      </c>
      <c r="H809" s="12">
        <v>4.7</v>
      </c>
      <c r="I809" s="13">
        <v>0.65319148936170202</v>
      </c>
      <c r="J809" s="12" t="s">
        <v>1723</v>
      </c>
      <c r="K809" s="14">
        <v>965</v>
      </c>
      <c r="L809" s="14">
        <v>1792</v>
      </c>
      <c r="M809" s="14">
        <v>1214</v>
      </c>
      <c r="N809" s="12">
        <v>3.07</v>
      </c>
      <c r="O809" s="12" t="s">
        <v>1723</v>
      </c>
      <c r="P809" s="12">
        <v>4.9385099212573096E-4</v>
      </c>
      <c r="Q809" s="12">
        <v>2.9743252248119099E-3</v>
      </c>
      <c r="R809" s="12">
        <v>7.1068548387096794E-2</v>
      </c>
      <c r="S809" s="14">
        <v>22</v>
      </c>
      <c r="T809" s="12">
        <v>0.20441473875545901</v>
      </c>
      <c r="U809" s="14">
        <v>1037</v>
      </c>
      <c r="V809" s="14">
        <v>4</v>
      </c>
      <c r="W809" s="12">
        <v>5.7999999999999996E-3</v>
      </c>
      <c r="X809" s="12">
        <v>0.21021473875545901</v>
      </c>
      <c r="Y809" s="14">
        <v>1037</v>
      </c>
      <c r="Z809" s="14">
        <v>21</v>
      </c>
      <c r="AA809" s="12" t="s">
        <v>2370</v>
      </c>
    </row>
    <row r="810" spans="1:27" ht="14.25" x14ac:dyDescent="0.45">
      <c r="A810" s="12" t="s">
        <v>1735</v>
      </c>
      <c r="B810" s="12" t="s">
        <v>1971</v>
      </c>
      <c r="C810" s="12" t="s">
        <v>1972</v>
      </c>
      <c r="D810" s="12" t="s">
        <v>1982</v>
      </c>
      <c r="E810" s="20">
        <v>36903</v>
      </c>
      <c r="F810" s="20">
        <v>44419</v>
      </c>
      <c r="G810" s="12">
        <v>20.78</v>
      </c>
      <c r="H810" s="12">
        <v>4.7333333333333298</v>
      </c>
      <c r="I810" s="13">
        <v>4.3901408450704196</v>
      </c>
      <c r="J810" s="12" t="s">
        <v>1735</v>
      </c>
      <c r="K810" s="14">
        <v>475</v>
      </c>
      <c r="L810" s="14">
        <v>1780</v>
      </c>
      <c r="M810" s="14">
        <v>715</v>
      </c>
      <c r="N810" s="12">
        <v>20.78</v>
      </c>
      <c r="O810" s="12" t="s">
        <v>1735</v>
      </c>
      <c r="P810" s="12">
        <v>3.3427438489813301E-3</v>
      </c>
      <c r="Q810" s="12">
        <v>1.9990625825100701E-2</v>
      </c>
      <c r="R810" s="12">
        <v>7.1572580645161296E-2</v>
      </c>
      <c r="S810" s="14">
        <v>21</v>
      </c>
      <c r="T810" s="12">
        <v>1.3747670084055901</v>
      </c>
      <c r="U810" s="14">
        <v>513</v>
      </c>
      <c r="V810" s="14">
        <v>15</v>
      </c>
      <c r="W810" s="12">
        <v>6.7999999999999996E-3</v>
      </c>
      <c r="X810" s="12">
        <v>1.38156700840559</v>
      </c>
      <c r="Y810" s="14">
        <v>513</v>
      </c>
      <c r="Z810" s="14">
        <v>21</v>
      </c>
      <c r="AA810" s="12" t="s">
        <v>2370</v>
      </c>
    </row>
    <row r="811" spans="1:27" ht="14.25" x14ac:dyDescent="0.45">
      <c r="A811" s="12" t="s">
        <v>1749</v>
      </c>
      <c r="B811" s="12" t="s">
        <v>1971</v>
      </c>
      <c r="C811" s="12" t="s">
        <v>1972</v>
      </c>
      <c r="D811" s="12" t="s">
        <v>1975</v>
      </c>
      <c r="E811" s="20">
        <v>36077</v>
      </c>
      <c r="F811" s="20">
        <v>44336</v>
      </c>
      <c r="G811" s="12">
        <v>0.03</v>
      </c>
      <c r="H811" s="12">
        <v>7.5</v>
      </c>
      <c r="I811" s="13">
        <v>4.0000000000000001E-3</v>
      </c>
      <c r="J811" s="12" t="s">
        <v>1749</v>
      </c>
      <c r="K811" s="14">
        <v>1785</v>
      </c>
      <c r="L811" s="14">
        <v>1377</v>
      </c>
      <c r="M811" s="14">
        <v>1895</v>
      </c>
      <c r="N811" s="12">
        <v>0.03</v>
      </c>
      <c r="O811" s="12" t="s">
        <v>1749</v>
      </c>
      <c r="P811" s="12">
        <v>4.8259054605120303E-6</v>
      </c>
      <c r="Q811" s="12">
        <v>1.8214108868555002E-5</v>
      </c>
      <c r="R811" s="12">
        <v>0.113407258064516</v>
      </c>
      <c r="S811" s="14">
        <v>24</v>
      </c>
      <c r="T811" s="12">
        <v>1.31935325905389E-3</v>
      </c>
      <c r="U811" s="14">
        <v>1891</v>
      </c>
      <c r="V811" s="14">
        <v>1</v>
      </c>
      <c r="W811" s="12">
        <v>5.4999999999999997E-3</v>
      </c>
      <c r="X811" s="12">
        <v>6.8193532590538897E-3</v>
      </c>
      <c r="Y811" s="14">
        <v>1892</v>
      </c>
      <c r="Z811" s="14">
        <v>23</v>
      </c>
      <c r="AA811" s="12" t="s">
        <v>2370</v>
      </c>
    </row>
    <row r="812" spans="1:27" ht="14.25" x14ac:dyDescent="0.45">
      <c r="A812" s="12" t="s">
        <v>1763</v>
      </c>
      <c r="B812" s="12" t="s">
        <v>1971</v>
      </c>
      <c r="C812" s="12" t="s">
        <v>1972</v>
      </c>
      <c r="D812" s="12" t="s">
        <v>1974</v>
      </c>
      <c r="E812" s="20">
        <v>36077</v>
      </c>
      <c r="F812" s="20">
        <v>44438</v>
      </c>
      <c r="G812" s="12">
        <v>14.53</v>
      </c>
      <c r="H812" s="12">
        <v>4.0999999999999996</v>
      </c>
      <c r="I812" s="13">
        <v>3.5439024390243898</v>
      </c>
      <c r="J812" s="12" t="s">
        <v>1763</v>
      </c>
      <c r="K812" s="14">
        <v>516</v>
      </c>
      <c r="L812" s="14">
        <v>1854</v>
      </c>
      <c r="M812" s="14">
        <v>773</v>
      </c>
      <c r="N812" s="12">
        <v>14.53</v>
      </c>
      <c r="O812" s="12" t="s">
        <v>1763</v>
      </c>
      <c r="P812" s="12">
        <v>2.3373468780413299E-3</v>
      </c>
      <c r="Q812" s="12">
        <v>1.6137256210981998E-2</v>
      </c>
      <c r="R812" s="12">
        <v>6.1995967741935498E-2</v>
      </c>
      <c r="S812" s="14">
        <v>24</v>
      </c>
      <c r="T812" s="12">
        <v>1.09622902111292</v>
      </c>
      <c r="U812" s="14">
        <v>555</v>
      </c>
      <c r="V812" s="14">
        <v>2</v>
      </c>
      <c r="W812" s="12">
        <v>5.5999999999999999E-3</v>
      </c>
      <c r="X812" s="12">
        <v>1.10182902111292</v>
      </c>
      <c r="Y812" s="14">
        <v>555</v>
      </c>
      <c r="Z812" s="14">
        <v>23</v>
      </c>
      <c r="AA812" s="12" t="s">
        <v>2370</v>
      </c>
    </row>
    <row r="813" spans="1:27" ht="14.25" x14ac:dyDescent="0.45">
      <c r="A813" s="12" t="s">
        <v>1765</v>
      </c>
      <c r="B813" s="12" t="s">
        <v>1971</v>
      </c>
      <c r="C813" s="12" t="s">
        <v>1972</v>
      </c>
      <c r="D813" s="12" t="s">
        <v>1993</v>
      </c>
      <c r="E813" s="20">
        <v>35789</v>
      </c>
      <c r="F813" s="20">
        <v>44424</v>
      </c>
      <c r="G813" s="12">
        <v>4.66</v>
      </c>
      <c r="H813" s="12">
        <v>4.56666666666667</v>
      </c>
      <c r="I813" s="13">
        <v>1.0204379562043799</v>
      </c>
      <c r="J813" s="12" t="s">
        <v>1765</v>
      </c>
      <c r="K813" s="14">
        <v>813</v>
      </c>
      <c r="L813" s="14">
        <v>1809</v>
      </c>
      <c r="M813" s="14">
        <v>1057</v>
      </c>
      <c r="N813" s="12">
        <v>4.66</v>
      </c>
      <c r="O813" s="12" t="s">
        <v>1765</v>
      </c>
      <c r="P813" s="12">
        <v>7.4962398153286805E-4</v>
      </c>
      <c r="Q813" s="12">
        <v>4.6465920069780897E-3</v>
      </c>
      <c r="R813" s="12">
        <v>6.9052419354838704E-2</v>
      </c>
      <c r="S813" s="14">
        <v>25</v>
      </c>
      <c r="T813" s="12">
        <v>0.31852289974361297</v>
      </c>
      <c r="U813" s="14">
        <v>900</v>
      </c>
      <c r="V813" s="14">
        <v>2</v>
      </c>
      <c r="W813" s="12">
        <v>5.5999999999999999E-3</v>
      </c>
      <c r="X813" s="12">
        <v>0.32412289974361302</v>
      </c>
      <c r="Y813" s="14">
        <v>900</v>
      </c>
      <c r="Z813" s="14">
        <v>24</v>
      </c>
      <c r="AA813" s="12" t="s">
        <v>2370</v>
      </c>
    </row>
    <row r="814" spans="1:27" ht="14.25" x14ac:dyDescent="0.45">
      <c r="A814" s="12" t="s">
        <v>1780</v>
      </c>
      <c r="B814" s="12" t="s">
        <v>1971</v>
      </c>
      <c r="C814" s="12" t="s">
        <v>1972</v>
      </c>
      <c r="D814" s="12" t="s">
        <v>1997</v>
      </c>
      <c r="E814" s="20">
        <v>35864</v>
      </c>
      <c r="F814" s="20">
        <v>44398</v>
      </c>
      <c r="G814" s="12">
        <v>0.69</v>
      </c>
      <c r="H814" s="12">
        <v>5.43333333333333</v>
      </c>
      <c r="I814" s="13">
        <v>0.126993865030675</v>
      </c>
      <c r="J814" s="12" t="s">
        <v>1780</v>
      </c>
      <c r="K814" s="14">
        <v>1446</v>
      </c>
      <c r="L814" s="14">
        <v>1681</v>
      </c>
      <c r="M814" s="14">
        <v>1631</v>
      </c>
      <c r="N814" s="12">
        <v>0.69</v>
      </c>
      <c r="O814" s="12" t="s">
        <v>1780</v>
      </c>
      <c r="P814" s="12">
        <v>1.1099582559177699E-4</v>
      </c>
      <c r="Q814" s="12">
        <v>5.7827002082682397E-4</v>
      </c>
      <c r="R814" s="12">
        <v>8.2157258064516098E-2</v>
      </c>
      <c r="S814" s="14">
        <v>24</v>
      </c>
      <c r="T814" s="12">
        <v>4.0304219761368103E-2</v>
      </c>
      <c r="U814" s="14">
        <v>1559</v>
      </c>
      <c r="V814" s="14">
        <v>1</v>
      </c>
      <c r="W814" s="12">
        <v>5.4999999999999997E-3</v>
      </c>
      <c r="X814" s="12">
        <v>4.5804219761368101E-2</v>
      </c>
      <c r="Y814" s="14">
        <v>1559</v>
      </c>
      <c r="Z814" s="14">
        <v>24</v>
      </c>
      <c r="AA814" s="12" t="s">
        <v>2370</v>
      </c>
    </row>
    <row r="815" spans="1:27" ht="14.25" x14ac:dyDescent="0.45">
      <c r="A815" s="12" t="s">
        <v>1794</v>
      </c>
      <c r="B815" s="12" t="s">
        <v>1971</v>
      </c>
      <c r="C815" s="12" t="s">
        <v>1972</v>
      </c>
      <c r="D815" s="12" t="s">
        <v>1974</v>
      </c>
      <c r="E815" s="20">
        <v>36109</v>
      </c>
      <c r="F815" s="20">
        <v>44445</v>
      </c>
      <c r="G815" s="12">
        <v>7.02</v>
      </c>
      <c r="H815" s="12">
        <v>3.8666666666666698</v>
      </c>
      <c r="I815" s="13">
        <v>1.8155172413793099</v>
      </c>
      <c r="J815" s="12" t="s">
        <v>1794</v>
      </c>
      <c r="K815" s="14">
        <v>686</v>
      </c>
      <c r="L815" s="14">
        <v>1864</v>
      </c>
      <c r="M815" s="14">
        <v>920</v>
      </c>
      <c r="N815" s="12">
        <v>7.02</v>
      </c>
      <c r="O815" s="12" t="s">
        <v>1794</v>
      </c>
      <c r="P815" s="12">
        <v>1.12926187775981E-3</v>
      </c>
      <c r="Q815" s="12">
        <v>8.2670071718053597E-3</v>
      </c>
      <c r="R815" s="12">
        <v>5.8467741935483902E-2</v>
      </c>
      <c r="S815" s="14">
        <v>24</v>
      </c>
      <c r="T815" s="12">
        <v>0.55903526865382802</v>
      </c>
      <c r="U815" s="14">
        <v>763</v>
      </c>
      <c r="V815" s="14">
        <v>1</v>
      </c>
      <c r="W815" s="12">
        <v>5.4999999999999997E-3</v>
      </c>
      <c r="X815" s="12">
        <v>0.56453526865382797</v>
      </c>
      <c r="Y815" s="14">
        <v>763</v>
      </c>
      <c r="Z815" s="14">
        <v>23</v>
      </c>
      <c r="AA815" s="12" t="s">
        <v>2370</v>
      </c>
    </row>
    <row r="816" spans="1:27" ht="14.25" x14ac:dyDescent="0.45">
      <c r="A816" s="12" t="s">
        <v>1795</v>
      </c>
      <c r="B816" s="12" t="s">
        <v>1971</v>
      </c>
      <c r="C816" s="12" t="s">
        <v>1972</v>
      </c>
      <c r="D816" s="12" t="s">
        <v>1987</v>
      </c>
      <c r="E816" s="20">
        <v>35805</v>
      </c>
      <c r="F816" s="20">
        <v>44446</v>
      </c>
      <c r="G816" s="12">
        <v>5.33</v>
      </c>
      <c r="H816" s="12">
        <v>3.8333333333333299</v>
      </c>
      <c r="I816" s="13">
        <v>1.3904347826087</v>
      </c>
      <c r="J816" s="12" t="s">
        <v>1795</v>
      </c>
      <c r="K816" s="14">
        <v>742</v>
      </c>
      <c r="L816" s="14">
        <v>1870</v>
      </c>
      <c r="M816" s="14">
        <v>1014</v>
      </c>
      <c r="N816" s="12">
        <v>5.33</v>
      </c>
      <c r="O816" s="12" t="s">
        <v>1795</v>
      </c>
      <c r="P816" s="12">
        <v>8.5740253681763695E-4</v>
      </c>
      <c r="Q816" s="12">
        <v>6.3313826262651101E-3</v>
      </c>
      <c r="R816" s="12">
        <v>5.7963709677419401E-2</v>
      </c>
      <c r="S816" s="14">
        <v>24</v>
      </c>
      <c r="T816" s="12">
        <v>0.42786400927223101</v>
      </c>
      <c r="U816" s="14">
        <v>807</v>
      </c>
      <c r="V816" s="14">
        <v>2</v>
      </c>
      <c r="W816" s="12">
        <v>5.5999999999999999E-3</v>
      </c>
      <c r="X816" s="12">
        <v>0.433464009272231</v>
      </c>
      <c r="Y816" s="14">
        <v>807</v>
      </c>
      <c r="Z816" s="14">
        <v>24</v>
      </c>
      <c r="AA816" s="12" t="s">
        <v>2370</v>
      </c>
    </row>
    <row r="817" spans="1:27" ht="14.25" x14ac:dyDescent="0.45">
      <c r="A817" s="12" t="s">
        <v>1826</v>
      </c>
      <c r="B817" s="12" t="s">
        <v>1971</v>
      </c>
      <c r="C817" s="12" t="s">
        <v>1972</v>
      </c>
      <c r="D817" s="12" t="s">
        <v>2012</v>
      </c>
      <c r="E817" s="20">
        <v>37842</v>
      </c>
      <c r="F817" s="20">
        <v>44417</v>
      </c>
      <c r="G817" s="12">
        <v>0.03</v>
      </c>
      <c r="H817" s="12">
        <v>4.8</v>
      </c>
      <c r="I817" s="13">
        <v>6.2500000000000003E-3</v>
      </c>
      <c r="J817" s="12" t="s">
        <v>1826</v>
      </c>
      <c r="K817" s="14">
        <v>1771</v>
      </c>
      <c r="L817" s="14">
        <v>1757</v>
      </c>
      <c r="M817" s="14">
        <v>1895</v>
      </c>
      <c r="N817" s="12">
        <v>0.03</v>
      </c>
      <c r="O817" s="12" t="s">
        <v>1826</v>
      </c>
      <c r="P817" s="12">
        <v>4.8259054605120303E-6</v>
      </c>
      <c r="Q817" s="12">
        <v>2.84595451071172E-5</v>
      </c>
      <c r="R817" s="12">
        <v>7.25806451612903E-2</v>
      </c>
      <c r="S817" s="14">
        <v>19</v>
      </c>
      <c r="T817" s="12">
        <v>1.9596930239640302E-3</v>
      </c>
      <c r="U817" s="14">
        <v>1881</v>
      </c>
      <c r="V817" s="14">
        <v>1</v>
      </c>
      <c r="W817" s="12">
        <v>5.4999999999999997E-3</v>
      </c>
      <c r="X817" s="12">
        <v>7.4596930239640303E-3</v>
      </c>
      <c r="Y817" s="14">
        <v>1881</v>
      </c>
      <c r="Z817" s="14">
        <v>18</v>
      </c>
      <c r="AA817" s="12" t="s">
        <v>2370</v>
      </c>
    </row>
    <row r="818" spans="1:27" ht="14.25" x14ac:dyDescent="0.45">
      <c r="A818" s="12" t="s">
        <v>1838</v>
      </c>
      <c r="B818" s="12" t="s">
        <v>1971</v>
      </c>
      <c r="C818" s="12" t="s">
        <v>1972</v>
      </c>
      <c r="D818" s="12" t="s">
        <v>2311</v>
      </c>
      <c r="E818" s="20">
        <v>37605</v>
      </c>
      <c r="F818" s="20">
        <v>43475</v>
      </c>
      <c r="G818" s="12">
        <v>222.4</v>
      </c>
      <c r="H818" s="12">
        <v>36.200000000000003</v>
      </c>
      <c r="I818" s="13">
        <v>6.1436464088397802</v>
      </c>
      <c r="J818" s="12" t="s">
        <v>1838</v>
      </c>
      <c r="K818" s="14">
        <v>403</v>
      </c>
      <c r="L818" s="14">
        <v>219</v>
      </c>
      <c r="M818" s="14">
        <v>272</v>
      </c>
      <c r="N818" s="12">
        <v>222.4</v>
      </c>
      <c r="O818" s="12" t="s">
        <v>1838</v>
      </c>
      <c r="P818" s="12">
        <v>3.5776045813929201E-2</v>
      </c>
      <c r="Q818" s="12">
        <v>2.7975261135128701E-2</v>
      </c>
      <c r="R818" s="12">
        <v>0.54737903225806495</v>
      </c>
      <c r="S818" s="14">
        <v>20</v>
      </c>
      <c r="T818" s="12">
        <v>3.0900555389678899</v>
      </c>
      <c r="U818" s="14">
        <v>368</v>
      </c>
      <c r="V818" s="14">
        <v>1</v>
      </c>
      <c r="W818" s="12">
        <v>5.4999999999999997E-3</v>
      </c>
      <c r="X818" s="12">
        <v>3.0955555389678899</v>
      </c>
      <c r="Y818" s="14">
        <v>368</v>
      </c>
      <c r="Z818" s="14">
        <v>19</v>
      </c>
      <c r="AA818" s="12" t="s">
        <v>2370</v>
      </c>
    </row>
    <row r="819" spans="1:27" ht="14.25" x14ac:dyDescent="0.45">
      <c r="A819" s="12" t="s">
        <v>1845</v>
      </c>
      <c r="B819" s="12" t="s">
        <v>1971</v>
      </c>
      <c r="C819" s="12" t="s">
        <v>1972</v>
      </c>
      <c r="D819" s="12" t="s">
        <v>1993</v>
      </c>
      <c r="E819" s="20">
        <v>35675</v>
      </c>
      <c r="F819" s="20">
        <v>44463</v>
      </c>
      <c r="G819" s="12">
        <v>0.04</v>
      </c>
      <c r="H819" s="12">
        <v>3.2666666666666702</v>
      </c>
      <c r="I819" s="13">
        <v>1.2244897959183701E-2</v>
      </c>
      <c r="J819" s="12" t="s">
        <v>1845</v>
      </c>
      <c r="K819" s="14">
        <v>1728</v>
      </c>
      <c r="L819" s="14">
        <v>1884</v>
      </c>
      <c r="M819" s="14">
        <v>1890</v>
      </c>
      <c r="N819" s="12">
        <v>0.04</v>
      </c>
      <c r="O819" s="12" t="s">
        <v>1845</v>
      </c>
      <c r="P819" s="12">
        <v>6.4345406140160404E-6</v>
      </c>
      <c r="Q819" s="12">
        <v>5.5757476128229699E-5</v>
      </c>
      <c r="R819" s="12">
        <v>4.9395161290322599E-2</v>
      </c>
      <c r="S819" s="14">
        <v>25</v>
      </c>
      <c r="T819" s="12">
        <v>3.7261375310399599E-3</v>
      </c>
      <c r="U819" s="14">
        <v>1843</v>
      </c>
      <c r="V819" s="14">
        <v>1</v>
      </c>
      <c r="W819" s="12">
        <v>5.4999999999999997E-3</v>
      </c>
      <c r="X819" s="12">
        <v>9.2261375310399608E-3</v>
      </c>
      <c r="Y819" s="14">
        <v>1843</v>
      </c>
      <c r="Z819" s="14">
        <v>24</v>
      </c>
      <c r="AA819" s="12" t="s">
        <v>2370</v>
      </c>
    </row>
    <row r="820" spans="1:27" ht="14.25" x14ac:dyDescent="0.45">
      <c r="A820" s="12" t="s">
        <v>1863</v>
      </c>
      <c r="B820" s="12" t="s">
        <v>1971</v>
      </c>
      <c r="C820" s="12" t="s">
        <v>1972</v>
      </c>
      <c r="D820" s="12" t="s">
        <v>1974</v>
      </c>
      <c r="E820" s="20">
        <v>36220</v>
      </c>
      <c r="F820" s="20">
        <v>44515</v>
      </c>
      <c r="G820" s="12">
        <v>1.27</v>
      </c>
      <c r="H820" s="12">
        <v>1.5333333333333301</v>
      </c>
      <c r="I820" s="13">
        <v>0.82826086956521705</v>
      </c>
      <c r="J820" s="12" t="s">
        <v>1863</v>
      </c>
      <c r="K820" s="14">
        <v>882</v>
      </c>
      <c r="L820" s="14">
        <v>1932</v>
      </c>
      <c r="M820" s="14">
        <v>1511</v>
      </c>
      <c r="N820" s="12">
        <v>1.27</v>
      </c>
      <c r="O820" s="12" t="s">
        <v>1863</v>
      </c>
      <c r="P820" s="12">
        <v>2.0429666449500901E-4</v>
      </c>
      <c r="Q820" s="12">
        <v>3.77150841245623E-3</v>
      </c>
      <c r="R820" s="12">
        <v>2.3185483870967701E-2</v>
      </c>
      <c r="S820" s="14">
        <v>23</v>
      </c>
      <c r="T820" s="12">
        <v>0.243380400697077</v>
      </c>
      <c r="U820" s="14">
        <v>975</v>
      </c>
      <c r="V820" s="14">
        <v>1</v>
      </c>
      <c r="W820" s="12">
        <v>5.4999999999999997E-3</v>
      </c>
      <c r="X820" s="12">
        <v>0.24888040069707701</v>
      </c>
      <c r="Y820" s="14">
        <v>975</v>
      </c>
      <c r="Z820" s="14">
        <v>23</v>
      </c>
      <c r="AA820" s="12" t="s">
        <v>2370</v>
      </c>
    </row>
    <row r="821" spans="1:27" ht="14.25" x14ac:dyDescent="0.45">
      <c r="A821" s="12" t="s">
        <v>1878</v>
      </c>
      <c r="B821" s="12" t="s">
        <v>1971</v>
      </c>
      <c r="C821" s="12" t="s">
        <v>1972</v>
      </c>
      <c r="D821" s="12" t="s">
        <v>1974</v>
      </c>
      <c r="E821" s="20">
        <v>35773</v>
      </c>
      <c r="F821" s="20">
        <v>44474</v>
      </c>
      <c r="G821" s="12">
        <v>3.85</v>
      </c>
      <c r="H821" s="12">
        <v>2.9</v>
      </c>
      <c r="I821" s="13">
        <v>1.32758620689655</v>
      </c>
      <c r="J821" s="12" t="s">
        <v>1878</v>
      </c>
      <c r="K821" s="14">
        <v>748</v>
      </c>
      <c r="L821" s="14">
        <v>1889</v>
      </c>
      <c r="M821" s="14">
        <v>1128</v>
      </c>
      <c r="N821" s="12">
        <v>3.85</v>
      </c>
      <c r="O821" s="12" t="s">
        <v>1878</v>
      </c>
      <c r="P821" s="12">
        <v>6.1932453409904405E-4</v>
      </c>
      <c r="Q821" s="12">
        <v>6.0451999262014604E-3</v>
      </c>
      <c r="R821" s="12">
        <v>4.3850806451612899E-2</v>
      </c>
      <c r="S821" s="14">
        <v>25</v>
      </c>
      <c r="T821" s="12">
        <v>0.40104966541630499</v>
      </c>
      <c r="U821" s="14">
        <v>828</v>
      </c>
      <c r="V821" s="14">
        <v>1</v>
      </c>
      <c r="W821" s="12">
        <v>5.4999999999999997E-3</v>
      </c>
      <c r="X821" s="12">
        <v>0.40654966541630499</v>
      </c>
      <c r="Y821" s="14">
        <v>828</v>
      </c>
      <c r="Z821" s="14">
        <v>24</v>
      </c>
      <c r="AA821" s="12" t="s">
        <v>2370</v>
      </c>
    </row>
    <row r="822" spans="1:27" ht="14.25" x14ac:dyDescent="0.45">
      <c r="A822" s="12" t="s">
        <v>1880</v>
      </c>
      <c r="B822" s="12" t="s">
        <v>1971</v>
      </c>
      <c r="C822" s="12" t="s">
        <v>1972</v>
      </c>
      <c r="D822" s="12" t="s">
        <v>2072</v>
      </c>
      <c r="E822" s="20">
        <v>36220</v>
      </c>
      <c r="F822" s="20">
        <v>44503</v>
      </c>
      <c r="G822" s="12">
        <v>7.21</v>
      </c>
      <c r="H822" s="12">
        <v>1.93333333333333</v>
      </c>
      <c r="I822" s="13">
        <v>3.7293103448275899</v>
      </c>
      <c r="J822" s="12" t="s">
        <v>1880</v>
      </c>
      <c r="K822" s="14">
        <v>506</v>
      </c>
      <c r="L822" s="14">
        <v>1927</v>
      </c>
      <c r="M822" s="14">
        <v>911</v>
      </c>
      <c r="N822" s="12">
        <v>7.21</v>
      </c>
      <c r="O822" s="12" t="s">
        <v>1880</v>
      </c>
      <c r="P822" s="12">
        <v>1.15982594567639E-3</v>
      </c>
      <c r="Q822" s="12">
        <v>1.69815161563295E-2</v>
      </c>
      <c r="R822" s="12">
        <v>2.9233870967741899E-2</v>
      </c>
      <c r="S822" s="14">
        <v>23</v>
      </c>
      <c r="T822" s="12">
        <v>1.10483823273346</v>
      </c>
      <c r="U822" s="14">
        <v>553</v>
      </c>
      <c r="V822" s="14">
        <v>1</v>
      </c>
      <c r="W822" s="12">
        <v>5.4999999999999997E-3</v>
      </c>
      <c r="X822" s="12">
        <v>1.1103382327334601</v>
      </c>
      <c r="Y822" s="14">
        <v>553</v>
      </c>
      <c r="Z822" s="14">
        <v>23</v>
      </c>
      <c r="AA822" s="12" t="s">
        <v>2370</v>
      </c>
    </row>
    <row r="823" spans="1:27" ht="14.25" x14ac:dyDescent="0.45">
      <c r="A823" s="12" t="s">
        <v>1883</v>
      </c>
      <c r="B823" s="12" t="s">
        <v>1971</v>
      </c>
      <c r="C823" s="12" t="s">
        <v>1972</v>
      </c>
      <c r="D823" s="12" t="s">
        <v>1974</v>
      </c>
      <c r="E823" s="20">
        <v>35784</v>
      </c>
      <c r="F823" s="20">
        <v>44399</v>
      </c>
      <c r="G823" s="12">
        <v>1</v>
      </c>
      <c r="H823" s="12">
        <v>5.4</v>
      </c>
      <c r="I823" s="13">
        <v>0.18518518518518501</v>
      </c>
      <c r="J823" s="12" t="s">
        <v>1883</v>
      </c>
      <c r="K823" s="14">
        <v>1362</v>
      </c>
      <c r="L823" s="14">
        <v>1687</v>
      </c>
      <c r="M823" s="14">
        <v>1549</v>
      </c>
      <c r="N823" s="12">
        <v>1</v>
      </c>
      <c r="O823" s="12" t="s">
        <v>1883</v>
      </c>
      <c r="P823" s="12">
        <v>1.6086351535040099E-4</v>
      </c>
      <c r="Q823" s="12">
        <v>8.4324578095162201E-4</v>
      </c>
      <c r="R823" s="12">
        <v>8.1653225806451596E-2</v>
      </c>
      <c r="S823" s="14">
        <v>25</v>
      </c>
      <c r="T823" s="12">
        <v>5.8735243135116397E-2</v>
      </c>
      <c r="U823" s="14">
        <v>1486</v>
      </c>
      <c r="V823" s="14">
        <v>1</v>
      </c>
      <c r="W823" s="12">
        <v>5.4999999999999997E-3</v>
      </c>
      <c r="X823" s="12">
        <v>6.4235243135116402E-2</v>
      </c>
      <c r="Y823" s="14">
        <v>1486</v>
      </c>
      <c r="Z823" s="14">
        <v>24</v>
      </c>
      <c r="AA823" s="12" t="s">
        <v>2370</v>
      </c>
    </row>
    <row r="824" spans="1:27" ht="14.25" x14ac:dyDescent="0.45">
      <c r="A824" s="12" t="s">
        <v>1898</v>
      </c>
      <c r="B824" s="12" t="s">
        <v>1971</v>
      </c>
      <c r="C824" s="12" t="s">
        <v>1972</v>
      </c>
      <c r="D824" s="12" t="s">
        <v>1975</v>
      </c>
      <c r="E824" s="20">
        <v>35821</v>
      </c>
      <c r="F824" s="20">
        <v>44480</v>
      </c>
      <c r="G824" s="12">
        <v>4.09</v>
      </c>
      <c r="H824" s="12">
        <v>2.7</v>
      </c>
      <c r="I824" s="13">
        <v>1.51481481481481</v>
      </c>
      <c r="J824" s="12" t="s">
        <v>1898</v>
      </c>
      <c r="K824" s="14">
        <v>731</v>
      </c>
      <c r="L824" s="14">
        <v>1899</v>
      </c>
      <c r="M824" s="14">
        <v>1110</v>
      </c>
      <c r="N824" s="12">
        <v>4.09</v>
      </c>
      <c r="O824" s="12" t="s">
        <v>1898</v>
      </c>
      <c r="P824" s="12">
        <v>6.5793177778314003E-4</v>
      </c>
      <c r="Q824" s="12">
        <v>6.8977504881842702E-3</v>
      </c>
      <c r="R824" s="12">
        <v>4.0826612903225798E-2</v>
      </c>
      <c r="S824" s="14">
        <v>24</v>
      </c>
      <c r="T824" s="12">
        <v>0.45578184717838399</v>
      </c>
      <c r="U824" s="14">
        <v>797</v>
      </c>
      <c r="V824" s="14">
        <v>1</v>
      </c>
      <c r="W824" s="12">
        <v>5.4999999999999997E-3</v>
      </c>
      <c r="X824" s="12">
        <v>0.461281847178384</v>
      </c>
      <c r="Y824" s="14">
        <v>797</v>
      </c>
      <c r="Z824" s="14">
        <v>24</v>
      </c>
      <c r="AA824" s="12" t="s">
        <v>2370</v>
      </c>
    </row>
    <row r="825" spans="1:27" ht="14.25" x14ac:dyDescent="0.45">
      <c r="A825" s="12" t="s">
        <v>1908</v>
      </c>
      <c r="B825" s="12" t="s">
        <v>1971</v>
      </c>
      <c r="C825" s="12" t="s">
        <v>1972</v>
      </c>
      <c r="D825" s="12" t="s">
        <v>1993</v>
      </c>
      <c r="E825" s="20">
        <v>35658</v>
      </c>
      <c r="F825" s="20">
        <v>44274</v>
      </c>
      <c r="G825" s="12">
        <v>10.43</v>
      </c>
      <c r="H825" s="12">
        <v>9.56666666666667</v>
      </c>
      <c r="I825" s="13">
        <v>1.09024390243902</v>
      </c>
      <c r="J825" s="12" t="s">
        <v>1908</v>
      </c>
      <c r="K825" s="14">
        <v>797</v>
      </c>
      <c r="L825" s="14">
        <v>1036</v>
      </c>
      <c r="M825" s="14">
        <v>834</v>
      </c>
      <c r="N825" s="12">
        <v>10.43</v>
      </c>
      <c r="O825" s="12" t="s">
        <v>1908</v>
      </c>
      <c r="P825" s="12">
        <v>1.67780646510468E-3</v>
      </c>
      <c r="Q825" s="12">
        <v>4.9644552830756701E-3</v>
      </c>
      <c r="R825" s="12">
        <v>0.14465725806451599</v>
      </c>
      <c r="S825" s="14">
        <v>25</v>
      </c>
      <c r="T825" s="12">
        <v>0.37319619763365502</v>
      </c>
      <c r="U825" s="14">
        <v>852</v>
      </c>
      <c r="V825" s="14">
        <v>1</v>
      </c>
      <c r="W825" s="12">
        <v>5.4999999999999997E-3</v>
      </c>
      <c r="X825" s="12">
        <v>0.37869619763365497</v>
      </c>
      <c r="Y825" s="14">
        <v>852</v>
      </c>
      <c r="Z825" s="14">
        <v>24</v>
      </c>
      <c r="AA825" s="12" t="s">
        <v>2370</v>
      </c>
    </row>
    <row r="826" spans="1:27" ht="14.25" x14ac:dyDescent="0.45">
      <c r="A826" s="12" t="s">
        <v>1937</v>
      </c>
      <c r="B826" s="12" t="s">
        <v>1971</v>
      </c>
      <c r="C826" s="12" t="s">
        <v>1972</v>
      </c>
      <c r="D826" s="12" t="s">
        <v>1975</v>
      </c>
      <c r="E826" s="20">
        <v>36065</v>
      </c>
      <c r="F826" s="20">
        <v>44477</v>
      </c>
      <c r="G826" s="12">
        <v>0.27</v>
      </c>
      <c r="H826" s="12">
        <v>2.8</v>
      </c>
      <c r="I826" s="13">
        <v>9.6428571428571405E-2</v>
      </c>
      <c r="J826" s="12" t="s">
        <v>1937</v>
      </c>
      <c r="K826" s="14">
        <v>1504</v>
      </c>
      <c r="L826" s="14">
        <v>1894</v>
      </c>
      <c r="M826" s="14">
        <v>1747</v>
      </c>
      <c r="N826" s="12">
        <v>0.27</v>
      </c>
      <c r="O826" s="12" t="s">
        <v>1937</v>
      </c>
      <c r="P826" s="12">
        <v>4.3433149144608199E-5</v>
      </c>
      <c r="Q826" s="12">
        <v>4.3909012450980898E-4</v>
      </c>
      <c r="R826" s="12">
        <v>4.2338709677419303E-2</v>
      </c>
      <c r="S826" s="14">
        <v>24</v>
      </c>
      <c r="T826" s="12">
        <v>2.90718758747859E-2</v>
      </c>
      <c r="U826" s="14">
        <v>1630</v>
      </c>
      <c r="V826" s="14">
        <v>1</v>
      </c>
      <c r="W826" s="12">
        <v>5.4999999999999997E-3</v>
      </c>
      <c r="X826" s="12">
        <v>3.4571875874785898E-2</v>
      </c>
      <c r="Y826" s="14">
        <v>1630</v>
      </c>
      <c r="Z826" s="14">
        <v>23</v>
      </c>
      <c r="AA826" s="12" t="s">
        <v>2370</v>
      </c>
    </row>
    <row r="827" spans="1:27" ht="14.25" x14ac:dyDescent="0.45">
      <c r="A827" s="12" t="s">
        <v>5</v>
      </c>
      <c r="B827" s="12" t="s">
        <v>1971</v>
      </c>
      <c r="C827" s="12" t="s">
        <v>1972</v>
      </c>
      <c r="D827" s="12" t="s">
        <v>1974</v>
      </c>
      <c r="E827" s="20">
        <v>27483</v>
      </c>
      <c r="F827" s="20">
        <v>43290</v>
      </c>
      <c r="G827" s="12">
        <v>430.36</v>
      </c>
      <c r="H827" s="12">
        <v>42.366666666666703</v>
      </c>
      <c r="I827" s="13">
        <v>10.157985837922901</v>
      </c>
      <c r="J827" s="12" t="s">
        <v>5</v>
      </c>
      <c r="K827" s="14">
        <v>290</v>
      </c>
      <c r="L827" s="14">
        <v>118</v>
      </c>
      <c r="M827" s="14">
        <v>169</v>
      </c>
      <c r="N827" s="12">
        <v>430.36</v>
      </c>
      <c r="O827" s="12" t="s">
        <v>5</v>
      </c>
      <c r="P827" s="12">
        <v>6.9229222466198503E-2</v>
      </c>
      <c r="Q827" s="12">
        <v>4.6254664984292003E-2</v>
      </c>
      <c r="R827" s="12">
        <v>0.640625</v>
      </c>
      <c r="S827" s="14">
        <v>47</v>
      </c>
      <c r="T827" s="12">
        <v>5.4870124040006898</v>
      </c>
      <c r="U827" s="14">
        <v>242</v>
      </c>
      <c r="V827" s="14">
        <v>5</v>
      </c>
      <c r="W827" s="12">
        <v>5.8999999999999999E-3</v>
      </c>
      <c r="X827" s="12">
        <v>5.4929124040006903</v>
      </c>
      <c r="Y827" s="14">
        <v>242</v>
      </c>
      <c r="Z827" s="14">
        <v>47</v>
      </c>
      <c r="AA827" s="12" t="s">
        <v>2371</v>
      </c>
    </row>
    <row r="828" spans="1:27" ht="14.25" x14ac:dyDescent="0.45">
      <c r="A828" s="12" t="s">
        <v>18</v>
      </c>
      <c r="B828" s="12" t="s">
        <v>1971</v>
      </c>
      <c r="C828" s="12" t="s">
        <v>1972</v>
      </c>
      <c r="D828" s="12" t="s">
        <v>1995</v>
      </c>
      <c r="E828" s="20">
        <v>27243</v>
      </c>
      <c r="F828" s="20">
        <v>43194</v>
      </c>
      <c r="G828" s="12">
        <v>637.70000000000005</v>
      </c>
      <c r="H828" s="12">
        <v>45.566666666666698</v>
      </c>
      <c r="I828" s="13">
        <v>13.9948792977323</v>
      </c>
      <c r="J828" s="12" t="s">
        <v>18</v>
      </c>
      <c r="K828" s="14">
        <v>206</v>
      </c>
      <c r="L828" s="14">
        <v>84</v>
      </c>
      <c r="M828" s="14">
        <v>106</v>
      </c>
      <c r="N828" s="12">
        <v>637.70000000000005</v>
      </c>
      <c r="O828" s="12" t="s">
        <v>18</v>
      </c>
      <c r="P828" s="12">
        <v>0.102582663738951</v>
      </c>
      <c r="Q828" s="12">
        <v>6.3726063782795606E-2</v>
      </c>
      <c r="R828" s="12">
        <v>0.68901209677419395</v>
      </c>
      <c r="S828" s="14">
        <v>48</v>
      </c>
      <c r="T828" s="12">
        <v>7.8297288766353796</v>
      </c>
      <c r="U828" s="14">
        <v>160</v>
      </c>
      <c r="V828" s="14">
        <v>20</v>
      </c>
      <c r="W828" s="12">
        <v>7.1000000000000004E-3</v>
      </c>
      <c r="X828" s="12">
        <v>7.83682887663538</v>
      </c>
      <c r="Y828" s="14">
        <v>160</v>
      </c>
      <c r="Z828" s="14">
        <v>47</v>
      </c>
      <c r="AA828" s="12" t="s">
        <v>2371</v>
      </c>
    </row>
    <row r="829" spans="1:27" ht="14.25" x14ac:dyDescent="0.45">
      <c r="A829" s="12" t="s">
        <v>72</v>
      </c>
      <c r="B829" s="12" t="s">
        <v>1971</v>
      </c>
      <c r="C829" s="12" t="s">
        <v>1972</v>
      </c>
      <c r="D829" s="12" t="s">
        <v>1974</v>
      </c>
      <c r="E829" s="20">
        <v>28188</v>
      </c>
      <c r="F829" s="20">
        <v>44151</v>
      </c>
      <c r="G829" s="12">
        <v>73.13</v>
      </c>
      <c r="H829" s="12">
        <v>13.6666666666667</v>
      </c>
      <c r="I829" s="13">
        <v>5.3509756097560999</v>
      </c>
      <c r="J829" s="12" t="s">
        <v>72</v>
      </c>
      <c r="K829" s="14">
        <v>426</v>
      </c>
      <c r="L829" s="14">
        <v>625</v>
      </c>
      <c r="M829" s="14">
        <v>420</v>
      </c>
      <c r="N829" s="12">
        <v>73.13</v>
      </c>
      <c r="O829" s="12" t="s">
        <v>72</v>
      </c>
      <c r="P829" s="12">
        <v>1.1763948877574801E-2</v>
      </c>
      <c r="Q829" s="12">
        <v>2.43658130772701E-2</v>
      </c>
      <c r="R829" s="12">
        <v>0.20665322580645201</v>
      </c>
      <c r="S829" s="14">
        <v>45</v>
      </c>
      <c r="T829" s="12">
        <v>1.9640114002384299</v>
      </c>
      <c r="U829" s="14">
        <v>441</v>
      </c>
      <c r="V829" s="14">
        <v>4</v>
      </c>
      <c r="W829" s="12">
        <v>5.7999999999999996E-3</v>
      </c>
      <c r="X829" s="12">
        <v>1.9698114002384299</v>
      </c>
      <c r="Y829" s="14">
        <v>441</v>
      </c>
      <c r="Z829" s="14">
        <v>45</v>
      </c>
      <c r="AA829" s="12" t="s">
        <v>2371</v>
      </c>
    </row>
    <row r="830" spans="1:27" ht="14.25" x14ac:dyDescent="0.45">
      <c r="A830" s="12" t="s">
        <v>78</v>
      </c>
      <c r="B830" s="12" t="s">
        <v>1971</v>
      </c>
      <c r="C830" s="12" t="s">
        <v>1972</v>
      </c>
      <c r="D830" s="12" t="s">
        <v>1974</v>
      </c>
      <c r="E830" s="20">
        <v>28314</v>
      </c>
      <c r="F830" s="20">
        <v>44200</v>
      </c>
      <c r="G830" s="12">
        <v>28.23</v>
      </c>
      <c r="H830" s="12">
        <v>12.033333333333299</v>
      </c>
      <c r="I830" s="13">
        <v>2.34598337950138</v>
      </c>
      <c r="J830" s="12" t="s">
        <v>78</v>
      </c>
      <c r="K830" s="14">
        <v>613</v>
      </c>
      <c r="L830" s="14">
        <v>767</v>
      </c>
      <c r="M830" s="14">
        <v>586</v>
      </c>
      <c r="N830" s="12">
        <v>28.23</v>
      </c>
      <c r="O830" s="12" t="s">
        <v>78</v>
      </c>
      <c r="P830" s="12">
        <v>4.5411770383418197E-3</v>
      </c>
      <c r="Q830" s="12">
        <v>1.0682499169514701E-2</v>
      </c>
      <c r="R830" s="12">
        <v>0.18195564516129001</v>
      </c>
      <c r="S830" s="14">
        <v>45</v>
      </c>
      <c r="T830" s="12">
        <v>0.837950337032488</v>
      </c>
      <c r="U830" s="14">
        <v>651</v>
      </c>
      <c r="V830" s="14">
        <v>4</v>
      </c>
      <c r="W830" s="12">
        <v>5.7999999999999996E-3</v>
      </c>
      <c r="X830" s="12">
        <v>0.84375033703248803</v>
      </c>
      <c r="Y830" s="14">
        <v>651</v>
      </c>
      <c r="Z830" s="14">
        <v>45</v>
      </c>
      <c r="AA830" s="12" t="s">
        <v>2371</v>
      </c>
    </row>
    <row r="831" spans="1:27" ht="14.25" x14ac:dyDescent="0.45">
      <c r="A831" s="12" t="s">
        <v>90</v>
      </c>
      <c r="B831" s="12" t="s">
        <v>1971</v>
      </c>
      <c r="C831" s="12" t="s">
        <v>1972</v>
      </c>
      <c r="D831" s="12" t="s">
        <v>1982</v>
      </c>
      <c r="E831" s="20">
        <v>27217</v>
      </c>
      <c r="F831" s="20">
        <v>43847</v>
      </c>
      <c r="G831" s="12">
        <v>0.42</v>
      </c>
      <c r="H831" s="12">
        <v>23.8</v>
      </c>
      <c r="I831" s="13">
        <v>1.7647058823529401E-2</v>
      </c>
      <c r="J831" s="12" t="s">
        <v>90</v>
      </c>
      <c r="K831" s="14">
        <v>1702</v>
      </c>
      <c r="L831" s="14">
        <v>389</v>
      </c>
      <c r="M831" s="14">
        <v>1708</v>
      </c>
      <c r="N831" s="12">
        <v>0.42</v>
      </c>
      <c r="O831" s="12" t="s">
        <v>90</v>
      </c>
      <c r="P831" s="12">
        <v>6.7562676447168395E-5</v>
      </c>
      <c r="Q831" s="12">
        <v>8.0356362655389905E-5</v>
      </c>
      <c r="R831" s="12">
        <v>0.359879032258065</v>
      </c>
      <c r="S831" s="14">
        <v>48</v>
      </c>
      <c r="T831" s="12">
        <v>7.5558730327306804E-3</v>
      </c>
      <c r="U831" s="14">
        <v>1782</v>
      </c>
      <c r="V831" s="14">
        <v>2</v>
      </c>
      <c r="W831" s="12">
        <v>5.5999999999999999E-3</v>
      </c>
      <c r="X831" s="12">
        <v>1.31558730327307E-2</v>
      </c>
      <c r="Y831" s="14">
        <v>1781</v>
      </c>
      <c r="Z831" s="14">
        <v>48</v>
      </c>
      <c r="AA831" s="12" t="s">
        <v>2371</v>
      </c>
    </row>
    <row r="832" spans="1:27" ht="14.25" x14ac:dyDescent="0.45">
      <c r="A832" s="12" t="s">
        <v>96</v>
      </c>
      <c r="B832" s="12" t="s">
        <v>1971</v>
      </c>
      <c r="C832" s="12" t="s">
        <v>1972</v>
      </c>
      <c r="D832" s="12" t="s">
        <v>1974</v>
      </c>
      <c r="E832" s="20">
        <v>24286</v>
      </c>
      <c r="F832" s="20">
        <v>43164</v>
      </c>
      <c r="G832" s="12">
        <v>821.83</v>
      </c>
      <c r="H832" s="12">
        <v>46.566666666666698</v>
      </c>
      <c r="I832" s="13">
        <v>17.648460987831101</v>
      </c>
      <c r="J832" s="12" t="s">
        <v>96</v>
      </c>
      <c r="K832" s="14">
        <v>159</v>
      </c>
      <c r="L832" s="14">
        <v>77</v>
      </c>
      <c r="M832" s="14">
        <v>70</v>
      </c>
      <c r="N832" s="12">
        <v>821.83</v>
      </c>
      <c r="O832" s="12" t="s">
        <v>96</v>
      </c>
      <c r="P832" s="12">
        <v>0.13220246282042</v>
      </c>
      <c r="Q832" s="12">
        <v>8.0362747448700297E-2</v>
      </c>
      <c r="R832" s="12">
        <v>0.704133064516129</v>
      </c>
      <c r="S832" s="14">
        <v>56</v>
      </c>
      <c r="T832" s="12">
        <v>9.9802640713095201</v>
      </c>
      <c r="U832" s="14">
        <v>109</v>
      </c>
      <c r="V832" s="14">
        <v>7</v>
      </c>
      <c r="W832" s="12">
        <v>6.1000000000000004E-3</v>
      </c>
      <c r="X832" s="12">
        <v>9.9863640713095201</v>
      </c>
      <c r="Y832" s="14">
        <v>109</v>
      </c>
      <c r="Z832" s="14">
        <v>56</v>
      </c>
      <c r="AA832" s="12" t="s">
        <v>2371</v>
      </c>
    </row>
    <row r="833" spans="1:27" ht="14.25" x14ac:dyDescent="0.45">
      <c r="A833" s="12" t="s">
        <v>116</v>
      </c>
      <c r="B833" s="12" t="s">
        <v>1971</v>
      </c>
      <c r="C833" s="12" t="s">
        <v>1972</v>
      </c>
      <c r="D833" s="12" t="s">
        <v>1974</v>
      </c>
      <c r="E833" s="20">
        <v>26741</v>
      </c>
      <c r="F833" s="20">
        <v>44116</v>
      </c>
      <c r="G833" s="12">
        <v>294.7</v>
      </c>
      <c r="H833" s="12">
        <v>14.8333333333333</v>
      </c>
      <c r="I833" s="13">
        <v>19.8674157303371</v>
      </c>
      <c r="J833" s="12" t="s">
        <v>116</v>
      </c>
      <c r="K833" s="14">
        <v>135</v>
      </c>
      <c r="L833" s="14">
        <v>534</v>
      </c>
      <c r="M833" s="14">
        <v>229</v>
      </c>
      <c r="N833" s="12">
        <v>294.7</v>
      </c>
      <c r="O833" s="12" t="s">
        <v>116</v>
      </c>
      <c r="P833" s="12">
        <v>4.7406477973763197E-2</v>
      </c>
      <c r="Q833" s="12">
        <v>9.0466818262300602E-2</v>
      </c>
      <c r="R833" s="12">
        <v>0.22429435483870999</v>
      </c>
      <c r="S833" s="14">
        <v>49</v>
      </c>
      <c r="T833" s="12">
        <v>7.4319190654099101</v>
      </c>
      <c r="U833" s="14">
        <v>174</v>
      </c>
      <c r="V833" s="14">
        <v>12</v>
      </c>
      <c r="W833" s="12">
        <v>6.6E-3</v>
      </c>
      <c r="X833" s="12">
        <v>7.4385190654099098</v>
      </c>
      <c r="Y833" s="14">
        <v>174</v>
      </c>
      <c r="Z833" s="14">
        <v>49</v>
      </c>
      <c r="AA833" s="12" t="s">
        <v>2371</v>
      </c>
    </row>
    <row r="834" spans="1:27" ht="14.25" x14ac:dyDescent="0.45">
      <c r="A834" s="12" t="s">
        <v>121</v>
      </c>
      <c r="B834" s="12" t="s">
        <v>1971</v>
      </c>
      <c r="C834" s="12" t="s">
        <v>1972</v>
      </c>
      <c r="D834" s="12" t="s">
        <v>1975</v>
      </c>
      <c r="E834" s="20">
        <v>23679</v>
      </c>
      <c r="F834" s="20">
        <v>43329</v>
      </c>
      <c r="G834" s="12">
        <v>384.95</v>
      </c>
      <c r="H834" s="12">
        <v>41.066666666666698</v>
      </c>
      <c r="I834" s="13">
        <v>9.3737824675324699</v>
      </c>
      <c r="J834" s="12" t="s">
        <v>121</v>
      </c>
      <c r="K834" s="14">
        <v>311</v>
      </c>
      <c r="L834" s="14">
        <v>166</v>
      </c>
      <c r="M834" s="14">
        <v>185</v>
      </c>
      <c r="N834" s="12">
        <v>384.95</v>
      </c>
      <c r="O834" s="12" t="s">
        <v>121</v>
      </c>
      <c r="P834" s="12">
        <v>6.1924410234136799E-2</v>
      </c>
      <c r="Q834" s="12">
        <v>4.2683773593447202E-2</v>
      </c>
      <c r="R834" s="12">
        <v>0.62096774193548399</v>
      </c>
      <c r="S834" s="14">
        <v>58</v>
      </c>
      <c r="T834" s="12">
        <v>4.9899012333705803</v>
      </c>
      <c r="U834" s="14">
        <v>260</v>
      </c>
      <c r="V834" s="14">
        <v>4</v>
      </c>
      <c r="W834" s="12">
        <v>5.7999999999999996E-3</v>
      </c>
      <c r="X834" s="12">
        <v>4.9957012333705801</v>
      </c>
      <c r="Y834" s="14">
        <v>260</v>
      </c>
      <c r="Z834" s="14">
        <v>57</v>
      </c>
      <c r="AA834" s="12" t="s">
        <v>2371</v>
      </c>
    </row>
    <row r="835" spans="1:27" ht="14.25" x14ac:dyDescent="0.45">
      <c r="A835" s="12" t="s">
        <v>132</v>
      </c>
      <c r="B835" s="12" t="s">
        <v>1971</v>
      </c>
      <c r="C835" s="12" t="s">
        <v>1972</v>
      </c>
      <c r="D835" s="12" t="s">
        <v>1975</v>
      </c>
      <c r="E835" s="20">
        <v>22647</v>
      </c>
      <c r="F835" s="20">
        <v>44214</v>
      </c>
      <c r="G835" s="12">
        <v>51.47</v>
      </c>
      <c r="H835" s="12">
        <v>11.5666666666667</v>
      </c>
      <c r="I835" s="13">
        <v>4.4498559077809796</v>
      </c>
      <c r="J835" s="12" t="s">
        <v>132</v>
      </c>
      <c r="K835" s="14">
        <v>471</v>
      </c>
      <c r="L835" s="14">
        <v>834</v>
      </c>
      <c r="M835" s="14">
        <v>482</v>
      </c>
      <c r="N835" s="12">
        <v>51.47</v>
      </c>
      <c r="O835" s="12" t="s">
        <v>132</v>
      </c>
      <c r="P835" s="12">
        <v>8.2796451350851397E-3</v>
      </c>
      <c r="Q835" s="12">
        <v>2.0262539988426399E-2</v>
      </c>
      <c r="R835" s="12">
        <v>0.17489919354838701</v>
      </c>
      <c r="S835" s="14">
        <v>60</v>
      </c>
      <c r="T835" s="12">
        <v>1.57689544184234</v>
      </c>
      <c r="U835" s="14">
        <v>484</v>
      </c>
      <c r="V835" s="14">
        <v>3</v>
      </c>
      <c r="W835" s="12">
        <v>5.7000000000000002E-3</v>
      </c>
      <c r="X835" s="12">
        <v>1.58259544184234</v>
      </c>
      <c r="Y835" s="14">
        <v>484</v>
      </c>
      <c r="Z835" s="14">
        <v>60</v>
      </c>
      <c r="AA835" s="12" t="s">
        <v>2371</v>
      </c>
    </row>
    <row r="836" spans="1:27" ht="14.25" x14ac:dyDescent="0.45">
      <c r="A836" s="12" t="s">
        <v>143</v>
      </c>
      <c r="B836" s="12" t="s">
        <v>1971</v>
      </c>
      <c r="C836" s="12" t="s">
        <v>1972</v>
      </c>
      <c r="D836" s="12" t="s">
        <v>1974</v>
      </c>
      <c r="E836" s="20">
        <v>21204</v>
      </c>
      <c r="F836" s="20">
        <v>43392</v>
      </c>
      <c r="G836" s="12">
        <v>904.75</v>
      </c>
      <c r="H836" s="12">
        <v>38.966666666666697</v>
      </c>
      <c r="I836" s="13">
        <v>23.2185628742515</v>
      </c>
      <c r="J836" s="12" t="s">
        <v>143</v>
      </c>
      <c r="K836" s="14">
        <v>116</v>
      </c>
      <c r="L836" s="14">
        <v>202</v>
      </c>
      <c r="M836" s="14">
        <v>60</v>
      </c>
      <c r="N836" s="12">
        <v>904.75</v>
      </c>
      <c r="O836" s="12" t="s">
        <v>143</v>
      </c>
      <c r="P836" s="12">
        <v>0.14554126551327501</v>
      </c>
      <c r="Q836" s="12">
        <v>0.105726357990752</v>
      </c>
      <c r="R836" s="12">
        <v>0.58921370967741904</v>
      </c>
      <c r="S836" s="14">
        <v>64</v>
      </c>
      <c r="T836" s="12">
        <v>12.0656948311698</v>
      </c>
      <c r="U836" s="14">
        <v>89</v>
      </c>
      <c r="V836" s="14">
        <v>10</v>
      </c>
      <c r="W836" s="12">
        <v>6.4000000000000003E-3</v>
      </c>
      <c r="X836" s="12">
        <v>12.0720948311698</v>
      </c>
      <c r="Y836" s="14">
        <v>89</v>
      </c>
      <c r="Z836" s="14">
        <v>64</v>
      </c>
      <c r="AA836" s="12" t="s">
        <v>2371</v>
      </c>
    </row>
    <row r="837" spans="1:27" ht="14.25" x14ac:dyDescent="0.45">
      <c r="A837" s="12" t="s">
        <v>191</v>
      </c>
      <c r="B837" s="12" t="s">
        <v>1971</v>
      </c>
      <c r="C837" s="12" t="s">
        <v>1972</v>
      </c>
      <c r="D837" s="12" t="s">
        <v>2072</v>
      </c>
      <c r="E837" s="20">
        <v>27968</v>
      </c>
      <c r="F837" s="20">
        <v>42821</v>
      </c>
      <c r="G837" s="12">
        <v>1857.8</v>
      </c>
      <c r="H837" s="12">
        <v>58</v>
      </c>
      <c r="I837" s="13">
        <v>32.031034482758599</v>
      </c>
      <c r="J837" s="12" t="s">
        <v>191</v>
      </c>
      <c r="K837" s="14">
        <v>73</v>
      </c>
      <c r="L837" s="14">
        <v>17</v>
      </c>
      <c r="M837" s="14">
        <v>25</v>
      </c>
      <c r="N837" s="12">
        <v>1857.8</v>
      </c>
      <c r="O837" s="12" t="s">
        <v>191</v>
      </c>
      <c r="P837" s="12">
        <v>0.29885223881797501</v>
      </c>
      <c r="Q837" s="12">
        <v>0.14585418731035099</v>
      </c>
      <c r="R837" s="12">
        <v>0.87701612903225801</v>
      </c>
      <c r="S837" s="14">
        <v>46</v>
      </c>
      <c r="T837" s="12">
        <v>20.322845662571002</v>
      </c>
      <c r="U837" s="14">
        <v>52</v>
      </c>
      <c r="V837" s="14">
        <v>80</v>
      </c>
      <c r="W837" s="12">
        <v>9.4999999999999998E-3</v>
      </c>
      <c r="X837" s="12">
        <v>20.332345662571001</v>
      </c>
      <c r="Y837" s="14">
        <v>52</v>
      </c>
      <c r="Z837" s="14">
        <v>45</v>
      </c>
      <c r="AA837" s="12" t="s">
        <v>2371</v>
      </c>
    </row>
    <row r="838" spans="1:27" ht="14.25" x14ac:dyDescent="0.45">
      <c r="A838" s="12" t="s">
        <v>204</v>
      </c>
      <c r="B838" s="12" t="s">
        <v>1971</v>
      </c>
      <c r="C838" s="12" t="s">
        <v>1972</v>
      </c>
      <c r="D838" s="12" t="s">
        <v>2088</v>
      </c>
      <c r="E838" s="20">
        <v>25354</v>
      </c>
      <c r="F838" s="20">
        <v>43721</v>
      </c>
      <c r="G838" s="12">
        <v>0.51</v>
      </c>
      <c r="H838" s="12">
        <v>28</v>
      </c>
      <c r="I838" s="13">
        <v>1.82142857142857E-2</v>
      </c>
      <c r="J838" s="12" t="s">
        <v>204</v>
      </c>
      <c r="K838" s="14">
        <v>1697</v>
      </c>
      <c r="L838" s="14">
        <v>290</v>
      </c>
      <c r="M838" s="14">
        <v>1685</v>
      </c>
      <c r="N838" s="12">
        <v>0.51</v>
      </c>
      <c r="O838" s="12" t="s">
        <v>204</v>
      </c>
      <c r="P838" s="12">
        <v>8.2040392828704496E-5</v>
      </c>
      <c r="Q838" s="12">
        <v>8.2939245740741693E-5</v>
      </c>
      <c r="R838" s="12">
        <v>0.42338709677419401</v>
      </c>
      <c r="S838" s="14">
        <v>53</v>
      </c>
      <c r="T838" s="12">
        <v>8.2602175898727707E-3</v>
      </c>
      <c r="U838" s="14">
        <v>1773</v>
      </c>
      <c r="V838" s="14">
        <v>4</v>
      </c>
      <c r="W838" s="12">
        <v>5.7999999999999996E-3</v>
      </c>
      <c r="X838" s="12">
        <v>1.40602175898728E-2</v>
      </c>
      <c r="Y838" s="14">
        <v>1772</v>
      </c>
      <c r="Z838" s="14">
        <v>53</v>
      </c>
      <c r="AA838" s="12" t="s">
        <v>2371</v>
      </c>
    </row>
    <row r="839" spans="1:27" ht="14.25" x14ac:dyDescent="0.45">
      <c r="A839" s="12" t="s">
        <v>285</v>
      </c>
      <c r="B839" s="12" t="s">
        <v>1971</v>
      </c>
      <c r="C839" s="12" t="s">
        <v>1972</v>
      </c>
      <c r="D839" s="12" t="s">
        <v>1987</v>
      </c>
      <c r="E839" s="20">
        <v>27832</v>
      </c>
      <c r="F839" s="20">
        <v>43272</v>
      </c>
      <c r="G839" s="12">
        <v>291.3</v>
      </c>
      <c r="H839" s="12">
        <v>42.966666666666697</v>
      </c>
      <c r="I839" s="13">
        <v>6.77967416602017</v>
      </c>
      <c r="J839" s="12" t="s">
        <v>285</v>
      </c>
      <c r="K839" s="14">
        <v>387</v>
      </c>
      <c r="L839" s="14">
        <v>106</v>
      </c>
      <c r="M839" s="14">
        <v>231</v>
      </c>
      <c r="N839" s="12">
        <v>291.3</v>
      </c>
      <c r="O839" s="12" t="s">
        <v>285</v>
      </c>
      <c r="P839" s="12">
        <v>4.6859542021571797E-2</v>
      </c>
      <c r="Q839" s="12">
        <v>3.0871430838305399E-2</v>
      </c>
      <c r="R839" s="12">
        <v>0.64969758064516103</v>
      </c>
      <c r="S839" s="14">
        <v>46</v>
      </c>
      <c r="T839" s="12">
        <v>3.6866972532030302</v>
      </c>
      <c r="U839" s="14">
        <v>330</v>
      </c>
      <c r="V839" s="14">
        <v>6</v>
      </c>
      <c r="W839" s="12">
        <v>6.0000000000000001E-3</v>
      </c>
      <c r="X839" s="12">
        <v>3.69269725320303</v>
      </c>
      <c r="Y839" s="14">
        <v>330</v>
      </c>
      <c r="Z839" s="14">
        <v>46</v>
      </c>
      <c r="AA839" s="12" t="s">
        <v>2371</v>
      </c>
    </row>
    <row r="840" spans="1:27" ht="14.25" x14ac:dyDescent="0.45">
      <c r="A840" s="12" t="s">
        <v>303</v>
      </c>
      <c r="B840" s="12" t="s">
        <v>1971</v>
      </c>
      <c r="C840" s="12" t="s">
        <v>1972</v>
      </c>
      <c r="D840" s="12" t="s">
        <v>1974</v>
      </c>
      <c r="E840" s="20">
        <v>27778</v>
      </c>
      <c r="F840" s="20">
        <v>43691</v>
      </c>
      <c r="G840" s="12">
        <v>0.13</v>
      </c>
      <c r="H840" s="12">
        <v>29</v>
      </c>
      <c r="I840" s="13">
        <v>4.4827586206896497E-3</v>
      </c>
      <c r="J840" s="12" t="s">
        <v>303</v>
      </c>
      <c r="K840" s="14">
        <v>1782</v>
      </c>
      <c r="L840" s="14">
        <v>262</v>
      </c>
      <c r="M840" s="14">
        <v>1815</v>
      </c>
      <c r="N840" s="12">
        <v>0.13</v>
      </c>
      <c r="O840" s="12" t="s">
        <v>303</v>
      </c>
      <c r="P840" s="12">
        <v>2.09122569955521E-5</v>
      </c>
      <c r="Q840" s="12">
        <v>2.0412363387173698E-5</v>
      </c>
      <c r="R840" s="12">
        <v>0.438508064516129</v>
      </c>
      <c r="S840" s="14">
        <v>46</v>
      </c>
      <c r="T840" s="12">
        <v>2.0599823490315599E-3</v>
      </c>
      <c r="U840" s="14">
        <v>1878</v>
      </c>
      <c r="V840" s="14">
        <v>1</v>
      </c>
      <c r="W840" s="12">
        <v>5.4999999999999997E-3</v>
      </c>
      <c r="X840" s="12">
        <v>7.5599823490315604E-3</v>
      </c>
      <c r="Y840" s="14">
        <v>1878</v>
      </c>
      <c r="Z840" s="14">
        <v>46</v>
      </c>
      <c r="AA840" s="12" t="s">
        <v>2371</v>
      </c>
    </row>
    <row r="841" spans="1:27" ht="14.25" x14ac:dyDescent="0.45">
      <c r="A841" s="12" t="s">
        <v>304</v>
      </c>
      <c r="B841" s="12" t="s">
        <v>1971</v>
      </c>
      <c r="C841" s="12" t="s">
        <v>1972</v>
      </c>
      <c r="D841" s="12" t="s">
        <v>2007</v>
      </c>
      <c r="E841" s="20">
        <v>23649</v>
      </c>
      <c r="F841" s="20">
        <v>44117</v>
      </c>
      <c r="G841" s="12">
        <v>31.25</v>
      </c>
      <c r="H841" s="12">
        <v>14.8</v>
      </c>
      <c r="I841" s="13">
        <v>2.11148648648649</v>
      </c>
      <c r="J841" s="12" t="s">
        <v>304</v>
      </c>
      <c r="K841" s="14">
        <v>645</v>
      </c>
      <c r="L841" s="14">
        <v>544</v>
      </c>
      <c r="M841" s="14">
        <v>560</v>
      </c>
      <c r="N841" s="12">
        <v>31.25</v>
      </c>
      <c r="O841" s="12" t="s">
        <v>304</v>
      </c>
      <c r="P841" s="12">
        <v>5.0269848547000303E-3</v>
      </c>
      <c r="Q841" s="12">
        <v>9.6147111848369007E-3</v>
      </c>
      <c r="R841" s="12">
        <v>0.22379032258064499</v>
      </c>
      <c r="S841" s="14">
        <v>58</v>
      </c>
      <c r="T841" s="12">
        <v>0.78943138110355804</v>
      </c>
      <c r="U841" s="14">
        <v>679</v>
      </c>
      <c r="V841" s="14">
        <v>5</v>
      </c>
      <c r="W841" s="12">
        <v>5.8999999999999999E-3</v>
      </c>
      <c r="X841" s="12">
        <v>0.79533138110355805</v>
      </c>
      <c r="Y841" s="14">
        <v>679</v>
      </c>
      <c r="Z841" s="14">
        <v>57</v>
      </c>
      <c r="AA841" s="12" t="s">
        <v>2371</v>
      </c>
    </row>
    <row r="842" spans="1:27" ht="14.25" x14ac:dyDescent="0.45">
      <c r="A842" s="12" t="s">
        <v>306</v>
      </c>
      <c r="B842" s="12" t="s">
        <v>1971</v>
      </c>
      <c r="C842" s="12" t="s">
        <v>1972</v>
      </c>
      <c r="D842" s="12" t="s">
        <v>1973</v>
      </c>
      <c r="E842" s="20">
        <v>27697</v>
      </c>
      <c r="F842" s="20">
        <v>43187</v>
      </c>
      <c r="G842" s="12">
        <v>729.6</v>
      </c>
      <c r="H842" s="12">
        <v>45.8</v>
      </c>
      <c r="I842" s="13">
        <v>15.9301310043668</v>
      </c>
      <c r="J842" s="12" t="s">
        <v>306</v>
      </c>
      <c r="K842" s="14">
        <v>177</v>
      </c>
      <c r="L842" s="14">
        <v>83</v>
      </c>
      <c r="M842" s="14">
        <v>86</v>
      </c>
      <c r="N842" s="12">
        <v>729.6</v>
      </c>
      <c r="O842" s="12" t="s">
        <v>306</v>
      </c>
      <c r="P842" s="12">
        <v>0.117366020799653</v>
      </c>
      <c r="Q842" s="12">
        <v>7.2538285100970296E-2</v>
      </c>
      <c r="R842" s="12">
        <v>0.69254032258064502</v>
      </c>
      <c r="S842" s="14">
        <v>47</v>
      </c>
      <c r="T842" s="12">
        <v>8.9348685987976104</v>
      </c>
      <c r="U842" s="14">
        <v>118</v>
      </c>
      <c r="V842" s="14">
        <v>7</v>
      </c>
      <c r="W842" s="12">
        <v>6.1000000000000004E-3</v>
      </c>
      <c r="X842" s="12">
        <v>8.9409685987976104</v>
      </c>
      <c r="Y842" s="14">
        <v>118</v>
      </c>
      <c r="Z842" s="14">
        <v>46</v>
      </c>
      <c r="AA842" s="12" t="s">
        <v>2371</v>
      </c>
    </row>
    <row r="843" spans="1:27" ht="14.25" x14ac:dyDescent="0.45">
      <c r="A843" s="12" t="s">
        <v>361</v>
      </c>
      <c r="B843" s="12" t="s">
        <v>1971</v>
      </c>
      <c r="C843" s="12" t="s">
        <v>1972</v>
      </c>
      <c r="D843" s="12" t="s">
        <v>1978</v>
      </c>
      <c r="E843" s="20">
        <v>26254</v>
      </c>
      <c r="F843" s="20">
        <v>44069</v>
      </c>
      <c r="G843" s="12">
        <v>39.24</v>
      </c>
      <c r="H843" s="12">
        <v>16.399999999999999</v>
      </c>
      <c r="I843" s="13">
        <v>2.39268292682927</v>
      </c>
      <c r="J843" s="12" t="s">
        <v>361</v>
      </c>
      <c r="K843" s="14">
        <v>605</v>
      </c>
      <c r="L843" s="14">
        <v>481</v>
      </c>
      <c r="M843" s="14">
        <v>525</v>
      </c>
      <c r="N843" s="12">
        <v>39.24</v>
      </c>
      <c r="O843" s="12" t="s">
        <v>361</v>
      </c>
      <c r="P843" s="12">
        <v>6.3122843423497298E-3</v>
      </c>
      <c r="Q843" s="12">
        <v>1.08951468293003E-2</v>
      </c>
      <c r="R843" s="12">
        <v>0.24798387096774199</v>
      </c>
      <c r="S843" s="14">
        <v>51</v>
      </c>
      <c r="T843" s="12">
        <v>0.91765733966938301</v>
      </c>
      <c r="U843" s="14">
        <v>590</v>
      </c>
      <c r="V843" s="14">
        <v>3</v>
      </c>
      <c r="W843" s="12">
        <v>5.7000000000000002E-3</v>
      </c>
      <c r="X843" s="12">
        <v>0.92335733966938305</v>
      </c>
      <c r="Y843" s="14">
        <v>590</v>
      </c>
      <c r="Z843" s="14">
        <v>50</v>
      </c>
      <c r="AA843" s="12" t="s">
        <v>2371</v>
      </c>
    </row>
    <row r="844" spans="1:27" ht="14.25" x14ac:dyDescent="0.45">
      <c r="A844" s="12" t="s">
        <v>372</v>
      </c>
      <c r="B844" s="12" t="s">
        <v>1971</v>
      </c>
      <c r="C844" s="12" t="s">
        <v>1972</v>
      </c>
      <c r="D844" s="12" t="s">
        <v>1993</v>
      </c>
      <c r="E844" s="20">
        <v>27883</v>
      </c>
      <c r="F844" s="20">
        <v>42817</v>
      </c>
      <c r="G844" s="12">
        <v>307.63</v>
      </c>
      <c r="H844" s="12">
        <v>58.133333333333297</v>
      </c>
      <c r="I844" s="13">
        <v>5.2918004587156</v>
      </c>
      <c r="J844" s="12" t="s">
        <v>372</v>
      </c>
      <c r="K844" s="14">
        <v>429</v>
      </c>
      <c r="L844" s="14">
        <v>9</v>
      </c>
      <c r="M844" s="14">
        <v>218</v>
      </c>
      <c r="N844" s="12">
        <v>307.63</v>
      </c>
      <c r="O844" s="12" t="s">
        <v>372</v>
      </c>
      <c r="P844" s="12">
        <v>4.9486443227243798E-2</v>
      </c>
      <c r="Q844" s="12">
        <v>2.40963574164288E-2</v>
      </c>
      <c r="R844" s="12">
        <v>0.87903225806451601</v>
      </c>
      <c r="S844" s="14">
        <v>46</v>
      </c>
      <c r="T844" s="12">
        <v>3.3617639595484499</v>
      </c>
      <c r="U844" s="14">
        <v>349</v>
      </c>
      <c r="V844" s="14">
        <v>8</v>
      </c>
      <c r="W844" s="12">
        <v>6.1999999999999998E-3</v>
      </c>
      <c r="X844" s="12">
        <v>3.3679639595484501</v>
      </c>
      <c r="Y844" s="14">
        <v>349</v>
      </c>
      <c r="Z844" s="14">
        <v>46</v>
      </c>
      <c r="AA844" s="12" t="s">
        <v>2371</v>
      </c>
    </row>
    <row r="845" spans="1:27" ht="14.25" x14ac:dyDescent="0.45">
      <c r="A845" s="12" t="s">
        <v>431</v>
      </c>
      <c r="B845" s="12" t="s">
        <v>1971</v>
      </c>
      <c r="C845" s="12" t="s">
        <v>1972</v>
      </c>
      <c r="D845" s="12" t="s">
        <v>2020</v>
      </c>
      <c r="E845" s="20">
        <v>27820</v>
      </c>
      <c r="F845" s="20">
        <v>43881</v>
      </c>
      <c r="G845" s="12">
        <v>2.29</v>
      </c>
      <c r="H845" s="12">
        <v>22.6666666666667</v>
      </c>
      <c r="I845" s="13">
        <v>0.10102941176470601</v>
      </c>
      <c r="J845" s="12" t="s">
        <v>431</v>
      </c>
      <c r="K845" s="14">
        <v>1493</v>
      </c>
      <c r="L845" s="14">
        <v>415</v>
      </c>
      <c r="M845" s="14">
        <v>1307</v>
      </c>
      <c r="N845" s="12">
        <v>2.29</v>
      </c>
      <c r="O845" s="12" t="s">
        <v>431</v>
      </c>
      <c r="P845" s="12">
        <v>3.6837745015241803E-4</v>
      </c>
      <c r="Q845" s="12">
        <v>4.6004017620210699E-4</v>
      </c>
      <c r="R845" s="12">
        <v>0.342741935483871</v>
      </c>
      <c r="S845" s="14">
        <v>46</v>
      </c>
      <c r="T845" s="12">
        <v>4.25666653933474E-2</v>
      </c>
      <c r="U845" s="14">
        <v>1550</v>
      </c>
      <c r="V845" s="14">
        <v>18</v>
      </c>
      <c r="W845" s="12">
        <v>7.0000000000000001E-3</v>
      </c>
      <c r="X845" s="12">
        <v>4.9566665393347399E-2</v>
      </c>
      <c r="Y845" s="14">
        <v>1542</v>
      </c>
      <c r="Z845" s="14">
        <v>46</v>
      </c>
      <c r="AA845" s="12" t="s">
        <v>2371</v>
      </c>
    </row>
    <row r="846" spans="1:27" ht="14.25" x14ac:dyDescent="0.45">
      <c r="A846" s="12" t="s">
        <v>432</v>
      </c>
      <c r="B846" s="12" t="s">
        <v>1971</v>
      </c>
      <c r="C846" s="12" t="s">
        <v>1972</v>
      </c>
      <c r="D846" s="12" t="s">
        <v>1974</v>
      </c>
      <c r="E846" s="20">
        <v>27783</v>
      </c>
      <c r="F846" s="20">
        <v>43708</v>
      </c>
      <c r="G846" s="12">
        <v>126.8</v>
      </c>
      <c r="H846" s="12">
        <v>28.433333333333302</v>
      </c>
      <c r="I846" s="13">
        <v>4.4595545134818302</v>
      </c>
      <c r="J846" s="12" t="s">
        <v>432</v>
      </c>
      <c r="K846" s="14">
        <v>470</v>
      </c>
      <c r="L846" s="14">
        <v>274</v>
      </c>
      <c r="M846" s="14">
        <v>347</v>
      </c>
      <c r="N846" s="12">
        <v>126.8</v>
      </c>
      <c r="O846" s="12" t="s">
        <v>432</v>
      </c>
      <c r="P846" s="12">
        <v>2.0397493746430798E-2</v>
      </c>
      <c r="Q846" s="12">
        <v>2.0306702853453502E-2</v>
      </c>
      <c r="R846" s="12">
        <v>0.42993951612903197</v>
      </c>
      <c r="S846" s="14">
        <v>46</v>
      </c>
      <c r="T846" s="12">
        <v>2.034074943832</v>
      </c>
      <c r="U846" s="14">
        <v>435</v>
      </c>
      <c r="V846" s="14">
        <v>2</v>
      </c>
      <c r="W846" s="12">
        <v>5.5999999999999999E-3</v>
      </c>
      <c r="X846" s="12">
        <v>2.0396749438319999</v>
      </c>
      <c r="Y846" s="14">
        <v>435</v>
      </c>
      <c r="Z846" s="14">
        <v>46</v>
      </c>
      <c r="AA846" s="12" t="s">
        <v>2371</v>
      </c>
    </row>
    <row r="847" spans="1:27" ht="14.25" x14ac:dyDescent="0.45">
      <c r="A847" s="12" t="s">
        <v>436</v>
      </c>
      <c r="B847" s="12" t="s">
        <v>1971</v>
      </c>
      <c r="C847" s="12" t="s">
        <v>1972</v>
      </c>
      <c r="D847" s="12" t="s">
        <v>2091</v>
      </c>
      <c r="E847" s="20">
        <v>26674</v>
      </c>
      <c r="F847" s="20">
        <v>43507</v>
      </c>
      <c r="G847" s="12">
        <v>0.03</v>
      </c>
      <c r="H847" s="12">
        <v>35.133333333333297</v>
      </c>
      <c r="I847" s="13">
        <v>8.5388994307400402E-4</v>
      </c>
      <c r="J847" s="12" t="s">
        <v>436</v>
      </c>
      <c r="K847" s="14">
        <v>1831</v>
      </c>
      <c r="L847" s="14">
        <v>227</v>
      </c>
      <c r="M847" s="14">
        <v>1895</v>
      </c>
      <c r="N847" s="12">
        <v>0.03</v>
      </c>
      <c r="O847" s="12" t="s">
        <v>436</v>
      </c>
      <c r="P847" s="12">
        <v>4.8259054605120303E-6</v>
      </c>
      <c r="Q847" s="12">
        <v>3.8882110962285404E-6</v>
      </c>
      <c r="R847" s="12">
        <v>0.53125</v>
      </c>
      <c r="S847" s="14">
        <v>49</v>
      </c>
      <c r="T847" s="12">
        <v>4.2398464828348502E-4</v>
      </c>
      <c r="U847" s="14">
        <v>1943</v>
      </c>
      <c r="V847" s="14">
        <v>1</v>
      </c>
      <c r="W847" s="12">
        <v>5.4999999999999997E-3</v>
      </c>
      <c r="X847" s="12">
        <v>5.9239846482834896E-3</v>
      </c>
      <c r="Y847" s="14">
        <v>1945</v>
      </c>
      <c r="Z847" s="14">
        <v>49</v>
      </c>
      <c r="AA847" s="12" t="s">
        <v>2371</v>
      </c>
    </row>
    <row r="848" spans="1:27" ht="14.25" x14ac:dyDescent="0.45">
      <c r="A848" s="12" t="s">
        <v>439</v>
      </c>
      <c r="B848" s="12" t="s">
        <v>1971</v>
      </c>
      <c r="C848" s="12" t="s">
        <v>1972</v>
      </c>
      <c r="D848" s="12" t="s">
        <v>2072</v>
      </c>
      <c r="E848" s="20">
        <v>28230</v>
      </c>
      <c r="F848" s="20">
        <v>43346</v>
      </c>
      <c r="G848" s="12">
        <v>751.54</v>
      </c>
      <c r="H848" s="12">
        <v>40.5</v>
      </c>
      <c r="I848" s="13">
        <v>18.556543209876502</v>
      </c>
      <c r="J848" s="12" t="s">
        <v>439</v>
      </c>
      <c r="K848" s="14">
        <v>145</v>
      </c>
      <c r="L848" s="14">
        <v>180</v>
      </c>
      <c r="M848" s="14">
        <v>82</v>
      </c>
      <c r="N848" s="12">
        <v>751.54</v>
      </c>
      <c r="O848" s="12" t="s">
        <v>439</v>
      </c>
      <c r="P848" s="12">
        <v>0.12089536632644</v>
      </c>
      <c r="Q848" s="12">
        <v>8.4497724562184295E-2</v>
      </c>
      <c r="R848" s="12">
        <v>0.61239919354838701</v>
      </c>
      <c r="S848" s="14">
        <v>45</v>
      </c>
      <c r="T848" s="12">
        <v>9.8146840223780298</v>
      </c>
      <c r="U848" s="14">
        <v>111</v>
      </c>
      <c r="V848" s="14">
        <v>24</v>
      </c>
      <c r="W848" s="12">
        <v>7.4000000000000003E-3</v>
      </c>
      <c r="X848" s="12">
        <v>9.8220840223780304</v>
      </c>
      <c r="Y848" s="14">
        <v>111</v>
      </c>
      <c r="Z848" s="14">
        <v>45</v>
      </c>
      <c r="AA848" s="12" t="s">
        <v>2371</v>
      </c>
    </row>
    <row r="849" spans="1:27" ht="14.25" x14ac:dyDescent="0.45">
      <c r="A849" s="12" t="s">
        <v>453</v>
      </c>
      <c r="B849" s="12" t="s">
        <v>1971</v>
      </c>
      <c r="C849" s="12" t="s">
        <v>1972</v>
      </c>
      <c r="D849" s="12" t="s">
        <v>1974</v>
      </c>
      <c r="E849" s="20">
        <v>27121</v>
      </c>
      <c r="F849" s="20">
        <v>44174</v>
      </c>
      <c r="G849" s="12">
        <v>819.78</v>
      </c>
      <c r="H849" s="12">
        <v>12.9</v>
      </c>
      <c r="I849" s="13">
        <v>63.548837209302299</v>
      </c>
      <c r="J849" s="12" t="s">
        <v>453</v>
      </c>
      <c r="K849" s="14">
        <v>38</v>
      </c>
      <c r="L849" s="14">
        <v>687</v>
      </c>
      <c r="M849" s="14">
        <v>71</v>
      </c>
      <c r="N849" s="12">
        <v>819.78</v>
      </c>
      <c r="O849" s="12" t="s">
        <v>453</v>
      </c>
      <c r="P849" s="12">
        <v>0.13187269261395199</v>
      </c>
      <c r="Q849" s="12">
        <v>0.289371359850078</v>
      </c>
      <c r="R849" s="12">
        <v>0.195060483870968</v>
      </c>
      <c r="S849" s="14">
        <v>48</v>
      </c>
      <c r="T849" s="12">
        <v>23.0309359636531</v>
      </c>
      <c r="U849" s="14">
        <v>45</v>
      </c>
      <c r="V849" s="14">
        <v>10</v>
      </c>
      <c r="W849" s="12">
        <v>6.4000000000000003E-3</v>
      </c>
      <c r="X849" s="12">
        <v>23.037335963653099</v>
      </c>
      <c r="Y849" s="14">
        <v>45</v>
      </c>
      <c r="Z849" s="14">
        <v>48</v>
      </c>
      <c r="AA849" s="12" t="s">
        <v>2371</v>
      </c>
    </row>
    <row r="850" spans="1:27" ht="14.25" x14ac:dyDescent="0.45">
      <c r="A850" s="12" t="s">
        <v>461</v>
      </c>
      <c r="B850" s="12" t="s">
        <v>1971</v>
      </c>
      <c r="C850" s="12" t="s">
        <v>1972</v>
      </c>
      <c r="D850" s="12" t="s">
        <v>2026</v>
      </c>
      <c r="E850" s="20">
        <v>26277</v>
      </c>
      <c r="F850" s="20">
        <v>44194</v>
      </c>
      <c r="G850" s="12">
        <v>28.93</v>
      </c>
      <c r="H850" s="12">
        <v>12.233333333333301</v>
      </c>
      <c r="I850" s="13">
        <v>2.36485013623978</v>
      </c>
      <c r="J850" s="12" t="s">
        <v>461</v>
      </c>
      <c r="K850" s="14">
        <v>607</v>
      </c>
      <c r="L850" s="14">
        <v>745</v>
      </c>
      <c r="M850" s="14">
        <v>576</v>
      </c>
      <c r="N850" s="12">
        <v>28.93</v>
      </c>
      <c r="O850" s="12" t="s">
        <v>461</v>
      </c>
      <c r="P850" s="12">
        <v>4.6537814990870998E-3</v>
      </c>
      <c r="Q850" s="12">
        <v>1.07684094598221E-2</v>
      </c>
      <c r="R850" s="12">
        <v>0.18497983870967699</v>
      </c>
      <c r="S850" s="14">
        <v>51</v>
      </c>
      <c r="T850" s="12">
        <v>0.84754239745465099</v>
      </c>
      <c r="U850" s="14">
        <v>650</v>
      </c>
      <c r="V850" s="14">
        <v>3</v>
      </c>
      <c r="W850" s="12">
        <v>5.7000000000000002E-3</v>
      </c>
      <c r="X850" s="12">
        <v>0.85324239745465102</v>
      </c>
      <c r="Y850" s="14">
        <v>650</v>
      </c>
      <c r="Z850" s="14">
        <v>50</v>
      </c>
      <c r="AA850" s="12" t="s">
        <v>2371</v>
      </c>
    </row>
    <row r="851" spans="1:27" ht="14.25" x14ac:dyDescent="0.45">
      <c r="A851" s="12" t="s">
        <v>507</v>
      </c>
      <c r="B851" s="12" t="s">
        <v>1971</v>
      </c>
      <c r="C851" s="12" t="s">
        <v>1972</v>
      </c>
      <c r="D851" s="12" t="s">
        <v>1974</v>
      </c>
      <c r="E851" s="20">
        <v>28039</v>
      </c>
      <c r="F851" s="20">
        <v>44165</v>
      </c>
      <c r="G851" s="12">
        <v>2.52</v>
      </c>
      <c r="H851" s="12">
        <v>13.2</v>
      </c>
      <c r="I851" s="13">
        <v>0.190909090909091</v>
      </c>
      <c r="J851" s="12" t="s">
        <v>507</v>
      </c>
      <c r="K851" s="14">
        <v>1360</v>
      </c>
      <c r="L851" s="14">
        <v>658</v>
      </c>
      <c r="M851" s="14">
        <v>1271</v>
      </c>
      <c r="N851" s="12">
        <v>2.52</v>
      </c>
      <c r="O851" s="12" t="s">
        <v>507</v>
      </c>
      <c r="P851" s="12">
        <v>4.0537605868300999E-4</v>
      </c>
      <c r="Q851" s="12">
        <v>8.6930974145376305E-4</v>
      </c>
      <c r="R851" s="12">
        <v>0.19959677419354799</v>
      </c>
      <c r="S851" s="14">
        <v>46</v>
      </c>
      <c r="T851" s="12">
        <v>6.9533461041473094E-2</v>
      </c>
      <c r="U851" s="14">
        <v>1449</v>
      </c>
      <c r="V851" s="14">
        <v>1</v>
      </c>
      <c r="W851" s="12">
        <v>5.4999999999999997E-3</v>
      </c>
      <c r="X851" s="12">
        <v>7.5033461041473098E-2</v>
      </c>
      <c r="Y851" s="14">
        <v>1449</v>
      </c>
      <c r="Z851" s="14">
        <v>45</v>
      </c>
      <c r="AA851" s="12" t="s">
        <v>2371</v>
      </c>
    </row>
    <row r="852" spans="1:27" ht="14.25" x14ac:dyDescent="0.45">
      <c r="A852" s="12" t="s">
        <v>549</v>
      </c>
      <c r="B852" s="12" t="s">
        <v>1971</v>
      </c>
      <c r="C852" s="12" t="s">
        <v>1972</v>
      </c>
      <c r="D852" s="12" t="s">
        <v>2072</v>
      </c>
      <c r="E852" s="20">
        <v>27998</v>
      </c>
      <c r="F852" s="20">
        <v>43243</v>
      </c>
      <c r="G852" s="12">
        <v>554.03</v>
      </c>
      <c r="H852" s="12">
        <v>43.933333333333302</v>
      </c>
      <c r="I852" s="13">
        <v>12.610698027314101</v>
      </c>
      <c r="J852" s="12" t="s">
        <v>549</v>
      </c>
      <c r="K852" s="14">
        <v>233</v>
      </c>
      <c r="L852" s="14">
        <v>98</v>
      </c>
      <c r="M852" s="14">
        <v>132</v>
      </c>
      <c r="N852" s="12">
        <v>554.03</v>
      </c>
      <c r="O852" s="12" t="s">
        <v>549</v>
      </c>
      <c r="P852" s="12">
        <v>8.9123213409582597E-2</v>
      </c>
      <c r="Q852" s="12">
        <v>5.7423156694492897E-2</v>
      </c>
      <c r="R852" s="12">
        <v>0.66431451612903203</v>
      </c>
      <c r="S852" s="14">
        <v>46</v>
      </c>
      <c r="T852" s="12">
        <v>6.9310677962651503</v>
      </c>
      <c r="U852" s="14">
        <v>191</v>
      </c>
      <c r="V852" s="14">
        <v>6</v>
      </c>
      <c r="W852" s="12">
        <v>6.0000000000000001E-3</v>
      </c>
      <c r="X852" s="12">
        <v>6.9370677962651497</v>
      </c>
      <c r="Y852" s="14">
        <v>191</v>
      </c>
      <c r="Z852" s="14">
        <v>45</v>
      </c>
      <c r="AA852" s="12" t="s">
        <v>2371</v>
      </c>
    </row>
    <row r="853" spans="1:27" ht="14.25" x14ac:dyDescent="0.45">
      <c r="A853" s="12" t="s">
        <v>653</v>
      </c>
      <c r="B853" s="12" t="s">
        <v>1971</v>
      </c>
      <c r="C853" s="12" t="s">
        <v>1972</v>
      </c>
      <c r="D853" s="12" t="s">
        <v>1974</v>
      </c>
      <c r="E853" s="20">
        <v>26039</v>
      </c>
      <c r="F853" s="20">
        <v>44278</v>
      </c>
      <c r="G853" s="12">
        <v>182.24</v>
      </c>
      <c r="H853" s="12">
        <v>9.43333333333333</v>
      </c>
      <c r="I853" s="13">
        <v>19.318727915194302</v>
      </c>
      <c r="J853" s="12" t="s">
        <v>653</v>
      </c>
      <c r="K853" s="14">
        <v>142</v>
      </c>
      <c r="L853" s="14">
        <v>1048</v>
      </c>
      <c r="M853" s="14">
        <v>299</v>
      </c>
      <c r="N853" s="12">
        <v>182.24</v>
      </c>
      <c r="O853" s="12" t="s">
        <v>653</v>
      </c>
      <c r="P853" s="12">
        <v>2.9315767037457099E-2</v>
      </c>
      <c r="Q853" s="12">
        <v>8.7968353362335702E-2</v>
      </c>
      <c r="R853" s="12">
        <v>0.14264112903225801</v>
      </c>
      <c r="S853" s="14">
        <v>51</v>
      </c>
      <c r="T853" s="12">
        <v>6.5973633490506201</v>
      </c>
      <c r="U853" s="14">
        <v>201</v>
      </c>
      <c r="V853" s="14">
        <v>8</v>
      </c>
      <c r="W853" s="12">
        <v>6.1999999999999998E-3</v>
      </c>
      <c r="X853" s="12">
        <v>6.6035633490506198</v>
      </c>
      <c r="Y853" s="14">
        <v>201</v>
      </c>
      <c r="Z853" s="14">
        <v>51</v>
      </c>
      <c r="AA853" s="12" t="s">
        <v>2371</v>
      </c>
    </row>
    <row r="854" spans="1:27" ht="14.25" x14ac:dyDescent="0.45">
      <c r="A854" s="12" t="s">
        <v>668</v>
      </c>
      <c r="B854" s="12" t="s">
        <v>1971</v>
      </c>
      <c r="C854" s="12" t="s">
        <v>1972</v>
      </c>
      <c r="D854" s="12" t="s">
        <v>2020</v>
      </c>
      <c r="E854" s="20">
        <v>26991</v>
      </c>
      <c r="F854" s="20">
        <v>43320</v>
      </c>
      <c r="G854" s="12">
        <v>304.69</v>
      </c>
      <c r="H854" s="12">
        <v>41.366666666666703</v>
      </c>
      <c r="I854" s="13">
        <v>7.3655922643029799</v>
      </c>
      <c r="J854" s="12" t="s">
        <v>668</v>
      </c>
      <c r="K854" s="14">
        <v>369</v>
      </c>
      <c r="L854" s="14">
        <v>148</v>
      </c>
      <c r="M854" s="14">
        <v>220</v>
      </c>
      <c r="N854" s="12">
        <v>304.69</v>
      </c>
      <c r="O854" s="12" t="s">
        <v>668</v>
      </c>
      <c r="P854" s="12">
        <v>4.9013504492113703E-2</v>
      </c>
      <c r="Q854" s="12">
        <v>3.3539424845850298E-2</v>
      </c>
      <c r="R854" s="12">
        <v>0.62550403225806495</v>
      </c>
      <c r="S854" s="14">
        <v>49</v>
      </c>
      <c r="T854" s="12">
        <v>3.93422047131991</v>
      </c>
      <c r="U854" s="14">
        <v>312</v>
      </c>
      <c r="V854" s="14">
        <v>5</v>
      </c>
      <c r="W854" s="12">
        <v>5.8999999999999999E-3</v>
      </c>
      <c r="X854" s="12">
        <v>3.9401204713199101</v>
      </c>
      <c r="Y854" s="14">
        <v>312</v>
      </c>
      <c r="Z854" s="14">
        <v>48</v>
      </c>
      <c r="AA854" s="12" t="s">
        <v>2371</v>
      </c>
    </row>
    <row r="855" spans="1:27" ht="14.25" x14ac:dyDescent="0.45">
      <c r="A855" s="12" t="s">
        <v>703</v>
      </c>
      <c r="B855" s="12" t="s">
        <v>1971</v>
      </c>
      <c r="C855" s="12" t="s">
        <v>1972</v>
      </c>
      <c r="D855" s="12" t="s">
        <v>1990</v>
      </c>
      <c r="E855" s="20">
        <v>28274</v>
      </c>
      <c r="F855" s="20">
        <v>43014</v>
      </c>
      <c r="G855" s="12">
        <v>119.93</v>
      </c>
      <c r="H855" s="12">
        <v>51.566666666666698</v>
      </c>
      <c r="I855" s="13">
        <v>2.32572721396251</v>
      </c>
      <c r="J855" s="12" t="s">
        <v>703</v>
      </c>
      <c r="K855" s="14">
        <v>616</v>
      </c>
      <c r="L855" s="14">
        <v>57</v>
      </c>
      <c r="M855" s="14">
        <v>354</v>
      </c>
      <c r="N855" s="12">
        <v>119.93</v>
      </c>
      <c r="O855" s="12" t="s">
        <v>703</v>
      </c>
      <c r="P855" s="12">
        <v>1.9292361395973599E-2</v>
      </c>
      <c r="Q855" s="12">
        <v>1.05902621684186E-2</v>
      </c>
      <c r="R855" s="12">
        <v>0.77973790322580605</v>
      </c>
      <c r="S855" s="14">
        <v>45</v>
      </c>
      <c r="T855" s="12">
        <v>1.3853549378751699</v>
      </c>
      <c r="U855" s="14">
        <v>509</v>
      </c>
      <c r="V855" s="14">
        <v>6</v>
      </c>
      <c r="W855" s="12">
        <v>6.0000000000000001E-3</v>
      </c>
      <c r="X855" s="12">
        <v>1.39135493787517</v>
      </c>
      <c r="Y855" s="14">
        <v>509</v>
      </c>
      <c r="Z855" s="14">
        <v>45</v>
      </c>
      <c r="AA855" s="12" t="s">
        <v>2371</v>
      </c>
    </row>
    <row r="856" spans="1:27" ht="14.25" x14ac:dyDescent="0.45">
      <c r="A856" s="12" t="s">
        <v>911</v>
      </c>
      <c r="B856" s="12" t="s">
        <v>1971</v>
      </c>
      <c r="C856" s="12" t="s">
        <v>1972</v>
      </c>
      <c r="D856" s="12" t="s">
        <v>1978</v>
      </c>
      <c r="E856" s="20">
        <v>24442</v>
      </c>
      <c r="F856" s="20">
        <v>43137</v>
      </c>
      <c r="G856" s="12">
        <v>472.42</v>
      </c>
      <c r="H856" s="12">
        <v>47.466666666666697</v>
      </c>
      <c r="I856" s="13">
        <v>9.9526685393258401</v>
      </c>
      <c r="J856" s="12" t="s">
        <v>911</v>
      </c>
      <c r="K856" s="14">
        <v>296</v>
      </c>
      <c r="L856" s="14">
        <v>66</v>
      </c>
      <c r="M856" s="14">
        <v>152</v>
      </c>
      <c r="N856" s="12">
        <v>472.42</v>
      </c>
      <c r="O856" s="12" t="s">
        <v>911</v>
      </c>
      <c r="P856" s="12">
        <v>7.5995141921836401E-2</v>
      </c>
      <c r="Q856" s="12">
        <v>4.5319747076980901E-2</v>
      </c>
      <c r="R856" s="12">
        <v>0.717741935483871</v>
      </c>
      <c r="S856" s="14">
        <v>56</v>
      </c>
      <c r="T856" s="12">
        <v>5.6823020143801699</v>
      </c>
      <c r="U856" s="14">
        <v>231</v>
      </c>
      <c r="V856" s="14">
        <v>12</v>
      </c>
      <c r="W856" s="12">
        <v>6.6E-3</v>
      </c>
      <c r="X856" s="12">
        <v>5.6889020143801696</v>
      </c>
      <c r="Y856" s="14">
        <v>231</v>
      </c>
      <c r="Z856" s="14">
        <v>55</v>
      </c>
      <c r="AA856" s="12" t="s">
        <v>2371</v>
      </c>
    </row>
    <row r="857" spans="1:27" ht="14.25" x14ac:dyDescent="0.45">
      <c r="A857" s="12" t="s">
        <v>928</v>
      </c>
      <c r="B857" s="12" t="s">
        <v>1971</v>
      </c>
      <c r="C857" s="12" t="s">
        <v>1972</v>
      </c>
      <c r="D857" s="12" t="s">
        <v>1974</v>
      </c>
      <c r="E857" s="20">
        <v>27009</v>
      </c>
      <c r="F857" s="20">
        <v>44293</v>
      </c>
      <c r="G857" s="12">
        <v>2.4500000000000002</v>
      </c>
      <c r="H857" s="12">
        <v>8.93333333333333</v>
      </c>
      <c r="I857" s="13">
        <v>0.27425373134328401</v>
      </c>
      <c r="J857" s="12" t="s">
        <v>928</v>
      </c>
      <c r="K857" s="14">
        <v>1249</v>
      </c>
      <c r="L857" s="14">
        <v>1151</v>
      </c>
      <c r="M857" s="14">
        <v>1286</v>
      </c>
      <c r="N857" s="12">
        <v>2.4500000000000002</v>
      </c>
      <c r="O857" s="12" t="s">
        <v>928</v>
      </c>
      <c r="P857" s="12">
        <v>3.9411561260848201E-4</v>
      </c>
      <c r="Q857" s="12">
        <v>1.2488218300735E-3</v>
      </c>
      <c r="R857" s="12">
        <v>0.13508064516129001</v>
      </c>
      <c r="S857" s="14">
        <v>49</v>
      </c>
      <c r="T857" s="12">
        <v>9.2830699852412005E-2</v>
      </c>
      <c r="U857" s="14">
        <v>1308</v>
      </c>
      <c r="V857" s="14">
        <v>2</v>
      </c>
      <c r="W857" s="12">
        <v>5.5999999999999999E-3</v>
      </c>
      <c r="X857" s="12">
        <v>9.8430699852411999E-2</v>
      </c>
      <c r="Y857" s="14">
        <v>1308</v>
      </c>
      <c r="Z857" s="14">
        <v>48</v>
      </c>
      <c r="AA857" s="12" t="s">
        <v>2371</v>
      </c>
    </row>
    <row r="858" spans="1:27" ht="14.25" x14ac:dyDescent="0.45">
      <c r="A858" s="12" t="s">
        <v>939</v>
      </c>
      <c r="B858" s="12" t="s">
        <v>1971</v>
      </c>
      <c r="C858" s="12" t="s">
        <v>1972</v>
      </c>
      <c r="D858" s="12" t="s">
        <v>1975</v>
      </c>
      <c r="E858" s="20">
        <v>28097</v>
      </c>
      <c r="F858" s="20">
        <v>44099</v>
      </c>
      <c r="G858" s="12">
        <v>125.68</v>
      </c>
      <c r="H858" s="12">
        <v>15.4</v>
      </c>
      <c r="I858" s="13">
        <v>8.16103896103896</v>
      </c>
      <c r="J858" s="12" t="s">
        <v>939</v>
      </c>
      <c r="K858" s="14">
        <v>344</v>
      </c>
      <c r="L858" s="14">
        <v>492</v>
      </c>
      <c r="M858" s="14">
        <v>348</v>
      </c>
      <c r="N858" s="12">
        <v>125.68</v>
      </c>
      <c r="O858" s="12" t="s">
        <v>939</v>
      </c>
      <c r="P858" s="12">
        <v>2.02173266092384E-2</v>
      </c>
      <c r="Q858" s="12">
        <v>3.7161513029220702E-2</v>
      </c>
      <c r="R858" s="12">
        <v>0.23286290322580599</v>
      </c>
      <c r="S858" s="14">
        <v>46</v>
      </c>
      <c r="T858" s="12">
        <v>3.08074431217273</v>
      </c>
      <c r="U858" s="14">
        <v>370</v>
      </c>
      <c r="V858" s="14">
        <v>10</v>
      </c>
      <c r="W858" s="12">
        <v>6.4000000000000003E-3</v>
      </c>
      <c r="X858" s="12">
        <v>3.0871443121727302</v>
      </c>
      <c r="Y858" s="14">
        <v>370</v>
      </c>
      <c r="Z858" s="14">
        <v>45</v>
      </c>
      <c r="AA858" s="12" t="s">
        <v>2371</v>
      </c>
    </row>
    <row r="859" spans="1:27" ht="14.25" x14ac:dyDescent="0.45">
      <c r="A859" s="12" t="s">
        <v>972</v>
      </c>
      <c r="B859" s="12" t="s">
        <v>1971</v>
      </c>
      <c r="C859" s="12" t="s">
        <v>1972</v>
      </c>
      <c r="D859" s="12" t="s">
        <v>1993</v>
      </c>
      <c r="E859" s="20">
        <v>28004</v>
      </c>
      <c r="F859" s="20">
        <v>44271</v>
      </c>
      <c r="G859" s="12">
        <v>15.68</v>
      </c>
      <c r="H859" s="12">
        <v>9.6666666666666696</v>
      </c>
      <c r="I859" s="13">
        <v>1.62206896551724</v>
      </c>
      <c r="J859" s="12" t="s">
        <v>972</v>
      </c>
      <c r="K859" s="14">
        <v>716</v>
      </c>
      <c r="L859" s="14">
        <v>1004</v>
      </c>
      <c r="M859" s="14">
        <v>760</v>
      </c>
      <c r="N859" s="12">
        <v>15.68</v>
      </c>
      <c r="O859" s="12" t="s">
        <v>972</v>
      </c>
      <c r="P859" s="12">
        <v>2.5223399206942901E-3</v>
      </c>
      <c r="Q859" s="12">
        <v>7.3861351825588702E-3</v>
      </c>
      <c r="R859" s="12">
        <v>0.14616935483870999</v>
      </c>
      <c r="S859" s="14">
        <v>46</v>
      </c>
      <c r="T859" s="12">
        <v>0.55622119593596497</v>
      </c>
      <c r="U859" s="14">
        <v>765</v>
      </c>
      <c r="V859" s="14">
        <v>2</v>
      </c>
      <c r="W859" s="12">
        <v>5.5999999999999999E-3</v>
      </c>
      <c r="X859" s="12">
        <v>0.56182119593596502</v>
      </c>
      <c r="Y859" s="14">
        <v>766</v>
      </c>
      <c r="Z859" s="14">
        <v>45</v>
      </c>
      <c r="AA859" s="12" t="s">
        <v>2371</v>
      </c>
    </row>
    <row r="860" spans="1:27" ht="14.25" x14ac:dyDescent="0.45">
      <c r="A860" s="12" t="s">
        <v>992</v>
      </c>
      <c r="B860" s="12" t="s">
        <v>1971</v>
      </c>
      <c r="C860" s="12" t="s">
        <v>1972</v>
      </c>
      <c r="D860" s="12" t="s">
        <v>1974</v>
      </c>
      <c r="E860" s="20">
        <v>25764</v>
      </c>
      <c r="F860" s="20">
        <v>44264</v>
      </c>
      <c r="G860" s="12">
        <v>11.68</v>
      </c>
      <c r="H860" s="12">
        <v>9.9</v>
      </c>
      <c r="I860" s="13">
        <v>1.1797979797979801</v>
      </c>
      <c r="J860" s="12" t="s">
        <v>992</v>
      </c>
      <c r="K860" s="14">
        <v>772</v>
      </c>
      <c r="L860" s="14">
        <v>969</v>
      </c>
      <c r="M860" s="14">
        <v>816</v>
      </c>
      <c r="N860" s="12">
        <v>11.68</v>
      </c>
      <c r="O860" s="12" t="s">
        <v>992</v>
      </c>
      <c r="P860" s="12">
        <v>1.87888585929268E-3</v>
      </c>
      <c r="Q860" s="12">
        <v>5.3722422117354202E-3</v>
      </c>
      <c r="R860" s="12">
        <v>0.149697580645161</v>
      </c>
      <c r="S860" s="14">
        <v>52</v>
      </c>
      <c r="T860" s="12">
        <v>0.40622335795693998</v>
      </c>
      <c r="U860" s="14">
        <v>823</v>
      </c>
      <c r="V860" s="14">
        <v>2</v>
      </c>
      <c r="W860" s="12">
        <v>5.5999999999999999E-3</v>
      </c>
      <c r="X860" s="12">
        <v>0.41182335795693997</v>
      </c>
      <c r="Y860" s="14">
        <v>823</v>
      </c>
      <c r="Z860" s="14">
        <v>52</v>
      </c>
      <c r="AA860" s="12" t="s">
        <v>2371</v>
      </c>
    </row>
    <row r="861" spans="1:27" ht="14.25" x14ac:dyDescent="0.45">
      <c r="A861" s="12" t="s">
        <v>1025</v>
      </c>
      <c r="B861" s="12" t="s">
        <v>1971</v>
      </c>
      <c r="C861" s="12" t="s">
        <v>1972</v>
      </c>
      <c r="D861" s="12" t="s">
        <v>1993</v>
      </c>
      <c r="E861" s="20">
        <v>21632</v>
      </c>
      <c r="F861" s="20">
        <v>43087</v>
      </c>
      <c r="G861" s="12">
        <v>315.85000000000002</v>
      </c>
      <c r="H861" s="12">
        <v>49.133333333333297</v>
      </c>
      <c r="I861" s="13">
        <v>6.4284260515603799</v>
      </c>
      <c r="J861" s="12" t="s">
        <v>1025</v>
      </c>
      <c r="K861" s="14">
        <v>397</v>
      </c>
      <c r="L861" s="14">
        <v>63</v>
      </c>
      <c r="M861" s="14">
        <v>211</v>
      </c>
      <c r="N861" s="12">
        <v>315.85000000000002</v>
      </c>
      <c r="O861" s="12" t="s">
        <v>1025</v>
      </c>
      <c r="P861" s="12">
        <v>5.0808741323424098E-2</v>
      </c>
      <c r="Q861" s="12">
        <v>2.9272012989143999E-2</v>
      </c>
      <c r="R861" s="12">
        <v>0.74294354838709697</v>
      </c>
      <c r="S861" s="14">
        <v>63</v>
      </c>
      <c r="T861" s="12">
        <v>3.7348286114499101</v>
      </c>
      <c r="U861" s="14">
        <v>326</v>
      </c>
      <c r="V861" s="14">
        <v>4</v>
      </c>
      <c r="W861" s="12">
        <v>5.7999999999999996E-3</v>
      </c>
      <c r="X861" s="12">
        <v>3.7406286114499099</v>
      </c>
      <c r="Y861" s="14">
        <v>326</v>
      </c>
      <c r="Z861" s="14">
        <v>63</v>
      </c>
      <c r="AA861" s="12" t="s">
        <v>2371</v>
      </c>
    </row>
    <row r="862" spans="1:27" ht="14.25" x14ac:dyDescent="0.45">
      <c r="A862" s="12" t="s">
        <v>1086</v>
      </c>
      <c r="B862" s="12" t="s">
        <v>1971</v>
      </c>
      <c r="C862" s="12" t="s">
        <v>1972</v>
      </c>
      <c r="D862" s="12" t="s">
        <v>1975</v>
      </c>
      <c r="E862" s="20">
        <v>26090</v>
      </c>
      <c r="F862" s="20">
        <v>44287</v>
      </c>
      <c r="G862" s="12">
        <v>50.86</v>
      </c>
      <c r="H862" s="12">
        <v>9.1333333333333293</v>
      </c>
      <c r="I862" s="13">
        <v>5.5686131386861302</v>
      </c>
      <c r="J862" s="12" t="s">
        <v>1086</v>
      </c>
      <c r="K862" s="14">
        <v>421</v>
      </c>
      <c r="L862" s="14">
        <v>1119</v>
      </c>
      <c r="M862" s="14">
        <v>484</v>
      </c>
      <c r="N862" s="12">
        <v>50.86</v>
      </c>
      <c r="O862" s="12" t="s">
        <v>1086</v>
      </c>
      <c r="P862" s="12">
        <v>8.1815183907213897E-3</v>
      </c>
      <c r="Q862" s="12">
        <v>2.5356831488723801E-2</v>
      </c>
      <c r="R862" s="12">
        <v>0.13810483870967699</v>
      </c>
      <c r="S862" s="14">
        <v>51</v>
      </c>
      <c r="T862" s="12">
        <v>1.89160890769729</v>
      </c>
      <c r="U862" s="14">
        <v>446</v>
      </c>
      <c r="V862" s="14">
        <v>4</v>
      </c>
      <c r="W862" s="12">
        <v>5.7999999999999996E-3</v>
      </c>
      <c r="X862" s="12">
        <v>1.89740890769729</v>
      </c>
      <c r="Y862" s="14">
        <v>446</v>
      </c>
      <c r="Z862" s="14">
        <v>51</v>
      </c>
      <c r="AA862" s="12" t="s">
        <v>2371</v>
      </c>
    </row>
    <row r="863" spans="1:27" ht="14.25" x14ac:dyDescent="0.45">
      <c r="A863" s="12" t="s">
        <v>1094</v>
      </c>
      <c r="B863" s="12" t="s">
        <v>1971</v>
      </c>
      <c r="C863" s="12" t="s">
        <v>1972</v>
      </c>
      <c r="D863" s="12" t="s">
        <v>1974</v>
      </c>
      <c r="E863" s="20">
        <v>25467</v>
      </c>
      <c r="F863" s="20">
        <v>44280</v>
      </c>
      <c r="G863" s="12">
        <v>3.71</v>
      </c>
      <c r="H863" s="12">
        <v>9.3666666666666707</v>
      </c>
      <c r="I863" s="13">
        <v>0.396085409252669</v>
      </c>
      <c r="J863" s="12" t="s">
        <v>1094</v>
      </c>
      <c r="K863" s="14">
        <v>1142</v>
      </c>
      <c r="L863" s="14">
        <v>1063</v>
      </c>
      <c r="M863" s="14">
        <v>1147</v>
      </c>
      <c r="N863" s="12">
        <v>3.71</v>
      </c>
      <c r="O863" s="12" t="s">
        <v>1094</v>
      </c>
      <c r="P863" s="12">
        <v>5.9680364194998701E-4</v>
      </c>
      <c r="Q863" s="12">
        <v>1.80358569134357E-3</v>
      </c>
      <c r="R863" s="12">
        <v>0.141633064516129</v>
      </c>
      <c r="S863" s="14">
        <v>53</v>
      </c>
      <c r="T863" s="12">
        <v>0.135104242282098</v>
      </c>
      <c r="U863" s="14">
        <v>1194</v>
      </c>
      <c r="V863" s="14">
        <v>1</v>
      </c>
      <c r="W863" s="12">
        <v>5.4999999999999997E-3</v>
      </c>
      <c r="X863" s="12">
        <v>0.140604242282098</v>
      </c>
      <c r="Y863" s="14">
        <v>1194</v>
      </c>
      <c r="Z863" s="14">
        <v>52</v>
      </c>
      <c r="AA863" s="12" t="s">
        <v>2371</v>
      </c>
    </row>
    <row r="864" spans="1:27" ht="14.25" x14ac:dyDescent="0.45">
      <c r="A864" s="12" t="s">
        <v>1095</v>
      </c>
      <c r="B864" s="12" t="s">
        <v>1971</v>
      </c>
      <c r="C864" s="12" t="s">
        <v>1972</v>
      </c>
      <c r="D864" s="12" t="s">
        <v>2026</v>
      </c>
      <c r="E864" s="20">
        <v>27604</v>
      </c>
      <c r="F864" s="20">
        <v>44301</v>
      </c>
      <c r="G864" s="12">
        <v>0.1</v>
      </c>
      <c r="H864" s="12">
        <v>8.6666666666666696</v>
      </c>
      <c r="I864" s="13">
        <v>1.1538461538461499E-2</v>
      </c>
      <c r="J864" s="12" t="s">
        <v>1095</v>
      </c>
      <c r="K864" s="14">
        <v>1733</v>
      </c>
      <c r="L864" s="14">
        <v>1179</v>
      </c>
      <c r="M864" s="14">
        <v>1833</v>
      </c>
      <c r="N864" s="12">
        <v>0.1</v>
      </c>
      <c r="O864" s="12" t="s">
        <v>1095</v>
      </c>
      <c r="P864" s="12">
        <v>1.6086351535040099E-5</v>
      </c>
      <c r="Q864" s="12">
        <v>5.2540698659293398E-5</v>
      </c>
      <c r="R864" s="12">
        <v>0.13104838709677399</v>
      </c>
      <c r="S864" s="14">
        <v>47</v>
      </c>
      <c r="T864" s="12">
        <v>3.88703184876984E-3</v>
      </c>
      <c r="U864" s="14">
        <v>1841</v>
      </c>
      <c r="V864" s="14">
        <v>1</v>
      </c>
      <c r="W864" s="12">
        <v>5.4999999999999997E-3</v>
      </c>
      <c r="X864" s="12">
        <v>9.3870318487698397E-3</v>
      </c>
      <c r="Y864" s="14">
        <v>1841</v>
      </c>
      <c r="Z864" s="14">
        <v>46</v>
      </c>
      <c r="AA864" s="12" t="s">
        <v>2371</v>
      </c>
    </row>
    <row r="865" spans="1:27" ht="14.25" x14ac:dyDescent="0.45">
      <c r="A865" s="12" t="s">
        <v>1108</v>
      </c>
      <c r="B865" s="12" t="s">
        <v>1971</v>
      </c>
      <c r="C865" s="12" t="s">
        <v>1972</v>
      </c>
      <c r="D865" s="12" t="s">
        <v>1978</v>
      </c>
      <c r="E865" s="20">
        <v>23519</v>
      </c>
      <c r="F865" s="20">
        <v>44266</v>
      </c>
      <c r="G865" s="12">
        <v>19.78</v>
      </c>
      <c r="H865" s="12">
        <v>9.8333333333333304</v>
      </c>
      <c r="I865" s="13">
        <v>2.01152542372881</v>
      </c>
      <c r="J865" s="12" t="s">
        <v>1108</v>
      </c>
      <c r="K865" s="14">
        <v>655</v>
      </c>
      <c r="L865" s="14">
        <v>982</v>
      </c>
      <c r="M865" s="14">
        <v>724</v>
      </c>
      <c r="N865" s="12">
        <v>19.78</v>
      </c>
      <c r="O865" s="12" t="s">
        <v>1108</v>
      </c>
      <c r="P865" s="12">
        <v>3.18188033363093E-3</v>
      </c>
      <c r="Q865" s="12">
        <v>9.1595357649157192E-3</v>
      </c>
      <c r="R865" s="12">
        <v>0.148689516129032</v>
      </c>
      <c r="S865" s="14">
        <v>58</v>
      </c>
      <c r="T865" s="12">
        <v>0.691791497818393</v>
      </c>
      <c r="U865" s="14">
        <v>716</v>
      </c>
      <c r="V865" s="14">
        <v>5</v>
      </c>
      <c r="W865" s="12">
        <v>5.8999999999999999E-3</v>
      </c>
      <c r="X865" s="12">
        <v>0.69769149781839301</v>
      </c>
      <c r="Y865" s="14">
        <v>717</v>
      </c>
      <c r="Z865" s="14">
        <v>58</v>
      </c>
      <c r="AA865" s="12" t="s">
        <v>2371</v>
      </c>
    </row>
    <row r="866" spans="1:27" ht="14.25" x14ac:dyDescent="0.45">
      <c r="A866" s="12" t="s">
        <v>1303</v>
      </c>
      <c r="B866" s="12" t="s">
        <v>1971</v>
      </c>
      <c r="C866" s="12" t="s">
        <v>1972</v>
      </c>
      <c r="D866" s="12" t="s">
        <v>2020</v>
      </c>
      <c r="E866" s="20">
        <v>27522</v>
      </c>
      <c r="F866" s="20">
        <v>44371</v>
      </c>
      <c r="G866" s="12">
        <v>3.14</v>
      </c>
      <c r="H866" s="12">
        <v>6.3333333333333304</v>
      </c>
      <c r="I866" s="13">
        <v>0.495789473684211</v>
      </c>
      <c r="J866" s="12" t="s">
        <v>1303</v>
      </c>
      <c r="K866" s="14">
        <v>1055</v>
      </c>
      <c r="L866" s="14">
        <v>1557</v>
      </c>
      <c r="M866" s="14">
        <v>1212</v>
      </c>
      <c r="N866" s="12">
        <v>3.14</v>
      </c>
      <c r="O866" s="12" t="s">
        <v>1303</v>
      </c>
      <c r="P866" s="12">
        <v>5.0511143820025899E-4</v>
      </c>
      <c r="Q866" s="12">
        <v>2.2575908623919498E-3</v>
      </c>
      <c r="R866" s="12">
        <v>9.5766129032257993E-2</v>
      </c>
      <c r="S866" s="14">
        <v>47</v>
      </c>
      <c r="T866" s="12">
        <v>0.16004110783200701</v>
      </c>
      <c r="U866" s="14">
        <v>1130</v>
      </c>
      <c r="V866" s="14">
        <v>2</v>
      </c>
      <c r="W866" s="12">
        <v>5.5999999999999999E-3</v>
      </c>
      <c r="X866" s="12">
        <v>0.165641107832007</v>
      </c>
      <c r="Y866" s="14">
        <v>1130</v>
      </c>
      <c r="Z866" s="14">
        <v>47</v>
      </c>
      <c r="AA866" s="12" t="s">
        <v>2371</v>
      </c>
    </row>
    <row r="867" spans="1:27" ht="14.25" x14ac:dyDescent="0.45">
      <c r="A867" s="12" t="s">
        <v>1322</v>
      </c>
      <c r="B867" s="12" t="s">
        <v>1971</v>
      </c>
      <c r="C867" s="12" t="s">
        <v>1972</v>
      </c>
      <c r="D867" s="12" t="s">
        <v>1974</v>
      </c>
      <c r="E867" s="20">
        <v>26055</v>
      </c>
      <c r="F867" s="20">
        <v>44336</v>
      </c>
      <c r="G867" s="12">
        <v>34.75</v>
      </c>
      <c r="H867" s="12">
        <v>7.5</v>
      </c>
      <c r="I867" s="13">
        <v>4.6333333333333302</v>
      </c>
      <c r="J867" s="12" t="s">
        <v>1322</v>
      </c>
      <c r="K867" s="14">
        <v>461</v>
      </c>
      <c r="L867" s="14">
        <v>1377</v>
      </c>
      <c r="M867" s="14">
        <v>545</v>
      </c>
      <c r="N867" s="12">
        <v>34.75</v>
      </c>
      <c r="O867" s="12" t="s">
        <v>1322</v>
      </c>
      <c r="P867" s="12">
        <v>5.5900071584264301E-3</v>
      </c>
      <c r="Q867" s="12">
        <v>2.10980094394096E-2</v>
      </c>
      <c r="R867" s="12">
        <v>0.113407258064516</v>
      </c>
      <c r="S867" s="14">
        <v>51</v>
      </c>
      <c r="T867" s="12">
        <v>1.5282508584040899</v>
      </c>
      <c r="U867" s="14">
        <v>493</v>
      </c>
      <c r="V867" s="14">
        <v>3</v>
      </c>
      <c r="W867" s="12">
        <v>5.7000000000000002E-3</v>
      </c>
      <c r="X867" s="12">
        <v>1.53395085840409</v>
      </c>
      <c r="Y867" s="14">
        <v>493</v>
      </c>
      <c r="Z867" s="14">
        <v>51</v>
      </c>
      <c r="AA867" s="12" t="s">
        <v>2371</v>
      </c>
    </row>
    <row r="868" spans="1:27" ht="14.25" x14ac:dyDescent="0.45">
      <c r="A868" s="12" t="s">
        <v>1340</v>
      </c>
      <c r="B868" s="12" t="s">
        <v>1971</v>
      </c>
      <c r="C868" s="12" t="s">
        <v>1972</v>
      </c>
      <c r="D868" s="12" t="s">
        <v>2020</v>
      </c>
      <c r="E868" s="20">
        <v>23489</v>
      </c>
      <c r="F868" s="20">
        <v>44371</v>
      </c>
      <c r="G868" s="12">
        <v>0.8</v>
      </c>
      <c r="H868" s="12">
        <v>6.3333333333333304</v>
      </c>
      <c r="I868" s="13">
        <v>0.12631578947368399</v>
      </c>
      <c r="J868" s="12" t="s">
        <v>1340</v>
      </c>
      <c r="K868" s="14">
        <v>1447</v>
      </c>
      <c r="L868" s="14">
        <v>1557</v>
      </c>
      <c r="M868" s="14">
        <v>1596</v>
      </c>
      <c r="N868" s="12">
        <v>0.8</v>
      </c>
      <c r="O868" s="12" t="s">
        <v>1340</v>
      </c>
      <c r="P868" s="12">
        <v>1.2869081228032101E-4</v>
      </c>
      <c r="Q868" s="12">
        <v>5.7518238532279096E-4</v>
      </c>
      <c r="R868" s="12">
        <v>9.5766129032257993E-2</v>
      </c>
      <c r="S868" s="14">
        <v>58</v>
      </c>
      <c r="T868" s="12">
        <v>4.0774804543186403E-2</v>
      </c>
      <c r="U868" s="14">
        <v>1556</v>
      </c>
      <c r="V868" s="14">
        <v>1</v>
      </c>
      <c r="W868" s="12">
        <v>5.4999999999999997E-3</v>
      </c>
      <c r="X868" s="12">
        <v>4.6274804543186401E-2</v>
      </c>
      <c r="Y868" s="14">
        <v>1556</v>
      </c>
      <c r="Z868" s="14">
        <v>58</v>
      </c>
      <c r="AA868" s="12" t="s">
        <v>2371</v>
      </c>
    </row>
    <row r="869" spans="1:27" ht="14.25" x14ac:dyDescent="0.45">
      <c r="A869" s="12" t="s">
        <v>1343</v>
      </c>
      <c r="B869" s="12" t="s">
        <v>1971</v>
      </c>
      <c r="C869" s="12" t="s">
        <v>1972</v>
      </c>
      <c r="D869" s="12" t="s">
        <v>1997</v>
      </c>
      <c r="E869" s="20">
        <v>24024</v>
      </c>
      <c r="F869" s="20">
        <v>44370</v>
      </c>
      <c r="G869" s="12">
        <v>6.69</v>
      </c>
      <c r="H869" s="12">
        <v>6.3666666666666698</v>
      </c>
      <c r="I869" s="13">
        <v>1.0507853403141401</v>
      </c>
      <c r="J869" s="12" t="s">
        <v>1343</v>
      </c>
      <c r="K869" s="14">
        <v>807</v>
      </c>
      <c r="L869" s="14">
        <v>1504</v>
      </c>
      <c r="M869" s="14">
        <v>935</v>
      </c>
      <c r="N869" s="12">
        <v>6.69</v>
      </c>
      <c r="O869" s="12" t="s">
        <v>1343</v>
      </c>
      <c r="P869" s="12">
        <v>1.0761769176941801E-3</v>
      </c>
      <c r="Q869" s="12">
        <v>4.7847796464908299E-3</v>
      </c>
      <c r="R869" s="12">
        <v>9.6270161290322606E-2</v>
      </c>
      <c r="S869" s="14">
        <v>57</v>
      </c>
      <c r="T869" s="12">
        <v>0.33940536231920898</v>
      </c>
      <c r="U869" s="14">
        <v>883</v>
      </c>
      <c r="V869" s="14">
        <v>1</v>
      </c>
      <c r="W869" s="12">
        <v>5.4999999999999997E-3</v>
      </c>
      <c r="X869" s="12">
        <v>0.34490536231920899</v>
      </c>
      <c r="Y869" s="14">
        <v>883</v>
      </c>
      <c r="Z869" s="14">
        <v>56</v>
      </c>
      <c r="AA869" s="12" t="s">
        <v>2371</v>
      </c>
    </row>
    <row r="870" spans="1:27" ht="14.25" x14ac:dyDescent="0.45">
      <c r="A870" s="12" t="s">
        <v>1366</v>
      </c>
      <c r="B870" s="12" t="s">
        <v>1971</v>
      </c>
      <c r="C870" s="12" t="s">
        <v>1972</v>
      </c>
      <c r="D870" s="12" t="s">
        <v>1973</v>
      </c>
      <c r="E870" s="20">
        <v>20373</v>
      </c>
      <c r="F870" s="20">
        <v>44334</v>
      </c>
      <c r="G870" s="12">
        <v>0.98</v>
      </c>
      <c r="H870" s="12">
        <v>7.56666666666667</v>
      </c>
      <c r="I870" s="13">
        <v>0.12951541850220299</v>
      </c>
      <c r="J870" s="12" t="s">
        <v>1366</v>
      </c>
      <c r="K870" s="14">
        <v>1442</v>
      </c>
      <c r="L870" s="14">
        <v>1269</v>
      </c>
      <c r="M870" s="14">
        <v>1564</v>
      </c>
      <c r="N870" s="12">
        <v>0.98</v>
      </c>
      <c r="O870" s="12" t="s">
        <v>1366</v>
      </c>
      <c r="P870" s="12">
        <v>1.5764624504339299E-4</v>
      </c>
      <c r="Q870" s="12">
        <v>5.8975198318889598E-4</v>
      </c>
      <c r="R870" s="12">
        <v>0.114415322580645</v>
      </c>
      <c r="S870" s="14">
        <v>67</v>
      </c>
      <c r="T870" s="12">
        <v>4.2771233138433298E-2</v>
      </c>
      <c r="U870" s="14">
        <v>1549</v>
      </c>
      <c r="V870" s="14">
        <v>1</v>
      </c>
      <c r="W870" s="12">
        <v>5.4999999999999997E-3</v>
      </c>
      <c r="X870" s="12">
        <v>4.8271233138433303E-2</v>
      </c>
      <c r="Y870" s="14">
        <v>1550</v>
      </c>
      <c r="Z870" s="14">
        <v>66</v>
      </c>
      <c r="AA870" s="12" t="s">
        <v>2371</v>
      </c>
    </row>
    <row r="871" spans="1:27" ht="14.25" x14ac:dyDescent="0.45">
      <c r="A871" s="12" t="s">
        <v>1385</v>
      </c>
      <c r="B871" s="12" t="s">
        <v>1971</v>
      </c>
      <c r="C871" s="12" t="s">
        <v>1972</v>
      </c>
      <c r="D871" s="12" t="s">
        <v>1990</v>
      </c>
      <c r="E871" s="20">
        <v>27597</v>
      </c>
      <c r="F871" s="20">
        <v>44307</v>
      </c>
      <c r="G871" s="12">
        <v>0.12</v>
      </c>
      <c r="H871" s="12">
        <v>8.4666666666666703</v>
      </c>
      <c r="I871" s="13">
        <v>1.41732283464567E-2</v>
      </c>
      <c r="J871" s="12" t="s">
        <v>1385</v>
      </c>
      <c r="K871" s="14">
        <v>1715</v>
      </c>
      <c r="L871" s="14">
        <v>1215</v>
      </c>
      <c r="M871" s="14">
        <v>1818</v>
      </c>
      <c r="N871" s="12">
        <v>0.12</v>
      </c>
      <c r="O871" s="12" t="s">
        <v>1385</v>
      </c>
      <c r="P871" s="12">
        <v>1.9303621842048101E-5</v>
      </c>
      <c r="Q871" s="12">
        <v>6.4538181030313106E-5</v>
      </c>
      <c r="R871" s="12">
        <v>0.12802419354838701</v>
      </c>
      <c r="S871" s="14">
        <v>47</v>
      </c>
      <c r="T871" s="12">
        <v>4.7575221334713704E-3</v>
      </c>
      <c r="U871" s="14">
        <v>1822</v>
      </c>
      <c r="V871" s="14">
        <v>1</v>
      </c>
      <c r="W871" s="12">
        <v>5.4999999999999997E-3</v>
      </c>
      <c r="X871" s="12">
        <v>1.02575221334714E-2</v>
      </c>
      <c r="Y871" s="14">
        <v>1822</v>
      </c>
      <c r="Z871" s="14">
        <v>46</v>
      </c>
      <c r="AA871" s="12" t="s">
        <v>2371</v>
      </c>
    </row>
    <row r="872" spans="1:27" ht="14.25" x14ac:dyDescent="0.45">
      <c r="A872" s="12" t="s">
        <v>1411</v>
      </c>
      <c r="B872" s="12" t="s">
        <v>1971</v>
      </c>
      <c r="C872" s="12" t="s">
        <v>1972</v>
      </c>
      <c r="D872" s="12" t="s">
        <v>1974</v>
      </c>
      <c r="E872" s="20">
        <v>28069</v>
      </c>
      <c r="F872" s="20">
        <v>44335</v>
      </c>
      <c r="G872" s="12">
        <v>0.31</v>
      </c>
      <c r="H872" s="12">
        <v>7.5333333333333297</v>
      </c>
      <c r="I872" s="13">
        <v>4.1150442477876102E-2</v>
      </c>
      <c r="J872" s="12" t="s">
        <v>1411</v>
      </c>
      <c r="K872" s="14">
        <v>1627</v>
      </c>
      <c r="L872" s="14">
        <v>1332</v>
      </c>
      <c r="M872" s="14">
        <v>1735</v>
      </c>
      <c r="N872" s="12">
        <v>0.31</v>
      </c>
      <c r="O872" s="12" t="s">
        <v>1411</v>
      </c>
      <c r="P872" s="12">
        <v>4.9867689758624297E-5</v>
      </c>
      <c r="Q872" s="12">
        <v>1.8737965982031199E-4</v>
      </c>
      <c r="R872" s="12">
        <v>0.113911290322581</v>
      </c>
      <c r="S872" s="14">
        <v>46</v>
      </c>
      <c r="T872" s="12">
        <v>1.35812671047179E-2</v>
      </c>
      <c r="U872" s="14">
        <v>1727</v>
      </c>
      <c r="V872" s="14">
        <v>1</v>
      </c>
      <c r="W872" s="12">
        <v>5.4999999999999997E-3</v>
      </c>
      <c r="X872" s="12">
        <v>1.90812671047179E-2</v>
      </c>
      <c r="Y872" s="14">
        <v>1727</v>
      </c>
      <c r="Z872" s="14">
        <v>45</v>
      </c>
      <c r="AA872" s="12" t="s">
        <v>2371</v>
      </c>
    </row>
    <row r="873" spans="1:27" ht="14.25" x14ac:dyDescent="0.45">
      <c r="A873" s="12" t="s">
        <v>1433</v>
      </c>
      <c r="B873" s="12" t="s">
        <v>1971</v>
      </c>
      <c r="C873" s="12" t="s">
        <v>1972</v>
      </c>
      <c r="D873" s="12" t="s">
        <v>1974</v>
      </c>
      <c r="E873" s="20">
        <v>27209</v>
      </c>
      <c r="F873" s="20">
        <v>44371</v>
      </c>
      <c r="G873" s="12">
        <v>3.23</v>
      </c>
      <c r="H873" s="12">
        <v>6.3333333333333304</v>
      </c>
      <c r="I873" s="13">
        <v>0.51</v>
      </c>
      <c r="J873" s="12" t="s">
        <v>1433</v>
      </c>
      <c r="K873" s="14">
        <v>1040</v>
      </c>
      <c r="L873" s="14">
        <v>1557</v>
      </c>
      <c r="M873" s="14">
        <v>1200</v>
      </c>
      <c r="N873" s="12">
        <v>3.23</v>
      </c>
      <c r="O873" s="12" t="s">
        <v>1433</v>
      </c>
      <c r="P873" s="12">
        <v>5.1958915458179505E-4</v>
      </c>
      <c r="Q873" s="12">
        <v>2.3222988807407698E-3</v>
      </c>
      <c r="R873" s="12">
        <v>9.5766129032257993E-2</v>
      </c>
      <c r="S873" s="14">
        <v>48</v>
      </c>
      <c r="T873" s="12">
        <v>0.164628273343115</v>
      </c>
      <c r="U873" s="14">
        <v>1121</v>
      </c>
      <c r="V873" s="14">
        <v>2</v>
      </c>
      <c r="W873" s="12">
        <v>5.5999999999999999E-3</v>
      </c>
      <c r="X873" s="12">
        <v>0.17022827334311499</v>
      </c>
      <c r="Y873" s="14">
        <v>1121</v>
      </c>
      <c r="Z873" s="14">
        <v>48</v>
      </c>
      <c r="AA873" s="12" t="s">
        <v>2371</v>
      </c>
    </row>
    <row r="874" spans="1:27" ht="14.25" x14ac:dyDescent="0.45">
      <c r="A874" s="12" t="s">
        <v>1446</v>
      </c>
      <c r="B874" s="12" t="s">
        <v>1971</v>
      </c>
      <c r="C874" s="12" t="s">
        <v>1972</v>
      </c>
      <c r="D874" s="12" t="s">
        <v>1993</v>
      </c>
      <c r="E874" s="20">
        <v>26309</v>
      </c>
      <c r="F874" s="20">
        <v>44358</v>
      </c>
      <c r="G874" s="12">
        <v>3</v>
      </c>
      <c r="H874" s="12">
        <v>6.7666666666666702</v>
      </c>
      <c r="I874" s="13">
        <v>0.44334975369458102</v>
      </c>
      <c r="J874" s="12" t="s">
        <v>1446</v>
      </c>
      <c r="K874" s="14">
        <v>1105</v>
      </c>
      <c r="L874" s="14">
        <v>1491</v>
      </c>
      <c r="M874" s="14">
        <v>1221</v>
      </c>
      <c r="N874" s="12">
        <v>3</v>
      </c>
      <c r="O874" s="12" t="s">
        <v>1446</v>
      </c>
      <c r="P874" s="12">
        <v>4.8259054605120298E-4</v>
      </c>
      <c r="Q874" s="12">
        <v>2.01880517016004E-3</v>
      </c>
      <c r="R874" s="12">
        <v>0.102318548387097</v>
      </c>
      <c r="S874" s="14">
        <v>50</v>
      </c>
      <c r="T874" s="12">
        <v>0.144272468611923</v>
      </c>
      <c r="U874" s="14">
        <v>1175</v>
      </c>
      <c r="V874" s="14">
        <v>1</v>
      </c>
      <c r="W874" s="12">
        <v>5.4999999999999997E-3</v>
      </c>
      <c r="X874" s="12">
        <v>0.149772468611923</v>
      </c>
      <c r="Y874" s="14">
        <v>1176</v>
      </c>
      <c r="Z874" s="14">
        <v>50</v>
      </c>
      <c r="AA874" s="12" t="s">
        <v>2371</v>
      </c>
    </row>
    <row r="875" spans="1:27" ht="14.25" x14ac:dyDescent="0.45">
      <c r="A875" s="12" t="s">
        <v>1480</v>
      </c>
      <c r="B875" s="12" t="s">
        <v>1971</v>
      </c>
      <c r="C875" s="12" t="s">
        <v>1972</v>
      </c>
      <c r="D875" s="12" t="s">
        <v>1974</v>
      </c>
      <c r="E875" s="20">
        <v>27979</v>
      </c>
      <c r="F875" s="20">
        <v>44336</v>
      </c>
      <c r="G875" s="12">
        <v>1.64</v>
      </c>
      <c r="H875" s="12">
        <v>7.5</v>
      </c>
      <c r="I875" s="13">
        <v>0.21866666666666701</v>
      </c>
      <c r="J875" s="12" t="s">
        <v>1480</v>
      </c>
      <c r="K875" s="14">
        <v>1322</v>
      </c>
      <c r="L875" s="14">
        <v>1377</v>
      </c>
      <c r="M875" s="14">
        <v>1463</v>
      </c>
      <c r="N875" s="12">
        <v>1.64</v>
      </c>
      <c r="O875" s="12" t="s">
        <v>1480</v>
      </c>
      <c r="P875" s="12">
        <v>2.6381616517465699E-4</v>
      </c>
      <c r="Q875" s="12">
        <v>9.9570461814767501E-4</v>
      </c>
      <c r="R875" s="12">
        <v>0.113407258064516</v>
      </c>
      <c r="S875" s="14">
        <v>46</v>
      </c>
      <c r="T875" s="12">
        <v>7.2124644828279294E-2</v>
      </c>
      <c r="U875" s="14">
        <v>1432</v>
      </c>
      <c r="V875" s="14">
        <v>1</v>
      </c>
      <c r="W875" s="12">
        <v>5.4999999999999997E-3</v>
      </c>
      <c r="X875" s="12">
        <v>7.7624644828279396E-2</v>
      </c>
      <c r="Y875" s="14">
        <v>1432</v>
      </c>
      <c r="Z875" s="14">
        <v>45</v>
      </c>
      <c r="AA875" s="12" t="s">
        <v>2371</v>
      </c>
    </row>
    <row r="876" spans="1:27" ht="14.25" x14ac:dyDescent="0.45">
      <c r="A876" s="12" t="s">
        <v>1492</v>
      </c>
      <c r="B876" s="12" t="s">
        <v>1971</v>
      </c>
      <c r="C876" s="12" t="s">
        <v>1972</v>
      </c>
      <c r="D876" s="12" t="s">
        <v>2020</v>
      </c>
      <c r="E876" s="20">
        <v>24588</v>
      </c>
      <c r="F876" s="20">
        <v>44336</v>
      </c>
      <c r="G876" s="12">
        <v>9.86</v>
      </c>
      <c r="H876" s="12">
        <v>7.5</v>
      </c>
      <c r="I876" s="13">
        <v>1.31466666666667</v>
      </c>
      <c r="J876" s="12" t="s">
        <v>1492</v>
      </c>
      <c r="K876" s="14">
        <v>749</v>
      </c>
      <c r="L876" s="14">
        <v>1377</v>
      </c>
      <c r="M876" s="14">
        <v>849</v>
      </c>
      <c r="N876" s="12">
        <v>9.86</v>
      </c>
      <c r="O876" s="12" t="s">
        <v>1492</v>
      </c>
      <c r="P876" s="12">
        <v>1.5861142613549501E-3</v>
      </c>
      <c r="Q876" s="12">
        <v>5.98637044813175E-3</v>
      </c>
      <c r="R876" s="12">
        <v>0.113407258064516</v>
      </c>
      <c r="S876" s="14">
        <v>55</v>
      </c>
      <c r="T876" s="12">
        <v>0.433627437809045</v>
      </c>
      <c r="U876" s="14">
        <v>804</v>
      </c>
      <c r="V876" s="14">
        <v>2</v>
      </c>
      <c r="W876" s="12">
        <v>5.5999999999999999E-3</v>
      </c>
      <c r="X876" s="12">
        <v>0.439227437809045</v>
      </c>
      <c r="Y876" s="14">
        <v>804</v>
      </c>
      <c r="Z876" s="14">
        <v>55</v>
      </c>
      <c r="AA876" s="12" t="s">
        <v>2371</v>
      </c>
    </row>
    <row r="877" spans="1:27" ht="14.25" x14ac:dyDescent="0.45">
      <c r="A877" s="12" t="s">
        <v>1493</v>
      </c>
      <c r="B877" s="12" t="s">
        <v>1971</v>
      </c>
      <c r="C877" s="12" t="s">
        <v>1972</v>
      </c>
      <c r="D877" s="12" t="s">
        <v>1974</v>
      </c>
      <c r="E877" s="20">
        <v>27251</v>
      </c>
      <c r="F877" s="20">
        <v>44335</v>
      </c>
      <c r="G877" s="12">
        <v>0.8</v>
      </c>
      <c r="H877" s="12">
        <v>7.5333333333333297</v>
      </c>
      <c r="I877" s="13">
        <v>0.106194690265487</v>
      </c>
      <c r="J877" s="12" t="s">
        <v>1493</v>
      </c>
      <c r="K877" s="14">
        <v>1475</v>
      </c>
      <c r="L877" s="14">
        <v>1332</v>
      </c>
      <c r="M877" s="14">
        <v>1596</v>
      </c>
      <c r="N877" s="12">
        <v>0.8</v>
      </c>
      <c r="O877" s="12" t="s">
        <v>1493</v>
      </c>
      <c r="P877" s="12">
        <v>1.2869081228032101E-4</v>
      </c>
      <c r="Q877" s="12">
        <v>4.8356041243951398E-4</v>
      </c>
      <c r="R877" s="12">
        <v>0.113911290322581</v>
      </c>
      <c r="S877" s="14">
        <v>48</v>
      </c>
      <c r="T877" s="12">
        <v>3.5048431237981702E-2</v>
      </c>
      <c r="U877" s="14">
        <v>1584</v>
      </c>
      <c r="V877" s="14">
        <v>1</v>
      </c>
      <c r="W877" s="12">
        <v>5.4999999999999997E-3</v>
      </c>
      <c r="X877" s="12">
        <v>4.05484312379817E-2</v>
      </c>
      <c r="Y877" s="14">
        <v>1584</v>
      </c>
      <c r="Z877" s="14">
        <v>47</v>
      </c>
      <c r="AA877" s="12" t="s">
        <v>2371</v>
      </c>
    </row>
    <row r="878" spans="1:27" ht="14.25" x14ac:dyDescent="0.45">
      <c r="A878" s="12" t="s">
        <v>1544</v>
      </c>
      <c r="B878" s="12" t="s">
        <v>1971</v>
      </c>
      <c r="C878" s="12" t="s">
        <v>1972</v>
      </c>
      <c r="D878" s="12" t="s">
        <v>2003</v>
      </c>
      <c r="E878" s="20">
        <v>26080</v>
      </c>
      <c r="F878" s="20">
        <v>44337</v>
      </c>
      <c r="G878" s="12">
        <v>2.1800000000000002</v>
      </c>
      <c r="H878" s="12">
        <v>7.4666666666666703</v>
      </c>
      <c r="I878" s="13">
        <v>0.29196428571428601</v>
      </c>
      <c r="J878" s="12" t="s">
        <v>1544</v>
      </c>
      <c r="K878" s="14">
        <v>1232</v>
      </c>
      <c r="L878" s="14">
        <v>1428</v>
      </c>
      <c r="M878" s="14">
        <v>1327</v>
      </c>
      <c r="N878" s="12">
        <v>2.1800000000000002</v>
      </c>
      <c r="O878" s="12" t="s">
        <v>1544</v>
      </c>
      <c r="P878" s="12">
        <v>3.50682463463874E-4</v>
      </c>
      <c r="Q878" s="12">
        <v>1.32946732143248E-3</v>
      </c>
      <c r="R878" s="12">
        <v>0.112903225806452</v>
      </c>
      <c r="S878" s="14">
        <v>51</v>
      </c>
      <c r="T878" s="12">
        <v>9.6242299969425099E-2</v>
      </c>
      <c r="U878" s="14">
        <v>1300</v>
      </c>
      <c r="V878" s="14">
        <v>1</v>
      </c>
      <c r="W878" s="12">
        <v>5.4999999999999997E-3</v>
      </c>
      <c r="X878" s="12">
        <v>0.10174229996942501</v>
      </c>
      <c r="Y878" s="14">
        <v>1300</v>
      </c>
      <c r="Z878" s="14">
        <v>51</v>
      </c>
      <c r="AA878" s="12" t="s">
        <v>2371</v>
      </c>
    </row>
    <row r="879" spans="1:27" ht="14.25" x14ac:dyDescent="0.45">
      <c r="A879" s="12" t="s">
        <v>1602</v>
      </c>
      <c r="B879" s="12" t="s">
        <v>1971</v>
      </c>
      <c r="C879" s="12" t="s">
        <v>1972</v>
      </c>
      <c r="D879" s="12" t="s">
        <v>2070</v>
      </c>
      <c r="E879" s="20">
        <v>20694</v>
      </c>
      <c r="F879" s="20">
        <v>43763</v>
      </c>
      <c r="G879" s="12">
        <v>12.05</v>
      </c>
      <c r="H879" s="12">
        <v>26.6</v>
      </c>
      <c r="I879" s="13">
        <v>0.45300751879699203</v>
      </c>
      <c r="J879" s="12" t="s">
        <v>1602</v>
      </c>
      <c r="K879" s="14">
        <v>1100</v>
      </c>
      <c r="L879" s="14">
        <v>345</v>
      </c>
      <c r="M879" s="14">
        <v>808</v>
      </c>
      <c r="N879" s="12">
        <v>12.05</v>
      </c>
      <c r="O879" s="12" t="s">
        <v>1602</v>
      </c>
      <c r="P879" s="12">
        <v>1.93840535997233E-3</v>
      </c>
      <c r="Q879" s="12">
        <v>2.0627820664106001E-3</v>
      </c>
      <c r="R879" s="12">
        <v>0.40221774193548399</v>
      </c>
      <c r="S879" s="14">
        <v>66</v>
      </c>
      <c r="T879" s="12">
        <v>0.20161408014962501</v>
      </c>
      <c r="U879" s="14">
        <v>1042</v>
      </c>
      <c r="V879" s="14">
        <v>1</v>
      </c>
      <c r="W879" s="12">
        <v>5.4999999999999997E-3</v>
      </c>
      <c r="X879" s="12">
        <v>0.20711408014962501</v>
      </c>
      <c r="Y879" s="14">
        <v>1042</v>
      </c>
      <c r="Z879" s="14">
        <v>65</v>
      </c>
      <c r="AA879" s="12" t="s">
        <v>2371</v>
      </c>
    </row>
    <row r="880" spans="1:27" ht="14.25" x14ac:dyDescent="0.45">
      <c r="A880" s="12" t="s">
        <v>1630</v>
      </c>
      <c r="B880" s="12" t="s">
        <v>1971</v>
      </c>
      <c r="C880" s="12" t="s">
        <v>1972</v>
      </c>
      <c r="D880" s="12" t="s">
        <v>1978</v>
      </c>
      <c r="E880" s="20">
        <v>26724</v>
      </c>
      <c r="F880" s="20">
        <v>44420</v>
      </c>
      <c r="G880" s="12">
        <v>0.12</v>
      </c>
      <c r="H880" s="12">
        <v>4.7</v>
      </c>
      <c r="I880" s="13">
        <v>2.5531914893616999E-2</v>
      </c>
      <c r="J880" s="12" t="s">
        <v>1630</v>
      </c>
      <c r="K880" s="14">
        <v>1670</v>
      </c>
      <c r="L880" s="14">
        <v>1792</v>
      </c>
      <c r="M880" s="14">
        <v>1818</v>
      </c>
      <c r="N880" s="12">
        <v>0.12</v>
      </c>
      <c r="O880" s="12" t="s">
        <v>1630</v>
      </c>
      <c r="P880" s="12">
        <v>1.9303621842048101E-5</v>
      </c>
      <c r="Q880" s="12">
        <v>1.16260269373756E-4</v>
      </c>
      <c r="R880" s="12">
        <v>7.1068548387096794E-2</v>
      </c>
      <c r="S880" s="14">
        <v>49</v>
      </c>
      <c r="T880" s="12">
        <v>7.9901526549365203E-3</v>
      </c>
      <c r="U880" s="14">
        <v>1775</v>
      </c>
      <c r="V880" s="14">
        <v>1</v>
      </c>
      <c r="W880" s="12">
        <v>5.4999999999999997E-3</v>
      </c>
      <c r="X880" s="12">
        <v>1.3490152654936499E-2</v>
      </c>
      <c r="Y880" s="14">
        <v>1775</v>
      </c>
      <c r="Z880" s="14">
        <v>49</v>
      </c>
      <c r="AA880" s="12" t="s">
        <v>2371</v>
      </c>
    </row>
    <row r="881" spans="1:27" ht="14.25" x14ac:dyDescent="0.45">
      <c r="A881" s="12" t="s">
        <v>1672</v>
      </c>
      <c r="B881" s="12" t="s">
        <v>1971</v>
      </c>
      <c r="C881" s="12" t="s">
        <v>1972</v>
      </c>
      <c r="D881" s="12" t="s">
        <v>1993</v>
      </c>
      <c r="E881" s="20">
        <v>26932</v>
      </c>
      <c r="F881" s="20">
        <v>44405</v>
      </c>
      <c r="G881" s="12">
        <v>0.59</v>
      </c>
      <c r="H881" s="12">
        <v>5.2</v>
      </c>
      <c r="I881" s="13">
        <v>0.113461538461538</v>
      </c>
      <c r="J881" s="12" t="s">
        <v>1672</v>
      </c>
      <c r="K881" s="14">
        <v>1460</v>
      </c>
      <c r="L881" s="14">
        <v>1707</v>
      </c>
      <c r="M881" s="14">
        <v>1659</v>
      </c>
      <c r="N881" s="12">
        <v>0.59</v>
      </c>
      <c r="O881" s="12" t="s">
        <v>1672</v>
      </c>
      <c r="P881" s="12">
        <v>9.4909474056736502E-5</v>
      </c>
      <c r="Q881" s="12">
        <v>5.1665020348305095E-4</v>
      </c>
      <c r="R881" s="12">
        <v>7.8629032258064502E-2</v>
      </c>
      <c r="S881" s="14">
        <v>49</v>
      </c>
      <c r="T881" s="12">
        <v>3.5849742994818301E-2</v>
      </c>
      <c r="U881" s="14">
        <v>1580</v>
      </c>
      <c r="V881" s="14">
        <v>1</v>
      </c>
      <c r="W881" s="12">
        <v>5.4999999999999997E-3</v>
      </c>
      <c r="X881" s="12">
        <v>4.1349742994818299E-2</v>
      </c>
      <c r="Y881" s="14">
        <v>1580</v>
      </c>
      <c r="Z881" s="14">
        <v>48</v>
      </c>
      <c r="AA881" s="12" t="s">
        <v>2371</v>
      </c>
    </row>
    <row r="882" spans="1:27" ht="14.25" x14ac:dyDescent="0.45">
      <c r="A882" s="12" t="s">
        <v>1673</v>
      </c>
      <c r="B882" s="12" t="s">
        <v>1971</v>
      </c>
      <c r="C882" s="12" t="s">
        <v>1972</v>
      </c>
      <c r="D882" s="12" t="s">
        <v>1975</v>
      </c>
      <c r="E882" s="20">
        <v>26941</v>
      </c>
      <c r="F882" s="20">
        <v>44372</v>
      </c>
      <c r="G882" s="12">
        <v>0.01</v>
      </c>
      <c r="H882" s="12">
        <v>6.3</v>
      </c>
      <c r="I882" s="13">
        <v>1.5873015873015899E-3</v>
      </c>
      <c r="J882" s="12" t="s">
        <v>1673</v>
      </c>
      <c r="K882" s="14">
        <v>1818</v>
      </c>
      <c r="L882" s="14">
        <v>1606</v>
      </c>
      <c r="M882" s="14">
        <v>1944</v>
      </c>
      <c r="N882" s="12">
        <v>0.01</v>
      </c>
      <c r="O882" s="12" t="s">
        <v>1673</v>
      </c>
      <c r="P882" s="12">
        <v>1.6086351535040101E-6</v>
      </c>
      <c r="Q882" s="12">
        <v>7.2278209795853299E-6</v>
      </c>
      <c r="R882" s="12">
        <v>9.5262096774193505E-2</v>
      </c>
      <c r="S882" s="14">
        <v>49</v>
      </c>
      <c r="T882" s="12">
        <v>5.1206262948048399E-4</v>
      </c>
      <c r="U882" s="14">
        <v>1935</v>
      </c>
      <c r="V882" s="14">
        <v>1</v>
      </c>
      <c r="W882" s="12">
        <v>5.4999999999999997E-3</v>
      </c>
      <c r="X882" s="12">
        <v>6.0120626294804802E-3</v>
      </c>
      <c r="Y882" s="14">
        <v>1935</v>
      </c>
      <c r="Z882" s="14">
        <v>48</v>
      </c>
      <c r="AA882" s="12" t="s">
        <v>2371</v>
      </c>
    </row>
    <row r="883" spans="1:27" ht="14.25" x14ac:dyDescent="0.45">
      <c r="A883" s="12" t="s">
        <v>1718</v>
      </c>
      <c r="B883" s="12" t="s">
        <v>1971</v>
      </c>
      <c r="C883" s="12" t="s">
        <v>1972</v>
      </c>
      <c r="D883" s="12" t="s">
        <v>2072</v>
      </c>
      <c r="E883" s="20">
        <v>24709</v>
      </c>
      <c r="F883" s="20">
        <v>44404</v>
      </c>
      <c r="G883" s="12">
        <v>1.88</v>
      </c>
      <c r="H883" s="12">
        <v>5.2333333333333298</v>
      </c>
      <c r="I883" s="13">
        <v>0.359235668789809</v>
      </c>
      <c r="J883" s="12" t="s">
        <v>1718</v>
      </c>
      <c r="K883" s="14">
        <v>1177</v>
      </c>
      <c r="L883" s="14">
        <v>1697</v>
      </c>
      <c r="M883" s="14">
        <v>1430</v>
      </c>
      <c r="N883" s="12">
        <v>1.88</v>
      </c>
      <c r="O883" s="12" t="s">
        <v>1718</v>
      </c>
      <c r="P883" s="12">
        <v>3.02423408858754E-4</v>
      </c>
      <c r="Q883" s="12">
        <v>1.6357893952014401E-3</v>
      </c>
      <c r="R883" s="12">
        <v>7.9133064516129004E-2</v>
      </c>
      <c r="S883" s="14">
        <v>55</v>
      </c>
      <c r="T883" s="12">
        <v>0.113577715032293</v>
      </c>
      <c r="U883" s="14">
        <v>1249</v>
      </c>
      <c r="V883" s="14">
        <v>2</v>
      </c>
      <c r="W883" s="12">
        <v>5.5999999999999999E-3</v>
      </c>
      <c r="X883" s="12">
        <v>0.11917771503229301</v>
      </c>
      <c r="Y883" s="14">
        <v>1250</v>
      </c>
      <c r="Z883" s="14">
        <v>54</v>
      </c>
      <c r="AA883" s="12" t="s">
        <v>2371</v>
      </c>
    </row>
    <row r="884" spans="1:27" ht="14.25" x14ac:dyDescent="0.45">
      <c r="A884" s="12" t="s">
        <v>1730</v>
      </c>
      <c r="B884" s="12" t="s">
        <v>1971</v>
      </c>
      <c r="C884" s="12" t="s">
        <v>1972</v>
      </c>
      <c r="D884" s="12" t="s">
        <v>1993</v>
      </c>
      <c r="E884" s="20">
        <v>26273</v>
      </c>
      <c r="F884" s="20">
        <v>44417</v>
      </c>
      <c r="G884" s="12">
        <v>20.63</v>
      </c>
      <c r="H884" s="12">
        <v>4.8</v>
      </c>
      <c r="I884" s="13">
        <v>4.2979166666666702</v>
      </c>
      <c r="J884" s="12" t="s">
        <v>1730</v>
      </c>
      <c r="K884" s="14">
        <v>483</v>
      </c>
      <c r="L884" s="14">
        <v>1757</v>
      </c>
      <c r="M884" s="14">
        <v>717</v>
      </c>
      <c r="N884" s="12">
        <v>20.63</v>
      </c>
      <c r="O884" s="12" t="s">
        <v>1730</v>
      </c>
      <c r="P884" s="12">
        <v>3.3186143216787701E-3</v>
      </c>
      <c r="Q884" s="12">
        <v>1.9570680518661E-2</v>
      </c>
      <c r="R884" s="12">
        <v>7.25806451612903E-2</v>
      </c>
      <c r="S884" s="14">
        <v>51</v>
      </c>
      <c r="T884" s="12">
        <v>1.34761556947926</v>
      </c>
      <c r="U884" s="14">
        <v>520</v>
      </c>
      <c r="V884" s="14">
        <v>1</v>
      </c>
      <c r="W884" s="12">
        <v>5.4999999999999997E-3</v>
      </c>
      <c r="X884" s="12">
        <v>1.35311556947926</v>
      </c>
      <c r="Y884" s="14">
        <v>520</v>
      </c>
      <c r="Z884" s="14">
        <v>50</v>
      </c>
      <c r="AA884" s="12" t="s">
        <v>2371</v>
      </c>
    </row>
    <row r="885" spans="1:27" ht="14.25" x14ac:dyDescent="0.45">
      <c r="A885" s="12" t="s">
        <v>1764</v>
      </c>
      <c r="B885" s="12" t="s">
        <v>1971</v>
      </c>
      <c r="C885" s="12" t="s">
        <v>1972</v>
      </c>
      <c r="D885" s="12" t="s">
        <v>1997</v>
      </c>
      <c r="E885" s="20">
        <v>21901</v>
      </c>
      <c r="F885" s="20">
        <v>44441</v>
      </c>
      <c r="G885" s="12">
        <v>3.84</v>
      </c>
      <c r="H885" s="12">
        <v>4</v>
      </c>
      <c r="I885" s="13">
        <v>0.96</v>
      </c>
      <c r="J885" s="12" t="s">
        <v>1764</v>
      </c>
      <c r="K885" s="14">
        <v>834</v>
      </c>
      <c r="L885" s="14">
        <v>1861</v>
      </c>
      <c r="M885" s="14">
        <v>1131</v>
      </c>
      <c r="N885" s="12">
        <v>3.84</v>
      </c>
      <c r="O885" s="12" t="s">
        <v>1764</v>
      </c>
      <c r="P885" s="12">
        <v>6.1771589894553901E-4</v>
      </c>
      <c r="Q885" s="12">
        <v>4.3713861284532104E-3</v>
      </c>
      <c r="R885" s="12">
        <v>6.0483870967741903E-2</v>
      </c>
      <c r="S885" s="14">
        <v>63</v>
      </c>
      <c r="T885" s="12">
        <v>0.296375979238783</v>
      </c>
      <c r="U885" s="14">
        <v>924</v>
      </c>
      <c r="V885" s="14">
        <v>1</v>
      </c>
      <c r="W885" s="12">
        <v>5.4999999999999997E-3</v>
      </c>
      <c r="X885" s="12">
        <v>0.30187597923878301</v>
      </c>
      <c r="Y885" s="14">
        <v>924</v>
      </c>
      <c r="Z885" s="14">
        <v>62</v>
      </c>
      <c r="AA885" s="12" t="s">
        <v>2371</v>
      </c>
    </row>
    <row r="886" spans="1:27" ht="14.25" x14ac:dyDescent="0.45">
      <c r="A886" s="12" t="s">
        <v>1774</v>
      </c>
      <c r="B886" s="12" t="s">
        <v>1971</v>
      </c>
      <c r="C886" s="12" t="s">
        <v>1972</v>
      </c>
      <c r="D886" s="12" t="s">
        <v>2020</v>
      </c>
      <c r="E886" s="20">
        <v>27205</v>
      </c>
      <c r="F886" s="20">
        <v>44334</v>
      </c>
      <c r="G886" s="12">
        <v>24.44</v>
      </c>
      <c r="H886" s="12">
        <v>7.56666666666667</v>
      </c>
      <c r="I886" s="13">
        <v>3.2299559471365602</v>
      </c>
      <c r="J886" s="12" t="s">
        <v>1774</v>
      </c>
      <c r="K886" s="14">
        <v>539</v>
      </c>
      <c r="L886" s="14">
        <v>1269</v>
      </c>
      <c r="M886" s="14">
        <v>687</v>
      </c>
      <c r="N886" s="12">
        <v>24.44</v>
      </c>
      <c r="O886" s="12" t="s">
        <v>1774</v>
      </c>
      <c r="P886" s="12">
        <v>3.9315043151638002E-3</v>
      </c>
      <c r="Q886" s="12">
        <v>1.4707692315445499E-2</v>
      </c>
      <c r="R886" s="12">
        <v>0.114415322580645</v>
      </c>
      <c r="S886" s="14">
        <v>48</v>
      </c>
      <c r="T886" s="12">
        <v>1.0666621815339901</v>
      </c>
      <c r="U886" s="14">
        <v>562</v>
      </c>
      <c r="V886" s="14">
        <v>6</v>
      </c>
      <c r="W886" s="12">
        <v>6.0000000000000001E-3</v>
      </c>
      <c r="X886" s="12">
        <v>1.0726621815339901</v>
      </c>
      <c r="Y886" s="14">
        <v>562</v>
      </c>
      <c r="Z886" s="14">
        <v>48</v>
      </c>
      <c r="AA886" s="12" t="s">
        <v>2371</v>
      </c>
    </row>
    <row r="887" spans="1:27" ht="14.25" x14ac:dyDescent="0.45">
      <c r="A887" s="12" t="s">
        <v>1786</v>
      </c>
      <c r="B887" s="12" t="s">
        <v>1971</v>
      </c>
      <c r="C887" s="12" t="s">
        <v>1972</v>
      </c>
      <c r="D887" s="12" t="s">
        <v>1974</v>
      </c>
      <c r="E887" s="20">
        <v>27387</v>
      </c>
      <c r="F887" s="20">
        <v>44340</v>
      </c>
      <c r="G887" s="12">
        <v>2</v>
      </c>
      <c r="H887" s="12">
        <v>7.3666666666666698</v>
      </c>
      <c r="I887" s="13">
        <v>0.27149321266968302</v>
      </c>
      <c r="J887" s="12" t="s">
        <v>1786</v>
      </c>
      <c r="K887" s="14">
        <v>1253</v>
      </c>
      <c r="L887" s="14">
        <v>1469</v>
      </c>
      <c r="M887" s="14">
        <v>1359</v>
      </c>
      <c r="N887" s="12">
        <v>2</v>
      </c>
      <c r="O887" s="12" t="s">
        <v>1786</v>
      </c>
      <c r="P887" s="12">
        <v>3.2172703070080199E-4</v>
      </c>
      <c r="Q887" s="12">
        <v>1.23625173315984E-3</v>
      </c>
      <c r="R887" s="12">
        <v>0.11139112903225799</v>
      </c>
      <c r="S887" s="14">
        <v>48</v>
      </c>
      <c r="T887" s="12">
        <v>8.9330496973770296E-2</v>
      </c>
      <c r="U887" s="14">
        <v>1319</v>
      </c>
      <c r="V887" s="14">
        <v>1</v>
      </c>
      <c r="W887" s="12">
        <v>5.4999999999999997E-3</v>
      </c>
      <c r="X887" s="12">
        <v>9.4830496973770301E-2</v>
      </c>
      <c r="Y887" s="14">
        <v>1319</v>
      </c>
      <c r="Z887" s="14">
        <v>47</v>
      </c>
      <c r="AA887" s="12" t="s">
        <v>2371</v>
      </c>
    </row>
    <row r="888" spans="1:27" ht="14.25" x14ac:dyDescent="0.45">
      <c r="A888" s="12" t="s">
        <v>1798</v>
      </c>
      <c r="B888" s="12" t="s">
        <v>1971</v>
      </c>
      <c r="C888" s="12" t="s">
        <v>1972</v>
      </c>
      <c r="D888" s="12" t="s">
        <v>1997</v>
      </c>
      <c r="E888" s="20">
        <v>27909</v>
      </c>
      <c r="F888" s="20">
        <v>44434</v>
      </c>
      <c r="G888" s="12">
        <v>686.54</v>
      </c>
      <c r="H888" s="12">
        <v>4.2333333333333298</v>
      </c>
      <c r="I888" s="13">
        <v>162.17480314960599</v>
      </c>
      <c r="J888" s="12" t="s">
        <v>1798</v>
      </c>
      <c r="K888" s="14">
        <v>8</v>
      </c>
      <c r="L888" s="14">
        <v>1850</v>
      </c>
      <c r="M888" s="14">
        <v>93</v>
      </c>
      <c r="N888" s="12">
        <v>686.54</v>
      </c>
      <c r="O888" s="12" t="s">
        <v>1798</v>
      </c>
      <c r="P888" s="12">
        <v>0.11043923782866399</v>
      </c>
      <c r="Q888" s="12">
        <v>0.738467380075853</v>
      </c>
      <c r="R888" s="12">
        <v>6.4012096774193505E-2</v>
      </c>
      <c r="S888" s="14">
        <v>46</v>
      </c>
      <c r="T888" s="12">
        <v>50.295682673315703</v>
      </c>
      <c r="U888" s="14">
        <v>10</v>
      </c>
      <c r="V888" s="14">
        <v>4</v>
      </c>
      <c r="W888" s="12">
        <v>5.7999999999999996E-3</v>
      </c>
      <c r="X888" s="12">
        <v>50.301482673315697</v>
      </c>
      <c r="Y888" s="14">
        <v>10</v>
      </c>
      <c r="Z888" s="14">
        <v>46</v>
      </c>
      <c r="AA888" s="12" t="s">
        <v>2371</v>
      </c>
    </row>
    <row r="889" spans="1:27" ht="14.25" x14ac:dyDescent="0.45">
      <c r="A889" s="12" t="s">
        <v>1807</v>
      </c>
      <c r="B889" s="12" t="s">
        <v>1971</v>
      </c>
      <c r="C889" s="12" t="s">
        <v>1972</v>
      </c>
      <c r="D889" s="12" t="s">
        <v>1975</v>
      </c>
      <c r="E889" s="20">
        <v>27985</v>
      </c>
      <c r="F889" s="20">
        <v>43747</v>
      </c>
      <c r="G889" s="12">
        <v>0.02</v>
      </c>
      <c r="H889" s="12">
        <v>27.133333333333301</v>
      </c>
      <c r="I889" s="13">
        <v>7.3710073710073697E-4</v>
      </c>
      <c r="J889" s="12" t="s">
        <v>1807</v>
      </c>
      <c r="K889" s="14">
        <v>1839</v>
      </c>
      <c r="L889" s="14">
        <v>318</v>
      </c>
      <c r="M889" s="14">
        <v>1922</v>
      </c>
      <c r="N889" s="12">
        <v>0.02</v>
      </c>
      <c r="O889" s="12" t="s">
        <v>1807</v>
      </c>
      <c r="P889" s="12">
        <v>3.2172703070080202E-6</v>
      </c>
      <c r="Q889" s="12">
        <v>3.3564082681612502E-6</v>
      </c>
      <c r="R889" s="12">
        <v>0.41028225806451601</v>
      </c>
      <c r="S889" s="14">
        <v>46</v>
      </c>
      <c r="T889" s="12">
        <v>3.3042315327287903E-4</v>
      </c>
      <c r="U889" s="14">
        <v>1951</v>
      </c>
      <c r="V889" s="14">
        <v>2</v>
      </c>
      <c r="W889" s="12">
        <v>5.5999999999999999E-3</v>
      </c>
      <c r="X889" s="12">
        <v>5.9304231532728803E-3</v>
      </c>
      <c r="Y889" s="14">
        <v>1943</v>
      </c>
      <c r="Z889" s="14">
        <v>45</v>
      </c>
      <c r="AA889" s="12" t="s">
        <v>2371</v>
      </c>
    </row>
    <row r="890" spans="1:27" ht="14.25" x14ac:dyDescent="0.45">
      <c r="A890" s="12" t="s">
        <v>1819</v>
      </c>
      <c r="B890" s="12" t="s">
        <v>1971</v>
      </c>
      <c r="C890" s="12" t="s">
        <v>1972</v>
      </c>
      <c r="D890" s="12" t="s">
        <v>1987</v>
      </c>
      <c r="E890" s="20">
        <v>25844</v>
      </c>
      <c r="F890" s="20">
        <v>44313</v>
      </c>
      <c r="G890" s="12">
        <v>0.15</v>
      </c>
      <c r="H890" s="12">
        <v>8.2666666666666693</v>
      </c>
      <c r="I890" s="13">
        <v>1.8145161290322599E-2</v>
      </c>
      <c r="J890" s="12" t="s">
        <v>1819</v>
      </c>
      <c r="K890" s="14">
        <v>1699</v>
      </c>
      <c r="L890" s="14">
        <v>1231</v>
      </c>
      <c r="M890" s="14">
        <v>1807</v>
      </c>
      <c r="N890" s="12">
        <v>0.15</v>
      </c>
      <c r="O890" s="12" t="s">
        <v>1819</v>
      </c>
      <c r="P890" s="12">
        <v>2.4129527302560101E-5</v>
      </c>
      <c r="Q890" s="12">
        <v>8.2624485794856504E-5</v>
      </c>
      <c r="R890" s="12">
        <v>0.125</v>
      </c>
      <c r="S890" s="14">
        <v>52</v>
      </c>
      <c r="T890" s="12">
        <v>6.0688876360245397E-3</v>
      </c>
      <c r="U890" s="14">
        <v>1804</v>
      </c>
      <c r="V890" s="14">
        <v>1</v>
      </c>
      <c r="W890" s="12">
        <v>5.4999999999999997E-3</v>
      </c>
      <c r="X890" s="12">
        <v>1.15688876360245E-2</v>
      </c>
      <c r="Y890" s="14">
        <v>1804</v>
      </c>
      <c r="Z890" s="14">
        <v>51</v>
      </c>
      <c r="AA890" s="12" t="s">
        <v>2371</v>
      </c>
    </row>
    <row r="891" spans="1:27" ht="14.25" x14ac:dyDescent="0.45">
      <c r="A891" s="12" t="s">
        <v>1842</v>
      </c>
      <c r="B891" s="12" t="s">
        <v>1971</v>
      </c>
      <c r="C891" s="12" t="s">
        <v>1972</v>
      </c>
      <c r="D891" s="12" t="s">
        <v>1993</v>
      </c>
      <c r="E891" s="20">
        <v>27399</v>
      </c>
      <c r="F891" s="20">
        <v>44543</v>
      </c>
      <c r="G891" s="12">
        <v>0.35</v>
      </c>
      <c r="H891" s="12">
        <v>0.6</v>
      </c>
      <c r="I891" s="13">
        <v>0.58333333333333304</v>
      </c>
      <c r="J891" s="12" t="s">
        <v>1842</v>
      </c>
      <c r="K891" s="14">
        <v>1003</v>
      </c>
      <c r="L891" s="14">
        <v>1955</v>
      </c>
      <c r="M891" s="14">
        <v>1722</v>
      </c>
      <c r="N891" s="12">
        <v>0.35</v>
      </c>
      <c r="O891" s="12" t="s">
        <v>1842</v>
      </c>
      <c r="P891" s="12">
        <v>5.63022303726403E-5</v>
      </c>
      <c r="Q891" s="12">
        <v>2.65622420999761E-3</v>
      </c>
      <c r="R891" s="12">
        <v>9.0725806451612892E-3</v>
      </c>
      <c r="S891" s="14">
        <v>47</v>
      </c>
      <c r="T891" s="12">
        <v>0.16812534676382501</v>
      </c>
      <c r="U891" s="14">
        <v>1113</v>
      </c>
      <c r="V891" s="14">
        <v>1</v>
      </c>
      <c r="W891" s="12">
        <v>5.4999999999999997E-3</v>
      </c>
      <c r="X891" s="12">
        <v>0.17362534676382499</v>
      </c>
      <c r="Y891" s="14">
        <v>1113</v>
      </c>
      <c r="Z891" s="14">
        <v>47</v>
      </c>
      <c r="AA891" s="12" t="s">
        <v>2371</v>
      </c>
    </row>
    <row r="892" spans="1:27" ht="14.25" x14ac:dyDescent="0.45">
      <c r="A892" s="12" t="s">
        <v>1881</v>
      </c>
      <c r="B892" s="12" t="s">
        <v>1971</v>
      </c>
      <c r="C892" s="12" t="s">
        <v>1972</v>
      </c>
      <c r="D892" s="12" t="s">
        <v>1995</v>
      </c>
      <c r="E892" s="20">
        <v>26764</v>
      </c>
      <c r="F892" s="20">
        <v>44498</v>
      </c>
      <c r="G892" s="12">
        <v>0.12</v>
      </c>
      <c r="H892" s="12">
        <v>2.1</v>
      </c>
      <c r="I892" s="13">
        <v>5.7142857142857099E-2</v>
      </c>
      <c r="J892" s="12" t="s">
        <v>1881</v>
      </c>
      <c r="K892" s="14">
        <v>1587</v>
      </c>
      <c r="L892" s="14">
        <v>1924</v>
      </c>
      <c r="M892" s="14">
        <v>1818</v>
      </c>
      <c r="N892" s="12">
        <v>0.12</v>
      </c>
      <c r="O892" s="12" t="s">
        <v>1881</v>
      </c>
      <c r="P892" s="12">
        <v>1.9303621842048101E-5</v>
      </c>
      <c r="Q892" s="12">
        <v>2.6020155526507198E-4</v>
      </c>
      <c r="R892" s="12">
        <v>3.1754032258064502E-2</v>
      </c>
      <c r="S892" s="14">
        <v>49</v>
      </c>
      <c r="T892" s="12">
        <v>1.69864830231438E-2</v>
      </c>
      <c r="U892" s="14">
        <v>1702</v>
      </c>
      <c r="V892" s="14">
        <v>1</v>
      </c>
      <c r="W892" s="12">
        <v>5.4999999999999997E-3</v>
      </c>
      <c r="X892" s="12">
        <v>2.2486483023143801E-2</v>
      </c>
      <c r="Y892" s="14">
        <v>1702</v>
      </c>
      <c r="Z892" s="14">
        <v>49</v>
      </c>
      <c r="AA892" s="12" t="s">
        <v>2371</v>
      </c>
    </row>
    <row r="893" spans="1:27" ht="14.25" x14ac:dyDescent="0.45">
      <c r="A893" s="12" t="s">
        <v>1907</v>
      </c>
      <c r="B893" s="12" t="s">
        <v>1971</v>
      </c>
      <c r="C893" s="12" t="s">
        <v>1972</v>
      </c>
      <c r="D893" s="12" t="s">
        <v>2020</v>
      </c>
      <c r="E893" s="20">
        <v>26865</v>
      </c>
      <c r="F893" s="20">
        <v>44461</v>
      </c>
      <c r="G893" s="12">
        <v>11.48</v>
      </c>
      <c r="H893" s="12">
        <v>3.3333333333333299</v>
      </c>
      <c r="I893" s="13">
        <v>3.444</v>
      </c>
      <c r="J893" s="12" t="s">
        <v>1907</v>
      </c>
      <c r="K893" s="14">
        <v>528</v>
      </c>
      <c r="L893" s="14">
        <v>1882</v>
      </c>
      <c r="M893" s="14">
        <v>818</v>
      </c>
      <c r="N893" s="12">
        <v>11.48</v>
      </c>
      <c r="O893" s="12" t="s">
        <v>1907</v>
      </c>
      <c r="P893" s="12">
        <v>1.8467131562226E-3</v>
      </c>
      <c r="Q893" s="12">
        <v>1.5682347735825899E-2</v>
      </c>
      <c r="R893" s="12">
        <v>5.0403225806451603E-2</v>
      </c>
      <c r="S893" s="14">
        <v>49</v>
      </c>
      <c r="T893" s="12">
        <v>1.04939847684747</v>
      </c>
      <c r="U893" s="14">
        <v>566</v>
      </c>
      <c r="V893" s="14">
        <v>1</v>
      </c>
      <c r="W893" s="12">
        <v>5.4999999999999997E-3</v>
      </c>
      <c r="X893" s="12">
        <v>1.0548984768474701</v>
      </c>
      <c r="Y893" s="14">
        <v>566</v>
      </c>
      <c r="Z893" s="14">
        <v>48</v>
      </c>
      <c r="AA893" s="12" t="s">
        <v>2371</v>
      </c>
    </row>
    <row r="894" spans="1:27" ht="14.25" x14ac:dyDescent="0.45">
      <c r="A894" s="12" t="s">
        <v>7</v>
      </c>
      <c r="B894" s="12" t="s">
        <v>1971</v>
      </c>
      <c r="C894" s="12" t="s">
        <v>1977</v>
      </c>
      <c r="D894" s="12" t="s">
        <v>1978</v>
      </c>
      <c r="E894" s="20">
        <v>31687</v>
      </c>
      <c r="F894" s="20">
        <v>44134</v>
      </c>
      <c r="G894" s="12">
        <v>4.08</v>
      </c>
      <c r="H894" s="12">
        <v>14.233333333333301</v>
      </c>
      <c r="I894" s="13">
        <v>0.286651053864169</v>
      </c>
      <c r="J894" s="12" t="s">
        <v>7</v>
      </c>
      <c r="K894" s="14">
        <v>1237</v>
      </c>
      <c r="L894" s="14">
        <v>593</v>
      </c>
      <c r="M894" s="14">
        <v>1111</v>
      </c>
      <c r="N894" s="12">
        <v>4.08</v>
      </c>
      <c r="O894" s="12" t="s">
        <v>7</v>
      </c>
      <c r="P894" s="12">
        <v>6.5632314262963596E-4</v>
      </c>
      <c r="Q894" s="12">
        <v>1.305273375592E-3</v>
      </c>
      <c r="R894" s="12">
        <v>0.21522177419354799</v>
      </c>
      <c r="S894" s="14">
        <v>36</v>
      </c>
      <c r="T894" s="12">
        <v>0.10619170382311099</v>
      </c>
      <c r="U894" s="14">
        <v>1272</v>
      </c>
      <c r="V894" s="14">
        <v>2</v>
      </c>
      <c r="W894" s="12">
        <v>5.5999999999999999E-3</v>
      </c>
      <c r="X894" s="12">
        <v>0.111791703823111</v>
      </c>
      <c r="Y894" s="14">
        <v>1272</v>
      </c>
      <c r="Z894" s="14">
        <v>35</v>
      </c>
      <c r="AA894" s="12" t="s">
        <v>2369</v>
      </c>
    </row>
    <row r="895" spans="1:27" ht="14.25" x14ac:dyDescent="0.45">
      <c r="A895" s="12" t="s">
        <v>9</v>
      </c>
      <c r="B895" s="12" t="s">
        <v>1971</v>
      </c>
      <c r="C895" s="12" t="s">
        <v>1977</v>
      </c>
      <c r="D895" s="12" t="s">
        <v>1983</v>
      </c>
      <c r="E895" s="20">
        <v>28496</v>
      </c>
      <c r="F895" s="20">
        <v>43500</v>
      </c>
      <c r="G895" s="12">
        <v>19.36</v>
      </c>
      <c r="H895" s="12">
        <v>35.366666666666703</v>
      </c>
      <c r="I895" s="13">
        <v>0.547408105560792</v>
      </c>
      <c r="J895" s="12" t="s">
        <v>9</v>
      </c>
      <c r="K895" s="14">
        <v>1022</v>
      </c>
      <c r="L895" s="14">
        <v>224</v>
      </c>
      <c r="M895" s="14">
        <v>727</v>
      </c>
      <c r="N895" s="12">
        <v>19.36</v>
      </c>
      <c r="O895" s="12" t="s">
        <v>9</v>
      </c>
      <c r="P895" s="12">
        <v>3.1143176571837598E-3</v>
      </c>
      <c r="Q895" s="12">
        <v>2.4926377075534301E-3</v>
      </c>
      <c r="R895" s="12">
        <v>0.53477822580645196</v>
      </c>
      <c r="S895" s="14">
        <v>44</v>
      </c>
      <c r="T895" s="12">
        <v>0.27257676886648102</v>
      </c>
      <c r="U895" s="14">
        <v>944</v>
      </c>
      <c r="V895" s="14">
        <v>4</v>
      </c>
      <c r="W895" s="12">
        <v>5.7999999999999996E-3</v>
      </c>
      <c r="X895" s="12">
        <v>0.27837676886648099</v>
      </c>
      <c r="Y895" s="14">
        <v>944</v>
      </c>
      <c r="Z895" s="14">
        <v>44</v>
      </c>
      <c r="AA895" s="12" t="s">
        <v>2369</v>
      </c>
    </row>
    <row r="896" spans="1:27" ht="14.25" x14ac:dyDescent="0.45">
      <c r="A896" s="12" t="s">
        <v>17</v>
      </c>
      <c r="B896" s="12" t="s">
        <v>1971</v>
      </c>
      <c r="C896" s="12" t="s">
        <v>1977</v>
      </c>
      <c r="D896" s="12" t="s">
        <v>1993</v>
      </c>
      <c r="E896" s="20">
        <v>30983</v>
      </c>
      <c r="F896" s="20">
        <v>44174</v>
      </c>
      <c r="G896" s="12">
        <v>127.51</v>
      </c>
      <c r="H896" s="12">
        <v>12.9</v>
      </c>
      <c r="I896" s="13">
        <v>9.8844961240310099</v>
      </c>
      <c r="J896" s="12" t="s">
        <v>17</v>
      </c>
      <c r="K896" s="14">
        <v>299</v>
      </c>
      <c r="L896" s="14">
        <v>687</v>
      </c>
      <c r="M896" s="14">
        <v>345</v>
      </c>
      <c r="N896" s="12">
        <v>127.51</v>
      </c>
      <c r="O896" s="12" t="s">
        <v>17</v>
      </c>
      <c r="P896" s="12">
        <v>2.05117068423296E-2</v>
      </c>
      <c r="Q896" s="12">
        <v>4.5009322128477802E-2</v>
      </c>
      <c r="R896" s="12">
        <v>0.195060483870968</v>
      </c>
      <c r="S896" s="14">
        <v>38</v>
      </c>
      <c r="T896" s="12">
        <v>3.5822716396172201</v>
      </c>
      <c r="U896" s="14">
        <v>336</v>
      </c>
      <c r="V896" s="14">
        <v>7</v>
      </c>
      <c r="W896" s="12">
        <v>6.1000000000000004E-3</v>
      </c>
      <c r="X896" s="12">
        <v>3.5883716396172201</v>
      </c>
      <c r="Y896" s="14">
        <v>336</v>
      </c>
      <c r="Z896" s="14">
        <v>37</v>
      </c>
      <c r="AA896" s="12" t="s">
        <v>2369</v>
      </c>
    </row>
    <row r="897" spans="1:27" ht="14.25" x14ac:dyDescent="0.45">
      <c r="A897" s="12" t="s">
        <v>25</v>
      </c>
      <c r="B897" s="12" t="s">
        <v>1971</v>
      </c>
      <c r="C897" s="12" t="s">
        <v>1977</v>
      </c>
      <c r="D897" s="12" t="s">
        <v>2003</v>
      </c>
      <c r="E897" s="20">
        <v>30169</v>
      </c>
      <c r="F897" s="20">
        <v>44148</v>
      </c>
      <c r="G897" s="12">
        <v>1.76</v>
      </c>
      <c r="H897" s="12">
        <v>13.766666666666699</v>
      </c>
      <c r="I897" s="13">
        <v>0.127845036319613</v>
      </c>
      <c r="J897" s="12" t="s">
        <v>25</v>
      </c>
      <c r="K897" s="14">
        <v>1444</v>
      </c>
      <c r="L897" s="14">
        <v>622</v>
      </c>
      <c r="M897" s="14">
        <v>1445</v>
      </c>
      <c r="N897" s="12">
        <v>1.76</v>
      </c>
      <c r="O897" s="12" t="s">
        <v>25</v>
      </c>
      <c r="P897" s="12">
        <v>2.8311978701670601E-4</v>
      </c>
      <c r="Q897" s="12">
        <v>5.8214585245744898E-4</v>
      </c>
      <c r="R897" s="12">
        <v>0.20816532258064499</v>
      </c>
      <c r="S897" s="14">
        <v>40</v>
      </c>
      <c r="T897" s="12">
        <v>4.7001107791716998E-2</v>
      </c>
      <c r="U897" s="14">
        <v>1532</v>
      </c>
      <c r="V897" s="14">
        <v>3</v>
      </c>
      <c r="W897" s="12">
        <v>5.7000000000000002E-3</v>
      </c>
      <c r="X897" s="12">
        <v>5.2701107791717001E-2</v>
      </c>
      <c r="Y897" s="14">
        <v>1532</v>
      </c>
      <c r="Z897" s="14">
        <v>39</v>
      </c>
      <c r="AA897" s="12" t="s">
        <v>2369</v>
      </c>
    </row>
    <row r="898" spans="1:27" ht="14.25" x14ac:dyDescent="0.45">
      <c r="A898" s="12" t="s">
        <v>28</v>
      </c>
      <c r="B898" s="12" t="s">
        <v>1971</v>
      </c>
      <c r="C898" s="12" t="s">
        <v>1977</v>
      </c>
      <c r="D898" s="12" t="s">
        <v>1974</v>
      </c>
      <c r="E898" s="20">
        <v>31402</v>
      </c>
      <c r="F898" s="20">
        <v>42943</v>
      </c>
      <c r="G898" s="12">
        <v>82.79</v>
      </c>
      <c r="H898" s="12">
        <v>53.933333333333302</v>
      </c>
      <c r="I898" s="13">
        <v>1.53504326328801</v>
      </c>
      <c r="J898" s="12" t="s">
        <v>28</v>
      </c>
      <c r="K898" s="14">
        <v>729</v>
      </c>
      <c r="L898" s="14">
        <v>44</v>
      </c>
      <c r="M898" s="14">
        <v>403</v>
      </c>
      <c r="N898" s="12">
        <v>82.79</v>
      </c>
      <c r="O898" s="12" t="s">
        <v>28</v>
      </c>
      <c r="P898" s="12">
        <v>1.33178904358597E-2</v>
      </c>
      <c r="Q898" s="12">
        <v>6.98986127886745E-3</v>
      </c>
      <c r="R898" s="12">
        <v>0.81552419354838701</v>
      </c>
      <c r="S898" s="14">
        <v>37</v>
      </c>
      <c r="T898" s="12">
        <v>0.93628722127395403</v>
      </c>
      <c r="U898" s="14">
        <v>584</v>
      </c>
      <c r="V898" s="14">
        <v>5</v>
      </c>
      <c r="W898" s="12">
        <v>5.8999999999999999E-3</v>
      </c>
      <c r="X898" s="12">
        <v>0.94218722127395405</v>
      </c>
      <c r="Y898" s="14">
        <v>583</v>
      </c>
      <c r="Z898" s="14">
        <v>36</v>
      </c>
      <c r="AA898" s="12" t="s">
        <v>2369</v>
      </c>
    </row>
    <row r="899" spans="1:27" ht="14.25" x14ac:dyDescent="0.45">
      <c r="A899" s="12" t="s">
        <v>31</v>
      </c>
      <c r="B899" s="12" t="s">
        <v>1971</v>
      </c>
      <c r="C899" s="12" t="s">
        <v>1977</v>
      </c>
      <c r="D899" s="12" t="s">
        <v>1974</v>
      </c>
      <c r="E899" s="20">
        <v>31530</v>
      </c>
      <c r="F899" s="20">
        <v>44165</v>
      </c>
      <c r="G899" s="12">
        <v>57.15</v>
      </c>
      <c r="H899" s="12">
        <v>13.2</v>
      </c>
      <c r="I899" s="13">
        <v>4.3295454545454604</v>
      </c>
      <c r="J899" s="12" t="s">
        <v>31</v>
      </c>
      <c r="K899" s="14">
        <v>477</v>
      </c>
      <c r="L899" s="14">
        <v>658</v>
      </c>
      <c r="M899" s="14">
        <v>464</v>
      </c>
      <c r="N899" s="12">
        <v>57.15</v>
      </c>
      <c r="O899" s="12" t="s">
        <v>31</v>
      </c>
      <c r="P899" s="12">
        <v>9.1933499022754106E-3</v>
      </c>
      <c r="Q899" s="12">
        <v>1.97147030651121E-2</v>
      </c>
      <c r="R899" s="12">
        <v>0.19959677419354799</v>
      </c>
      <c r="S899" s="14">
        <v>36</v>
      </c>
      <c r="T899" s="12">
        <v>1.57691956290484</v>
      </c>
      <c r="U899" s="14">
        <v>483</v>
      </c>
      <c r="V899" s="14">
        <v>4</v>
      </c>
      <c r="W899" s="12">
        <v>5.7999999999999996E-3</v>
      </c>
      <c r="X899" s="12">
        <v>1.5827195629048401</v>
      </c>
      <c r="Y899" s="14">
        <v>483</v>
      </c>
      <c r="Z899" s="14">
        <v>36</v>
      </c>
      <c r="AA899" s="12" t="s">
        <v>2369</v>
      </c>
    </row>
    <row r="900" spans="1:27" ht="14.25" x14ac:dyDescent="0.45">
      <c r="A900" s="12" t="s">
        <v>34</v>
      </c>
      <c r="B900" s="12" t="s">
        <v>1971</v>
      </c>
      <c r="C900" s="12" t="s">
        <v>1977</v>
      </c>
      <c r="D900" s="12" t="s">
        <v>1974</v>
      </c>
      <c r="E900" s="20">
        <v>30718</v>
      </c>
      <c r="F900" s="20">
        <v>42985</v>
      </c>
      <c r="G900" s="12">
        <v>606.04</v>
      </c>
      <c r="H900" s="12">
        <v>52.533333333333303</v>
      </c>
      <c r="I900" s="13">
        <v>11.536294416243701</v>
      </c>
      <c r="J900" s="12" t="s">
        <v>34</v>
      </c>
      <c r="K900" s="14">
        <v>255</v>
      </c>
      <c r="L900" s="14">
        <v>53</v>
      </c>
      <c r="M900" s="14">
        <v>115</v>
      </c>
      <c r="N900" s="12">
        <v>606.04</v>
      </c>
      <c r="O900" s="12" t="s">
        <v>34</v>
      </c>
      <c r="P900" s="12">
        <v>9.7489724842956996E-2</v>
      </c>
      <c r="Q900" s="12">
        <v>5.2530830609291403E-2</v>
      </c>
      <c r="R900" s="12">
        <v>0.79435483870967705</v>
      </c>
      <c r="S900" s="14">
        <v>38</v>
      </c>
      <c r="T900" s="12">
        <v>6.9390415946916004</v>
      </c>
      <c r="U900" s="14">
        <v>190</v>
      </c>
      <c r="V900" s="14">
        <v>8</v>
      </c>
      <c r="W900" s="12">
        <v>6.1999999999999998E-3</v>
      </c>
      <c r="X900" s="12">
        <v>6.9452415946916002</v>
      </c>
      <c r="Y900" s="14">
        <v>190</v>
      </c>
      <c r="Z900" s="14">
        <v>38</v>
      </c>
      <c r="AA900" s="12" t="s">
        <v>2369</v>
      </c>
    </row>
    <row r="901" spans="1:27" ht="14.25" x14ac:dyDescent="0.45">
      <c r="A901" s="12" t="s">
        <v>37</v>
      </c>
      <c r="B901" s="12" t="s">
        <v>1971</v>
      </c>
      <c r="C901" s="12" t="s">
        <v>1977</v>
      </c>
      <c r="D901" s="12" t="s">
        <v>2014</v>
      </c>
      <c r="E901" s="20">
        <v>28677</v>
      </c>
      <c r="F901" s="20">
        <v>43390</v>
      </c>
      <c r="G901" s="12">
        <v>422.62</v>
      </c>
      <c r="H901" s="12">
        <v>39.033333333333303</v>
      </c>
      <c r="I901" s="13">
        <v>10.827156276686599</v>
      </c>
      <c r="J901" s="12" t="s">
        <v>37</v>
      </c>
      <c r="K901" s="14">
        <v>264</v>
      </c>
      <c r="L901" s="14">
        <v>201</v>
      </c>
      <c r="M901" s="14">
        <v>176</v>
      </c>
      <c r="N901" s="12">
        <v>422.62</v>
      </c>
      <c r="O901" s="12" t="s">
        <v>37</v>
      </c>
      <c r="P901" s="12">
        <v>6.7984138857386398E-2</v>
      </c>
      <c r="Q901" s="12">
        <v>4.9301750790107103E-2</v>
      </c>
      <c r="R901" s="12">
        <v>0.59022177419354804</v>
      </c>
      <c r="S901" s="14">
        <v>44</v>
      </c>
      <c r="T901" s="12">
        <v>5.6307646315336903</v>
      </c>
      <c r="U901" s="14">
        <v>235</v>
      </c>
      <c r="V901" s="14">
        <v>6</v>
      </c>
      <c r="W901" s="12">
        <v>6.0000000000000001E-3</v>
      </c>
      <c r="X901" s="12">
        <v>5.6367646315336897</v>
      </c>
      <c r="Y901" s="14">
        <v>235</v>
      </c>
      <c r="Z901" s="14">
        <v>44</v>
      </c>
      <c r="AA901" s="12" t="s">
        <v>2369</v>
      </c>
    </row>
    <row r="902" spans="1:27" ht="14.25" x14ac:dyDescent="0.45">
      <c r="A902" s="12" t="s">
        <v>42</v>
      </c>
      <c r="B902" s="12" t="s">
        <v>1971</v>
      </c>
      <c r="C902" s="12" t="s">
        <v>1977</v>
      </c>
      <c r="D902" s="12" t="s">
        <v>1990</v>
      </c>
      <c r="E902" s="20">
        <v>29975</v>
      </c>
      <c r="F902" s="20">
        <v>43893</v>
      </c>
      <c r="G902" s="12">
        <v>0.59</v>
      </c>
      <c r="H902" s="12">
        <v>22.266666666666701</v>
      </c>
      <c r="I902" s="13">
        <v>2.6497005988024E-2</v>
      </c>
      <c r="J902" s="12" t="s">
        <v>42</v>
      </c>
      <c r="K902" s="14">
        <v>1668</v>
      </c>
      <c r="L902" s="14">
        <v>420</v>
      </c>
      <c r="M902" s="14">
        <v>1659</v>
      </c>
      <c r="N902" s="12">
        <v>0.59</v>
      </c>
      <c r="O902" s="12" t="s">
        <v>42</v>
      </c>
      <c r="P902" s="12">
        <v>9.4909474056736502E-5</v>
      </c>
      <c r="Q902" s="12">
        <v>1.20654837939156E-4</v>
      </c>
      <c r="R902" s="12">
        <v>0.33669354838709697</v>
      </c>
      <c r="S902" s="14">
        <v>40</v>
      </c>
      <c r="T902" s="12">
        <v>1.11000326483249E-2</v>
      </c>
      <c r="U902" s="14">
        <v>1751</v>
      </c>
      <c r="V902" s="14">
        <v>4</v>
      </c>
      <c r="W902" s="12">
        <v>5.7999999999999996E-3</v>
      </c>
      <c r="X902" s="12">
        <v>1.69000326483249E-2</v>
      </c>
      <c r="Y902" s="14">
        <v>1751</v>
      </c>
      <c r="Z902" s="14">
        <v>40</v>
      </c>
      <c r="AA902" s="12" t="s">
        <v>2369</v>
      </c>
    </row>
    <row r="903" spans="1:27" ht="14.25" x14ac:dyDescent="0.45">
      <c r="A903" s="12" t="s">
        <v>51</v>
      </c>
      <c r="B903" s="12" t="s">
        <v>1971</v>
      </c>
      <c r="C903" s="12" t="s">
        <v>1977</v>
      </c>
      <c r="D903" s="12" t="s">
        <v>2020</v>
      </c>
      <c r="E903" s="20">
        <v>24222</v>
      </c>
      <c r="F903" s="20">
        <v>44173</v>
      </c>
      <c r="G903" s="12">
        <v>12.3</v>
      </c>
      <c r="H903" s="12">
        <v>12.9333333333333</v>
      </c>
      <c r="I903" s="13">
        <v>0.95103092783505205</v>
      </c>
      <c r="J903" s="12" t="s">
        <v>51</v>
      </c>
      <c r="K903" s="14">
        <v>840</v>
      </c>
      <c r="L903" s="14">
        <v>680</v>
      </c>
      <c r="M903" s="14">
        <v>805</v>
      </c>
      <c r="N903" s="12">
        <v>12.3</v>
      </c>
      <c r="O903" s="12" t="s">
        <v>51</v>
      </c>
      <c r="P903" s="12">
        <v>1.97862123880993E-3</v>
      </c>
      <c r="Q903" s="12">
        <v>4.3305452142376301E-3</v>
      </c>
      <c r="R903" s="12">
        <v>0.195564516129032</v>
      </c>
      <c r="S903" s="14">
        <v>56</v>
      </c>
      <c r="T903" s="12">
        <v>0.34485737234522501</v>
      </c>
      <c r="U903" s="14">
        <v>875</v>
      </c>
      <c r="V903" s="14">
        <v>1</v>
      </c>
      <c r="W903" s="12">
        <v>5.4999999999999997E-3</v>
      </c>
      <c r="X903" s="12">
        <v>0.35035737234522502</v>
      </c>
      <c r="Y903" s="14">
        <v>875</v>
      </c>
      <c r="Z903" s="14">
        <v>56</v>
      </c>
      <c r="AA903" s="12" t="s">
        <v>2371</v>
      </c>
    </row>
    <row r="904" spans="1:27" ht="14.25" x14ac:dyDescent="0.45">
      <c r="A904" s="12" t="s">
        <v>61</v>
      </c>
      <c r="B904" s="12" t="s">
        <v>1971</v>
      </c>
      <c r="C904" s="12" t="s">
        <v>1977</v>
      </c>
      <c r="D904" s="12" t="s">
        <v>1974</v>
      </c>
      <c r="E904" s="20">
        <v>26636</v>
      </c>
      <c r="F904" s="20">
        <v>43383</v>
      </c>
      <c r="G904" s="12">
        <v>610.89</v>
      </c>
      <c r="H904" s="12">
        <v>39.266666666666701</v>
      </c>
      <c r="I904" s="13">
        <v>15.557470288624801</v>
      </c>
      <c r="J904" s="12" t="s">
        <v>61</v>
      </c>
      <c r="K904" s="14">
        <v>183</v>
      </c>
      <c r="L904" s="14">
        <v>196</v>
      </c>
      <c r="M904" s="14">
        <v>112</v>
      </c>
      <c r="N904" s="12">
        <v>610.89</v>
      </c>
      <c r="O904" s="12" t="s">
        <v>61</v>
      </c>
      <c r="P904" s="12">
        <v>9.82699128924064E-2</v>
      </c>
      <c r="Q904" s="12">
        <v>7.0841364389080494E-2</v>
      </c>
      <c r="R904" s="12">
        <v>0.59375</v>
      </c>
      <c r="S904" s="14">
        <v>50</v>
      </c>
      <c r="T904" s="12">
        <v>8.1127070077827792</v>
      </c>
      <c r="U904" s="14">
        <v>147</v>
      </c>
      <c r="V904" s="14">
        <v>10</v>
      </c>
      <c r="W904" s="12">
        <v>6.4000000000000003E-3</v>
      </c>
      <c r="X904" s="12">
        <v>8.1191070077827696</v>
      </c>
      <c r="Y904" s="14">
        <v>147</v>
      </c>
      <c r="Z904" s="14">
        <v>49</v>
      </c>
      <c r="AA904" s="12" t="s">
        <v>2371</v>
      </c>
    </row>
    <row r="905" spans="1:27" ht="14.25" x14ac:dyDescent="0.45">
      <c r="A905" s="12" t="s">
        <v>85</v>
      </c>
      <c r="B905" s="12" t="s">
        <v>1971</v>
      </c>
      <c r="C905" s="12" t="s">
        <v>1977</v>
      </c>
      <c r="D905" s="12" t="s">
        <v>2007</v>
      </c>
      <c r="E905" s="20">
        <v>26940</v>
      </c>
      <c r="F905" s="20">
        <v>43395</v>
      </c>
      <c r="G905" s="12">
        <v>199.43</v>
      </c>
      <c r="H905" s="12">
        <v>38.866666666666703</v>
      </c>
      <c r="I905" s="13">
        <v>5.1311320754717</v>
      </c>
      <c r="J905" s="12" t="s">
        <v>85</v>
      </c>
      <c r="K905" s="14">
        <v>439</v>
      </c>
      <c r="L905" s="14">
        <v>205</v>
      </c>
      <c r="M905" s="14">
        <v>289</v>
      </c>
      <c r="N905" s="12">
        <v>199.43</v>
      </c>
      <c r="O905" s="12" t="s">
        <v>85</v>
      </c>
      <c r="P905" s="12">
        <v>3.20810108663305E-2</v>
      </c>
      <c r="Q905" s="12">
        <v>2.33647495603941E-2</v>
      </c>
      <c r="R905" s="12">
        <v>0.58770161290322598</v>
      </c>
      <c r="S905" s="14">
        <v>49</v>
      </c>
      <c r="T905" s="12">
        <v>2.6633347550120199</v>
      </c>
      <c r="U905" s="14">
        <v>393</v>
      </c>
      <c r="V905" s="14">
        <v>7</v>
      </c>
      <c r="W905" s="12">
        <v>6.1000000000000004E-3</v>
      </c>
      <c r="X905" s="12">
        <v>2.6694347550120199</v>
      </c>
      <c r="Y905" s="14">
        <v>393</v>
      </c>
      <c r="Z905" s="14">
        <v>48</v>
      </c>
      <c r="AA905" s="12" t="s">
        <v>2371</v>
      </c>
    </row>
    <row r="906" spans="1:27" ht="14.25" x14ac:dyDescent="0.45">
      <c r="A906" s="12" t="s">
        <v>87</v>
      </c>
      <c r="B906" s="12" t="s">
        <v>1971</v>
      </c>
      <c r="C906" s="12" t="s">
        <v>1977</v>
      </c>
      <c r="D906" s="12" t="s">
        <v>1990</v>
      </c>
      <c r="E906" s="20">
        <v>31372</v>
      </c>
      <c r="F906" s="20">
        <v>44123</v>
      </c>
      <c r="G906" s="12">
        <v>1.42</v>
      </c>
      <c r="H906" s="12">
        <v>14.6</v>
      </c>
      <c r="I906" s="13">
        <v>9.7260273972602701E-2</v>
      </c>
      <c r="J906" s="12" t="s">
        <v>87</v>
      </c>
      <c r="K906" s="14">
        <v>1501</v>
      </c>
      <c r="L906" s="14">
        <v>552</v>
      </c>
      <c r="M906" s="14">
        <v>1486</v>
      </c>
      <c r="N906" s="12">
        <v>1.42</v>
      </c>
      <c r="O906" s="12" t="s">
        <v>87</v>
      </c>
      <c r="P906" s="12">
        <v>2.2842619179756901E-4</v>
      </c>
      <c r="Q906" s="12">
        <v>4.42877304680619E-4</v>
      </c>
      <c r="R906" s="12">
        <v>0.22076612903225801</v>
      </c>
      <c r="S906" s="14">
        <v>37</v>
      </c>
      <c r="T906" s="12">
        <v>3.62458137349475E-2</v>
      </c>
      <c r="U906" s="14">
        <v>1576</v>
      </c>
      <c r="V906" s="14">
        <v>1</v>
      </c>
      <c r="W906" s="12">
        <v>5.4999999999999997E-3</v>
      </c>
      <c r="X906" s="12">
        <v>4.1745813734947498E-2</v>
      </c>
      <c r="Y906" s="14">
        <v>1576</v>
      </c>
      <c r="Z906" s="14">
        <v>36</v>
      </c>
      <c r="AA906" s="12" t="s">
        <v>2369</v>
      </c>
    </row>
    <row r="907" spans="1:27" ht="14.25" x14ac:dyDescent="0.45">
      <c r="A907" s="12" t="s">
        <v>98</v>
      </c>
      <c r="B907" s="12" t="s">
        <v>1971</v>
      </c>
      <c r="C907" s="12" t="s">
        <v>1977</v>
      </c>
      <c r="D907" s="12" t="s">
        <v>1974</v>
      </c>
      <c r="E907" s="20">
        <v>29555</v>
      </c>
      <c r="F907" s="20">
        <v>44110</v>
      </c>
      <c r="G907" s="12">
        <v>765.48</v>
      </c>
      <c r="H907" s="12">
        <v>15.033333333333299</v>
      </c>
      <c r="I907" s="13">
        <v>50.918847006651902</v>
      </c>
      <c r="J907" s="12" t="s">
        <v>98</v>
      </c>
      <c r="K907" s="14">
        <v>42</v>
      </c>
      <c r="L907" s="14">
        <v>515</v>
      </c>
      <c r="M907" s="14">
        <v>78</v>
      </c>
      <c r="N907" s="12">
        <v>765.48</v>
      </c>
      <c r="O907" s="12" t="s">
        <v>98</v>
      </c>
      <c r="P907" s="12">
        <v>0.123137803730425</v>
      </c>
      <c r="Q907" s="12">
        <v>0.23186035571011401</v>
      </c>
      <c r="R907" s="12">
        <v>0.227318548387097</v>
      </c>
      <c r="S907" s="14">
        <v>42</v>
      </c>
      <c r="T907" s="12">
        <v>19.108939871773</v>
      </c>
      <c r="U907" s="14">
        <v>54</v>
      </c>
      <c r="V907" s="14">
        <v>8</v>
      </c>
      <c r="W907" s="12">
        <v>6.1999999999999998E-3</v>
      </c>
      <c r="X907" s="12">
        <v>19.115139871773</v>
      </c>
      <c r="Y907" s="14">
        <v>54</v>
      </c>
      <c r="Z907" s="14">
        <v>41</v>
      </c>
      <c r="AA907" s="12" t="s">
        <v>2369</v>
      </c>
    </row>
    <row r="908" spans="1:27" ht="14.25" x14ac:dyDescent="0.45">
      <c r="A908" s="12" t="s">
        <v>112</v>
      </c>
      <c r="B908" s="12" t="s">
        <v>1971</v>
      </c>
      <c r="C908" s="12" t="s">
        <v>1977</v>
      </c>
      <c r="D908" s="12" t="s">
        <v>2003</v>
      </c>
      <c r="E908" s="20">
        <v>35691</v>
      </c>
      <c r="F908" s="20">
        <v>44140</v>
      </c>
      <c r="G908" s="12">
        <v>28.68</v>
      </c>
      <c r="H908" s="12">
        <v>14.033333333333299</v>
      </c>
      <c r="I908" s="13">
        <v>2.0437054631829001</v>
      </c>
      <c r="J908" s="12" t="s">
        <v>112</v>
      </c>
      <c r="K908" s="14">
        <v>650</v>
      </c>
      <c r="L908" s="14">
        <v>607</v>
      </c>
      <c r="M908" s="14">
        <v>581</v>
      </c>
      <c r="N908" s="12">
        <v>28.68</v>
      </c>
      <c r="O908" s="12" t="s">
        <v>112</v>
      </c>
      <c r="P908" s="12">
        <v>4.6135656202495002E-3</v>
      </c>
      <c r="Q908" s="12">
        <v>9.3060684504185E-3</v>
      </c>
      <c r="R908" s="12">
        <v>0.212197580645161</v>
      </c>
      <c r="S908" s="14">
        <v>25</v>
      </c>
      <c r="T908" s="12">
        <v>0.75463798891051204</v>
      </c>
      <c r="U908" s="14">
        <v>695</v>
      </c>
      <c r="V908" s="14">
        <v>2</v>
      </c>
      <c r="W908" s="12">
        <v>5.5999999999999999E-3</v>
      </c>
      <c r="X908" s="12">
        <v>0.76023798891051197</v>
      </c>
      <c r="Y908" s="14">
        <v>695</v>
      </c>
      <c r="Z908" s="14">
        <v>24</v>
      </c>
      <c r="AA908" s="12" t="s">
        <v>2370</v>
      </c>
    </row>
    <row r="909" spans="1:27" ht="14.25" x14ac:dyDescent="0.45">
      <c r="A909" s="12" t="s">
        <v>126</v>
      </c>
      <c r="B909" s="12" t="s">
        <v>1971</v>
      </c>
      <c r="C909" s="12" t="s">
        <v>1977</v>
      </c>
      <c r="D909" s="12" t="s">
        <v>1974</v>
      </c>
      <c r="E909" s="20">
        <v>29391</v>
      </c>
      <c r="F909" s="20">
        <v>43298</v>
      </c>
      <c r="G909" s="12">
        <v>775.72</v>
      </c>
      <c r="H909" s="12">
        <v>42.1</v>
      </c>
      <c r="I909" s="13">
        <v>18.4256532066508</v>
      </c>
      <c r="J909" s="12" t="s">
        <v>126</v>
      </c>
      <c r="K909" s="14">
        <v>148</v>
      </c>
      <c r="L909" s="14">
        <v>128</v>
      </c>
      <c r="M909" s="14">
        <v>75</v>
      </c>
      <c r="N909" s="12">
        <v>775.72</v>
      </c>
      <c r="O909" s="12" t="s">
        <v>126</v>
      </c>
      <c r="P909" s="12">
        <v>0.124785046127613</v>
      </c>
      <c r="Q909" s="12">
        <v>8.3901713370044595E-2</v>
      </c>
      <c r="R909" s="12">
        <v>0.63659274193548399</v>
      </c>
      <c r="S909" s="14">
        <v>42</v>
      </c>
      <c r="T909" s="12">
        <v>9.9232963154132694</v>
      </c>
      <c r="U909" s="14">
        <v>110</v>
      </c>
      <c r="V909" s="14">
        <v>10</v>
      </c>
      <c r="W909" s="12">
        <v>6.4000000000000003E-3</v>
      </c>
      <c r="X909" s="12">
        <v>9.9296963154132705</v>
      </c>
      <c r="Y909" s="14">
        <v>110</v>
      </c>
      <c r="Z909" s="14">
        <v>42</v>
      </c>
      <c r="AA909" s="12" t="s">
        <v>2369</v>
      </c>
    </row>
    <row r="910" spans="1:27" ht="14.25" x14ac:dyDescent="0.45">
      <c r="A910" s="12" t="s">
        <v>133</v>
      </c>
      <c r="B910" s="12" t="s">
        <v>1971</v>
      </c>
      <c r="C910" s="12" t="s">
        <v>1977</v>
      </c>
      <c r="D910" s="12" t="s">
        <v>1975</v>
      </c>
      <c r="E910" s="20">
        <v>43824</v>
      </c>
      <c r="F910" s="20">
        <v>43817</v>
      </c>
      <c r="G910" s="12">
        <v>0.03</v>
      </c>
      <c r="H910" s="12">
        <v>24.8</v>
      </c>
      <c r="I910" s="13">
        <v>1.2096774193548401E-3</v>
      </c>
      <c r="J910" s="12" t="s">
        <v>133</v>
      </c>
      <c r="K910" s="14">
        <v>1826</v>
      </c>
      <c r="L910" s="14">
        <v>378</v>
      </c>
      <c r="M910" s="14">
        <v>1895</v>
      </c>
      <c r="N910" s="12">
        <v>0.03</v>
      </c>
      <c r="O910" s="12" t="s">
        <v>133</v>
      </c>
      <c r="P910" s="12">
        <v>4.8259054605120303E-6</v>
      </c>
      <c r="Q910" s="12">
        <v>5.5082990529904303E-6</v>
      </c>
      <c r="R910" s="12">
        <v>0.375</v>
      </c>
      <c r="S910" s="14">
        <v>3</v>
      </c>
      <c r="T910" s="12">
        <v>5.2524014558110301E-4</v>
      </c>
      <c r="U910" s="14">
        <v>1934</v>
      </c>
      <c r="V910" s="14">
        <v>1</v>
      </c>
      <c r="W910" s="12">
        <v>5.4999999999999997E-3</v>
      </c>
      <c r="X910" s="12">
        <v>6.0252401455811004E-3</v>
      </c>
      <c r="Y910" s="14">
        <v>1934</v>
      </c>
      <c r="Z910" s="14">
        <v>2</v>
      </c>
      <c r="AA910" s="12" t="s">
        <v>2372</v>
      </c>
    </row>
    <row r="911" spans="1:27" ht="14.25" x14ac:dyDescent="0.45">
      <c r="A911" s="12" t="s">
        <v>258</v>
      </c>
      <c r="B911" s="12" t="s">
        <v>1971</v>
      </c>
      <c r="C911" s="12" t="s">
        <v>1977</v>
      </c>
      <c r="D911" s="12" t="s">
        <v>1975</v>
      </c>
      <c r="E911" s="20">
        <v>27550</v>
      </c>
      <c r="F911" s="20">
        <v>44211</v>
      </c>
      <c r="G911" s="12">
        <v>242.3</v>
      </c>
      <c r="H911" s="12">
        <v>11.6666666666667</v>
      </c>
      <c r="I911" s="13">
        <v>20.768571428571398</v>
      </c>
      <c r="J911" s="12" t="s">
        <v>258</v>
      </c>
      <c r="K911" s="14">
        <v>129</v>
      </c>
      <c r="L911" s="14">
        <v>823</v>
      </c>
      <c r="M911" s="14">
        <v>261</v>
      </c>
      <c r="N911" s="12">
        <v>242.3</v>
      </c>
      <c r="O911" s="12" t="s">
        <v>258</v>
      </c>
      <c r="P911" s="12">
        <v>3.89772297694021E-2</v>
      </c>
      <c r="Q911" s="12">
        <v>9.4570255261090405E-2</v>
      </c>
      <c r="R911" s="12">
        <v>0.17641129032258099</v>
      </c>
      <c r="S911" s="14">
        <v>47</v>
      </c>
      <c r="T911" s="12">
        <v>7.3722870701707297</v>
      </c>
      <c r="U911" s="14">
        <v>176</v>
      </c>
      <c r="V911" s="14">
        <v>16</v>
      </c>
      <c r="W911" s="12">
        <v>6.8999999999999999E-3</v>
      </c>
      <c r="X911" s="12">
        <v>7.3791870701707296</v>
      </c>
      <c r="Y911" s="14">
        <v>176</v>
      </c>
      <c r="Z911" s="14">
        <v>47</v>
      </c>
      <c r="AA911" s="12" t="s">
        <v>2371</v>
      </c>
    </row>
    <row r="912" spans="1:27" ht="14.25" x14ac:dyDescent="0.45">
      <c r="A912" s="12" t="s">
        <v>261</v>
      </c>
      <c r="B912" s="12" t="s">
        <v>1971</v>
      </c>
      <c r="C912" s="12" t="s">
        <v>1977</v>
      </c>
      <c r="D912" s="12" t="s">
        <v>2072</v>
      </c>
      <c r="E912" s="20">
        <v>29661</v>
      </c>
      <c r="F912" s="20">
        <v>43399</v>
      </c>
      <c r="G912" s="12">
        <v>310.83999999999997</v>
      </c>
      <c r="H912" s="12">
        <v>38.733333333333299</v>
      </c>
      <c r="I912" s="13">
        <v>8.0251290877796908</v>
      </c>
      <c r="J912" s="12" t="s">
        <v>261</v>
      </c>
      <c r="K912" s="14">
        <v>351</v>
      </c>
      <c r="L912" s="14">
        <v>207</v>
      </c>
      <c r="M912" s="14">
        <v>214</v>
      </c>
      <c r="N912" s="12">
        <v>310.83999999999997</v>
      </c>
      <c r="O912" s="12" t="s">
        <v>261</v>
      </c>
      <c r="P912" s="12">
        <v>5.0002815111518599E-2</v>
      </c>
      <c r="Q912" s="12">
        <v>3.6542643722256699E-2</v>
      </c>
      <c r="R912" s="12">
        <v>0.58568548387096797</v>
      </c>
      <c r="S912" s="14">
        <v>41</v>
      </c>
      <c r="T912" s="12">
        <v>4.15902079932299</v>
      </c>
      <c r="U912" s="14">
        <v>300</v>
      </c>
      <c r="V912" s="14">
        <v>5</v>
      </c>
      <c r="W912" s="12">
        <v>5.8999999999999999E-3</v>
      </c>
      <c r="X912" s="12">
        <v>4.1649207993229904</v>
      </c>
      <c r="Y912" s="14">
        <v>300</v>
      </c>
      <c r="Z912" s="14">
        <v>41</v>
      </c>
      <c r="AA912" s="12" t="s">
        <v>2369</v>
      </c>
    </row>
    <row r="913" spans="1:27" ht="14.25" x14ac:dyDescent="0.45">
      <c r="A913" s="12" t="s">
        <v>264</v>
      </c>
      <c r="B913" s="12" t="s">
        <v>1971</v>
      </c>
      <c r="C913" s="12" t="s">
        <v>1977</v>
      </c>
      <c r="D913" s="12" t="s">
        <v>1974</v>
      </c>
      <c r="E913" s="20">
        <v>30812</v>
      </c>
      <c r="F913" s="20">
        <v>44151</v>
      </c>
      <c r="G913" s="12">
        <v>373.34</v>
      </c>
      <c r="H913" s="12">
        <v>13.6666666666667</v>
      </c>
      <c r="I913" s="13">
        <v>27.317560975609801</v>
      </c>
      <c r="J913" s="12" t="s">
        <v>264</v>
      </c>
      <c r="K913" s="14">
        <v>92</v>
      </c>
      <c r="L913" s="14">
        <v>625</v>
      </c>
      <c r="M913" s="14">
        <v>192</v>
      </c>
      <c r="N913" s="12">
        <v>373.34</v>
      </c>
      <c r="O913" s="12" t="s">
        <v>264</v>
      </c>
      <c r="P913" s="12">
        <v>6.0056784820918703E-2</v>
      </c>
      <c r="Q913" s="12">
        <v>0.12439125740828701</v>
      </c>
      <c r="R913" s="12">
        <v>0.20665322580645201</v>
      </c>
      <c r="S913" s="14">
        <v>38</v>
      </c>
      <c r="T913" s="12">
        <v>10.0265830188024</v>
      </c>
      <c r="U913" s="14">
        <v>108</v>
      </c>
      <c r="V913" s="14">
        <v>3</v>
      </c>
      <c r="W913" s="12">
        <v>5.7000000000000002E-3</v>
      </c>
      <c r="X913" s="12">
        <v>10.032283018802399</v>
      </c>
      <c r="Y913" s="14">
        <v>108</v>
      </c>
      <c r="Z913" s="14">
        <v>38</v>
      </c>
      <c r="AA913" s="12" t="s">
        <v>2369</v>
      </c>
    </row>
    <row r="914" spans="1:27" ht="14.25" x14ac:dyDescent="0.45">
      <c r="A914" s="12" t="s">
        <v>265</v>
      </c>
      <c r="B914" s="12" t="s">
        <v>1971</v>
      </c>
      <c r="C914" s="12" t="s">
        <v>1977</v>
      </c>
      <c r="D914" s="12" t="s">
        <v>1975</v>
      </c>
      <c r="E914" s="20">
        <v>24010</v>
      </c>
      <c r="F914" s="20">
        <v>43336</v>
      </c>
      <c r="G914" s="12">
        <v>459</v>
      </c>
      <c r="H914" s="12">
        <v>40.8333333333333</v>
      </c>
      <c r="I914" s="13">
        <v>11.2408163265306</v>
      </c>
      <c r="J914" s="12" t="s">
        <v>265</v>
      </c>
      <c r="K914" s="14">
        <v>259</v>
      </c>
      <c r="L914" s="14">
        <v>174</v>
      </c>
      <c r="M914" s="14">
        <v>156</v>
      </c>
      <c r="N914" s="12">
        <v>459</v>
      </c>
      <c r="O914" s="12" t="s">
        <v>265</v>
      </c>
      <c r="P914" s="12">
        <v>7.3836353545833996E-2</v>
      </c>
      <c r="Q914" s="12">
        <v>5.1185363085714898E-2</v>
      </c>
      <c r="R914" s="12">
        <v>0.61743951612903203</v>
      </c>
      <c r="S914" s="14">
        <v>57</v>
      </c>
      <c r="T914" s="12">
        <v>5.9679484508259604</v>
      </c>
      <c r="U914" s="14">
        <v>220</v>
      </c>
      <c r="V914" s="14">
        <v>14</v>
      </c>
      <c r="W914" s="12">
        <v>6.7000000000000002E-3</v>
      </c>
      <c r="X914" s="12">
        <v>5.9746484508259599</v>
      </c>
      <c r="Y914" s="14">
        <v>220</v>
      </c>
      <c r="Z914" s="14">
        <v>56</v>
      </c>
      <c r="AA914" s="12" t="s">
        <v>2371</v>
      </c>
    </row>
    <row r="915" spans="1:27" ht="14.25" x14ac:dyDescent="0.45">
      <c r="A915" s="12" t="s">
        <v>276</v>
      </c>
      <c r="B915" s="12" t="s">
        <v>1971</v>
      </c>
      <c r="C915" s="12" t="s">
        <v>1977</v>
      </c>
      <c r="D915" s="12" t="s">
        <v>1990</v>
      </c>
      <c r="E915" s="20">
        <v>31876</v>
      </c>
      <c r="F915" s="20">
        <v>42934</v>
      </c>
      <c r="G915" s="12">
        <v>572.38</v>
      </c>
      <c r="H915" s="12">
        <v>54.233333333333299</v>
      </c>
      <c r="I915" s="13">
        <v>10.5540258143823</v>
      </c>
      <c r="J915" s="12" t="s">
        <v>276</v>
      </c>
      <c r="K915" s="14">
        <v>275</v>
      </c>
      <c r="L915" s="14">
        <v>42</v>
      </c>
      <c r="M915" s="14">
        <v>128</v>
      </c>
      <c r="N915" s="12">
        <v>572.38</v>
      </c>
      <c r="O915" s="12" t="s">
        <v>276</v>
      </c>
      <c r="P915" s="12">
        <v>9.2075058916262498E-2</v>
      </c>
      <c r="Q915" s="12">
        <v>4.8058043796174801E-2</v>
      </c>
      <c r="R915" s="12">
        <v>0.82006048387096797</v>
      </c>
      <c r="S915" s="14">
        <v>35</v>
      </c>
      <c r="T915" s="12">
        <v>6.4564424466207697</v>
      </c>
      <c r="U915" s="14">
        <v>205</v>
      </c>
      <c r="V915" s="14">
        <v>7</v>
      </c>
      <c r="W915" s="12">
        <v>6.1000000000000004E-3</v>
      </c>
      <c r="X915" s="12">
        <v>6.4625424466207697</v>
      </c>
      <c r="Y915" s="14">
        <v>205</v>
      </c>
      <c r="Z915" s="14">
        <v>35</v>
      </c>
      <c r="AA915" s="12" t="s">
        <v>2369</v>
      </c>
    </row>
    <row r="916" spans="1:27" ht="14.25" x14ac:dyDescent="0.45">
      <c r="A916" s="12" t="s">
        <v>290</v>
      </c>
      <c r="B916" s="12" t="s">
        <v>1971</v>
      </c>
      <c r="C916" s="12" t="s">
        <v>1977</v>
      </c>
      <c r="D916" s="12" t="s">
        <v>1975</v>
      </c>
      <c r="E916" s="20">
        <v>27752</v>
      </c>
      <c r="F916" s="20">
        <v>43342</v>
      </c>
      <c r="G916" s="12">
        <v>876.27</v>
      </c>
      <c r="H916" s="12">
        <v>40.633333333333297</v>
      </c>
      <c r="I916" s="13">
        <v>21.565299425758798</v>
      </c>
      <c r="J916" s="12" t="s">
        <v>290</v>
      </c>
      <c r="K916" s="14">
        <v>125</v>
      </c>
      <c r="L916" s="14">
        <v>179</v>
      </c>
      <c r="M916" s="14">
        <v>63</v>
      </c>
      <c r="N916" s="12">
        <v>876.27</v>
      </c>
      <c r="O916" s="12" t="s">
        <v>290</v>
      </c>
      <c r="P916" s="12">
        <v>0.14095987259609599</v>
      </c>
      <c r="Q916" s="12">
        <v>9.8198177880939597E-2</v>
      </c>
      <c r="R916" s="12">
        <v>0.61441532258064502</v>
      </c>
      <c r="S916" s="14">
        <v>47</v>
      </c>
      <c r="T916" s="12">
        <v>11.4233813399123</v>
      </c>
      <c r="U916" s="14">
        <v>92</v>
      </c>
      <c r="V916" s="14">
        <v>30</v>
      </c>
      <c r="W916" s="12">
        <v>7.7000000000000002E-3</v>
      </c>
      <c r="X916" s="12">
        <v>11.4310813399123</v>
      </c>
      <c r="Y916" s="14">
        <v>92</v>
      </c>
      <c r="Z916" s="14">
        <v>46</v>
      </c>
      <c r="AA916" s="12" t="s">
        <v>2371</v>
      </c>
    </row>
    <row r="917" spans="1:27" ht="14.25" x14ac:dyDescent="0.45">
      <c r="A917" s="12" t="s">
        <v>301</v>
      </c>
      <c r="B917" s="12" t="s">
        <v>1971</v>
      </c>
      <c r="C917" s="12" t="s">
        <v>1977</v>
      </c>
      <c r="D917" s="12" t="s">
        <v>1975</v>
      </c>
      <c r="E917" s="20">
        <v>30509</v>
      </c>
      <c r="F917" s="20">
        <v>43439</v>
      </c>
      <c r="G917" s="12">
        <v>288.2</v>
      </c>
      <c r="H917" s="12">
        <v>37.4</v>
      </c>
      <c r="I917" s="13">
        <v>7.7058823529411802</v>
      </c>
      <c r="J917" s="12" t="s">
        <v>301</v>
      </c>
      <c r="K917" s="14">
        <v>360</v>
      </c>
      <c r="L917" s="14">
        <v>214</v>
      </c>
      <c r="M917" s="14">
        <v>232</v>
      </c>
      <c r="N917" s="12">
        <v>288.2</v>
      </c>
      <c r="O917" s="12" t="s">
        <v>301</v>
      </c>
      <c r="P917" s="12">
        <v>4.6360865123985497E-2</v>
      </c>
      <c r="Q917" s="12">
        <v>3.5088945026186903E-2</v>
      </c>
      <c r="R917" s="12">
        <v>0.56552419354838701</v>
      </c>
      <c r="S917" s="14">
        <v>39</v>
      </c>
      <c r="T917" s="12">
        <v>3.9315915062861402</v>
      </c>
      <c r="U917" s="14">
        <v>314</v>
      </c>
      <c r="V917" s="14">
        <v>12</v>
      </c>
      <c r="W917" s="12">
        <v>6.6E-3</v>
      </c>
      <c r="X917" s="12">
        <v>3.9381915062861399</v>
      </c>
      <c r="Y917" s="14">
        <v>314</v>
      </c>
      <c r="Z917" s="14">
        <v>39</v>
      </c>
      <c r="AA917" s="12" t="s">
        <v>2369</v>
      </c>
    </row>
    <row r="918" spans="1:27" ht="14.25" x14ac:dyDescent="0.45">
      <c r="A918" s="12" t="s">
        <v>321</v>
      </c>
      <c r="B918" s="12" t="s">
        <v>1971</v>
      </c>
      <c r="C918" s="12" t="s">
        <v>1977</v>
      </c>
      <c r="D918" s="12" t="s">
        <v>1990</v>
      </c>
      <c r="E918" s="20">
        <v>35794</v>
      </c>
      <c r="F918" s="20">
        <v>44162</v>
      </c>
      <c r="G918" s="12">
        <v>0.45</v>
      </c>
      <c r="H918" s="12">
        <v>13.3</v>
      </c>
      <c r="I918" s="13">
        <v>3.3834586466165398E-2</v>
      </c>
      <c r="J918" s="12" t="s">
        <v>321</v>
      </c>
      <c r="K918" s="14">
        <v>1644</v>
      </c>
      <c r="L918" s="14">
        <v>652</v>
      </c>
      <c r="M918" s="14">
        <v>1697</v>
      </c>
      <c r="N918" s="12">
        <v>0.45</v>
      </c>
      <c r="O918" s="12" t="s">
        <v>321</v>
      </c>
      <c r="P918" s="12">
        <v>7.2388581907680406E-5</v>
      </c>
      <c r="Q918" s="12">
        <v>1.54066710354319E-4</v>
      </c>
      <c r="R918" s="12">
        <v>0.20110887096774199</v>
      </c>
      <c r="S918" s="14">
        <v>25</v>
      </c>
      <c r="T918" s="12">
        <v>1.23437412186829E-2</v>
      </c>
      <c r="U918" s="14">
        <v>1739</v>
      </c>
      <c r="V918" s="14">
        <v>1</v>
      </c>
      <c r="W918" s="12">
        <v>5.4999999999999997E-3</v>
      </c>
      <c r="X918" s="12">
        <v>1.7843741218682901E-2</v>
      </c>
      <c r="Y918" s="14">
        <v>1739</v>
      </c>
      <c r="Z918" s="14">
        <v>24</v>
      </c>
      <c r="AA918" s="12" t="s">
        <v>2370</v>
      </c>
    </row>
    <row r="919" spans="1:27" ht="14.25" x14ac:dyDescent="0.45">
      <c r="A919" s="12" t="s">
        <v>332</v>
      </c>
      <c r="B919" s="12" t="s">
        <v>1971</v>
      </c>
      <c r="C919" s="12" t="s">
        <v>1977</v>
      </c>
      <c r="D919" s="12" t="s">
        <v>1974</v>
      </c>
      <c r="E919" s="20">
        <v>27718</v>
      </c>
      <c r="F919" s="20">
        <v>42836</v>
      </c>
      <c r="G919" s="12">
        <v>2478.02</v>
      </c>
      <c r="H919" s="12">
        <v>57.5</v>
      </c>
      <c r="I919" s="13">
        <v>43.095999999999997</v>
      </c>
      <c r="J919" s="12" t="s">
        <v>332</v>
      </c>
      <c r="K919" s="14">
        <v>54</v>
      </c>
      <c r="L919" s="14">
        <v>22</v>
      </c>
      <c r="M919" s="14">
        <v>13</v>
      </c>
      <c r="N919" s="12">
        <v>2478.02</v>
      </c>
      <c r="O919" s="12" t="s">
        <v>332</v>
      </c>
      <c r="P919" s="12">
        <v>0.39862300830860098</v>
      </c>
      <c r="Q919" s="12">
        <v>0.19623880894981199</v>
      </c>
      <c r="R919" s="12">
        <v>0.86945564516129004</v>
      </c>
      <c r="S919" s="14">
        <v>47</v>
      </c>
      <c r="T919" s="12">
        <v>27.2132883709358</v>
      </c>
      <c r="U919" s="14">
        <v>35</v>
      </c>
      <c r="V919" s="14">
        <v>66</v>
      </c>
      <c r="W919" s="12">
        <v>9.1999999999999998E-3</v>
      </c>
      <c r="X919" s="12">
        <v>27.2224883709358</v>
      </c>
      <c r="Y919" s="14">
        <v>35</v>
      </c>
      <c r="Z919" s="14">
        <v>46</v>
      </c>
      <c r="AA919" s="12" t="s">
        <v>2371</v>
      </c>
    </row>
    <row r="920" spans="1:27" ht="14.25" x14ac:dyDescent="0.45">
      <c r="A920" s="12" t="s">
        <v>348</v>
      </c>
      <c r="B920" s="12" t="s">
        <v>1971</v>
      </c>
      <c r="C920" s="12" t="s">
        <v>1977</v>
      </c>
      <c r="D920" s="12" t="s">
        <v>2020</v>
      </c>
      <c r="E920" s="20">
        <v>30874</v>
      </c>
      <c r="F920" s="20">
        <v>43389</v>
      </c>
      <c r="G920" s="12">
        <v>349.57</v>
      </c>
      <c r="H920" s="12">
        <v>39.066666666666698</v>
      </c>
      <c r="I920" s="13">
        <v>8.9480375426621208</v>
      </c>
      <c r="J920" s="12" t="s">
        <v>348</v>
      </c>
      <c r="K920" s="14">
        <v>324</v>
      </c>
      <c r="L920" s="14">
        <v>200</v>
      </c>
      <c r="M920" s="14">
        <v>198</v>
      </c>
      <c r="N920" s="12">
        <v>349.57</v>
      </c>
      <c r="O920" s="12" t="s">
        <v>348</v>
      </c>
      <c r="P920" s="12">
        <v>5.6233059061039599E-2</v>
      </c>
      <c r="Q920" s="12">
        <v>4.0745132490491401E-2</v>
      </c>
      <c r="R920" s="12">
        <v>0.59072580645161299</v>
      </c>
      <c r="S920" s="14">
        <v>38</v>
      </c>
      <c r="T920" s="12">
        <v>4.6553104954447004</v>
      </c>
      <c r="U920" s="14">
        <v>279</v>
      </c>
      <c r="V920" s="14">
        <v>6</v>
      </c>
      <c r="W920" s="12">
        <v>6.0000000000000001E-3</v>
      </c>
      <c r="X920" s="12">
        <v>4.6613104954446998</v>
      </c>
      <c r="Y920" s="14">
        <v>279</v>
      </c>
      <c r="Z920" s="14">
        <v>38</v>
      </c>
      <c r="AA920" s="12" t="s">
        <v>2369</v>
      </c>
    </row>
    <row r="921" spans="1:27" ht="14.25" x14ac:dyDescent="0.45">
      <c r="A921" s="12" t="s">
        <v>357</v>
      </c>
      <c r="B921" s="12" t="s">
        <v>1971</v>
      </c>
      <c r="C921" s="12" t="s">
        <v>1977</v>
      </c>
      <c r="D921" s="12" t="s">
        <v>1993</v>
      </c>
      <c r="E921" s="20">
        <v>27530</v>
      </c>
      <c r="F921" s="20">
        <v>43328</v>
      </c>
      <c r="G921" s="12">
        <v>546.22</v>
      </c>
      <c r="H921" s="12">
        <v>41.1</v>
      </c>
      <c r="I921" s="13">
        <v>13.2900243309002</v>
      </c>
      <c r="J921" s="12" t="s">
        <v>357</v>
      </c>
      <c r="K921" s="14">
        <v>219</v>
      </c>
      <c r="L921" s="14">
        <v>162</v>
      </c>
      <c r="M921" s="14">
        <v>135</v>
      </c>
      <c r="N921" s="12">
        <v>546.22</v>
      </c>
      <c r="O921" s="12" t="s">
        <v>357</v>
      </c>
      <c r="P921" s="12">
        <v>8.7866869354695995E-2</v>
      </c>
      <c r="Q921" s="12">
        <v>6.0516487507190603E-2</v>
      </c>
      <c r="R921" s="12">
        <v>0.62147177419354804</v>
      </c>
      <c r="S921" s="14">
        <v>47</v>
      </c>
      <c r="T921" s="12">
        <v>7.0772880700005096</v>
      </c>
      <c r="U921" s="14">
        <v>185</v>
      </c>
      <c r="V921" s="14">
        <v>14</v>
      </c>
      <c r="W921" s="12">
        <v>6.7000000000000002E-3</v>
      </c>
      <c r="X921" s="12">
        <v>7.08398807000051</v>
      </c>
      <c r="Y921" s="14">
        <v>185</v>
      </c>
      <c r="Z921" s="14">
        <v>47</v>
      </c>
      <c r="AA921" s="12" t="s">
        <v>2371</v>
      </c>
    </row>
    <row r="922" spans="1:27" ht="14.25" x14ac:dyDescent="0.45">
      <c r="A922" s="12" t="s">
        <v>374</v>
      </c>
      <c r="B922" s="12" t="s">
        <v>1971</v>
      </c>
      <c r="C922" s="12" t="s">
        <v>1977</v>
      </c>
      <c r="D922" s="12" t="s">
        <v>1973</v>
      </c>
      <c r="E922" s="20">
        <v>29464</v>
      </c>
      <c r="F922" s="20">
        <v>44130</v>
      </c>
      <c r="G922" s="12">
        <v>149.72999999999999</v>
      </c>
      <c r="H922" s="12">
        <v>14.366666666666699</v>
      </c>
      <c r="I922" s="13">
        <v>10.422041763341101</v>
      </c>
      <c r="J922" s="12" t="s">
        <v>374</v>
      </c>
      <c r="K922" s="14">
        <v>283</v>
      </c>
      <c r="L922" s="14">
        <v>577</v>
      </c>
      <c r="M922" s="14">
        <v>321</v>
      </c>
      <c r="N922" s="12">
        <v>149.72999999999999</v>
      </c>
      <c r="O922" s="12" t="s">
        <v>374</v>
      </c>
      <c r="P922" s="12">
        <v>2.4086094153415501E-2</v>
      </c>
      <c r="Q922" s="12">
        <v>4.7457050827530399E-2</v>
      </c>
      <c r="R922" s="12">
        <v>0.21723790322580599</v>
      </c>
      <c r="S922" s="14">
        <v>42</v>
      </c>
      <c r="T922" s="12">
        <v>3.8692942074737302</v>
      </c>
      <c r="U922" s="14">
        <v>320</v>
      </c>
      <c r="V922" s="14">
        <v>4</v>
      </c>
      <c r="W922" s="12">
        <v>5.7999999999999996E-3</v>
      </c>
      <c r="X922" s="12">
        <v>3.87509420747373</v>
      </c>
      <c r="Y922" s="14">
        <v>320</v>
      </c>
      <c r="Z922" s="14">
        <v>41</v>
      </c>
      <c r="AA922" s="12" t="s">
        <v>2369</v>
      </c>
    </row>
    <row r="923" spans="1:27" ht="14.25" x14ac:dyDescent="0.45">
      <c r="A923" s="12" t="s">
        <v>382</v>
      </c>
      <c r="B923" s="12" t="s">
        <v>1971</v>
      </c>
      <c r="C923" s="12" t="s">
        <v>1977</v>
      </c>
      <c r="D923" s="12" t="s">
        <v>2072</v>
      </c>
      <c r="E923" s="20">
        <v>29504</v>
      </c>
      <c r="F923" s="20">
        <v>42986</v>
      </c>
      <c r="G923" s="12">
        <v>659.87</v>
      </c>
      <c r="H923" s="12">
        <v>52.5</v>
      </c>
      <c r="I923" s="13">
        <v>12.5689523809524</v>
      </c>
      <c r="J923" s="12" t="s">
        <v>382</v>
      </c>
      <c r="K923" s="14">
        <v>234</v>
      </c>
      <c r="L923" s="14">
        <v>54</v>
      </c>
      <c r="M923" s="14">
        <v>99</v>
      </c>
      <c r="N923" s="12">
        <v>659.87</v>
      </c>
      <c r="O923" s="12" t="s">
        <v>382</v>
      </c>
      <c r="P923" s="12">
        <v>0.10614900787426899</v>
      </c>
      <c r="Q923" s="12">
        <v>5.72330667575877E-2</v>
      </c>
      <c r="R923" s="12">
        <v>0.79385080645161299</v>
      </c>
      <c r="S923" s="14">
        <v>42</v>
      </c>
      <c r="T923" s="12">
        <v>7.55765446763432</v>
      </c>
      <c r="U923" s="14">
        <v>170</v>
      </c>
      <c r="V923" s="14">
        <v>12</v>
      </c>
      <c r="W923" s="12">
        <v>6.6E-3</v>
      </c>
      <c r="X923" s="12">
        <v>7.5642544676343197</v>
      </c>
      <c r="Y923" s="14">
        <v>170</v>
      </c>
      <c r="Z923" s="14">
        <v>41</v>
      </c>
      <c r="AA923" s="12" t="s">
        <v>2369</v>
      </c>
    </row>
    <row r="924" spans="1:27" ht="14.25" x14ac:dyDescent="0.45">
      <c r="A924" s="12" t="s">
        <v>404</v>
      </c>
      <c r="B924" s="12" t="s">
        <v>1971</v>
      </c>
      <c r="C924" s="12" t="s">
        <v>1977</v>
      </c>
      <c r="D924" s="12" t="s">
        <v>2072</v>
      </c>
      <c r="E924" s="20">
        <v>27052</v>
      </c>
      <c r="F924" s="20">
        <v>43025</v>
      </c>
      <c r="G924" s="12">
        <v>1555.93</v>
      </c>
      <c r="H924" s="12">
        <v>51.2</v>
      </c>
      <c r="I924" s="13">
        <v>30.389257812499999</v>
      </c>
      <c r="J924" s="12" t="s">
        <v>404</v>
      </c>
      <c r="K924" s="14">
        <v>79</v>
      </c>
      <c r="L924" s="14">
        <v>59</v>
      </c>
      <c r="M924" s="14">
        <v>31</v>
      </c>
      <c r="N924" s="12">
        <v>1555.93</v>
      </c>
      <c r="O924" s="12" t="s">
        <v>404</v>
      </c>
      <c r="P924" s="12">
        <v>0.25029236943914901</v>
      </c>
      <c r="Q924" s="12">
        <v>0.13837831255786501</v>
      </c>
      <c r="R924" s="12">
        <v>0.77419354838709697</v>
      </c>
      <c r="S924" s="14">
        <v>48</v>
      </c>
      <c r="T924" s="12">
        <v>18.034608388834702</v>
      </c>
      <c r="U924" s="14">
        <v>61</v>
      </c>
      <c r="V924" s="14">
        <v>10</v>
      </c>
      <c r="W924" s="12">
        <v>6.4000000000000003E-3</v>
      </c>
      <c r="X924" s="12">
        <v>18.041008388834701</v>
      </c>
      <c r="Y924" s="14">
        <v>61</v>
      </c>
      <c r="Z924" s="14">
        <v>48</v>
      </c>
      <c r="AA924" s="12" t="s">
        <v>2371</v>
      </c>
    </row>
    <row r="925" spans="1:27" ht="14.25" x14ac:dyDescent="0.45">
      <c r="A925" s="12" t="s">
        <v>408</v>
      </c>
      <c r="B925" s="12" t="s">
        <v>1971</v>
      </c>
      <c r="C925" s="12" t="s">
        <v>1977</v>
      </c>
      <c r="D925" s="12" t="s">
        <v>1995</v>
      </c>
      <c r="E925" s="20">
        <v>29981</v>
      </c>
      <c r="F925" s="20">
        <v>43901</v>
      </c>
      <c r="G925" s="12">
        <v>16.579999999999998</v>
      </c>
      <c r="H925" s="12">
        <v>22</v>
      </c>
      <c r="I925" s="13">
        <v>0.75363636363636399</v>
      </c>
      <c r="J925" s="12" t="s">
        <v>408</v>
      </c>
      <c r="K925" s="14">
        <v>906</v>
      </c>
      <c r="L925" s="14">
        <v>429</v>
      </c>
      <c r="M925" s="14">
        <v>749</v>
      </c>
      <c r="N925" s="12">
        <v>16.579999999999998</v>
      </c>
      <c r="O925" s="12" t="s">
        <v>408</v>
      </c>
      <c r="P925" s="12">
        <v>2.6671170845096498E-3</v>
      </c>
      <c r="Q925" s="12">
        <v>3.4317036936436598E-3</v>
      </c>
      <c r="R925" s="12">
        <v>0.33266129032258102</v>
      </c>
      <c r="S925" s="14">
        <v>40</v>
      </c>
      <c r="T925" s="12">
        <v>0.31449837152184101</v>
      </c>
      <c r="U925" s="14">
        <v>902</v>
      </c>
      <c r="V925" s="14">
        <v>2</v>
      </c>
      <c r="W925" s="12">
        <v>5.5999999999999999E-3</v>
      </c>
      <c r="X925" s="12">
        <v>0.32009837152184101</v>
      </c>
      <c r="Y925" s="14">
        <v>902</v>
      </c>
      <c r="Z925" s="14">
        <v>40</v>
      </c>
      <c r="AA925" s="12" t="s">
        <v>2369</v>
      </c>
    </row>
    <row r="926" spans="1:27" ht="14.25" x14ac:dyDescent="0.45">
      <c r="A926" s="12" t="s">
        <v>426</v>
      </c>
      <c r="B926" s="12" t="s">
        <v>1971</v>
      </c>
      <c r="C926" s="12" t="s">
        <v>1977</v>
      </c>
      <c r="D926" s="12" t="s">
        <v>1993</v>
      </c>
      <c r="E926" s="20">
        <v>30711</v>
      </c>
      <c r="F926" s="20">
        <v>43854</v>
      </c>
      <c r="G926" s="12">
        <v>23.45</v>
      </c>
      <c r="H926" s="12">
        <v>23.566666666666698</v>
      </c>
      <c r="I926" s="13">
        <v>0.99504950495049505</v>
      </c>
      <c r="J926" s="12" t="s">
        <v>426</v>
      </c>
      <c r="K926" s="14">
        <v>821</v>
      </c>
      <c r="L926" s="14">
        <v>396</v>
      </c>
      <c r="M926" s="14">
        <v>692</v>
      </c>
      <c r="N926" s="12">
        <v>23.45</v>
      </c>
      <c r="O926" s="12" t="s">
        <v>426</v>
      </c>
      <c r="P926" s="12">
        <v>3.7722494349668998E-3</v>
      </c>
      <c r="Q926" s="12">
        <v>4.53098500319253E-3</v>
      </c>
      <c r="R926" s="12">
        <v>0.35635080645161299</v>
      </c>
      <c r="S926" s="14">
        <v>38</v>
      </c>
      <c r="T926" s="12">
        <v>0.42464591651079198</v>
      </c>
      <c r="U926" s="14">
        <v>809</v>
      </c>
      <c r="V926" s="14">
        <v>2</v>
      </c>
      <c r="W926" s="12">
        <v>5.5999999999999999E-3</v>
      </c>
      <c r="X926" s="12">
        <v>0.43024591651079203</v>
      </c>
      <c r="Y926" s="14">
        <v>809</v>
      </c>
      <c r="Z926" s="14">
        <v>38</v>
      </c>
      <c r="AA926" s="12" t="s">
        <v>2369</v>
      </c>
    </row>
    <row r="927" spans="1:27" ht="14.25" x14ac:dyDescent="0.45">
      <c r="A927" s="12" t="s">
        <v>437</v>
      </c>
      <c r="B927" s="12" t="s">
        <v>1971</v>
      </c>
      <c r="C927" s="12" t="s">
        <v>1977</v>
      </c>
      <c r="D927" s="12" t="s">
        <v>1974</v>
      </c>
      <c r="E927" s="20">
        <v>29327</v>
      </c>
      <c r="F927" s="20">
        <v>43284</v>
      </c>
      <c r="G927" s="12">
        <v>308.16000000000003</v>
      </c>
      <c r="H927" s="12">
        <v>42.566666666666698</v>
      </c>
      <c r="I927" s="13">
        <v>7.2394675019577104</v>
      </c>
      <c r="J927" s="12" t="s">
        <v>437</v>
      </c>
      <c r="K927" s="14">
        <v>374</v>
      </c>
      <c r="L927" s="14">
        <v>113</v>
      </c>
      <c r="M927" s="14">
        <v>216</v>
      </c>
      <c r="N927" s="12">
        <v>308.16000000000003</v>
      </c>
      <c r="O927" s="12" t="s">
        <v>437</v>
      </c>
      <c r="P927" s="12">
        <v>4.95717008903796E-2</v>
      </c>
      <c r="Q927" s="12">
        <v>3.2965112307755999E-2</v>
      </c>
      <c r="R927" s="12">
        <v>0.64364919354838701</v>
      </c>
      <c r="S927" s="14">
        <v>42</v>
      </c>
      <c r="T927" s="12">
        <v>3.9192583026239798</v>
      </c>
      <c r="U927" s="14">
        <v>315</v>
      </c>
      <c r="V927" s="14">
        <v>4</v>
      </c>
      <c r="W927" s="12">
        <v>5.7999999999999996E-3</v>
      </c>
      <c r="X927" s="12">
        <v>3.92505830262398</v>
      </c>
      <c r="Y927" s="14">
        <v>315</v>
      </c>
      <c r="Z927" s="14">
        <v>42</v>
      </c>
      <c r="AA927" s="12" t="s">
        <v>2369</v>
      </c>
    </row>
    <row r="928" spans="1:27" ht="14.25" x14ac:dyDescent="0.45">
      <c r="A928" s="12" t="s">
        <v>451</v>
      </c>
      <c r="B928" s="12" t="s">
        <v>1971</v>
      </c>
      <c r="C928" s="12" t="s">
        <v>1977</v>
      </c>
      <c r="D928" s="12" t="s">
        <v>1974</v>
      </c>
      <c r="E928" s="20">
        <v>31751</v>
      </c>
      <c r="F928" s="20">
        <v>43284</v>
      </c>
      <c r="G928" s="12">
        <v>122.29</v>
      </c>
      <c r="H928" s="12">
        <v>42.566666666666698</v>
      </c>
      <c r="I928" s="13">
        <v>2.8729052466718898</v>
      </c>
      <c r="J928" s="12" t="s">
        <v>451</v>
      </c>
      <c r="K928" s="14">
        <v>564</v>
      </c>
      <c r="L928" s="14">
        <v>113</v>
      </c>
      <c r="M928" s="14">
        <v>351</v>
      </c>
      <c r="N928" s="12">
        <v>122.29</v>
      </c>
      <c r="O928" s="12" t="s">
        <v>451</v>
      </c>
      <c r="P928" s="12">
        <v>1.9671999292200499E-2</v>
      </c>
      <c r="Q928" s="12">
        <v>1.30818522329812E-2</v>
      </c>
      <c r="R928" s="12">
        <v>0.64364919354838701</v>
      </c>
      <c r="S928" s="14">
        <v>36</v>
      </c>
      <c r="T928" s="12">
        <v>1.55531573801884</v>
      </c>
      <c r="U928" s="14">
        <v>490</v>
      </c>
      <c r="V928" s="14">
        <v>6</v>
      </c>
      <c r="W928" s="12">
        <v>6.0000000000000001E-3</v>
      </c>
      <c r="X928" s="12">
        <v>1.56131573801884</v>
      </c>
      <c r="Y928" s="14">
        <v>490</v>
      </c>
      <c r="Z928" s="14">
        <v>35</v>
      </c>
      <c r="AA928" s="12" t="s">
        <v>2369</v>
      </c>
    </row>
    <row r="929" spans="1:27" ht="14.25" x14ac:dyDescent="0.45">
      <c r="A929" s="12" t="s">
        <v>485</v>
      </c>
      <c r="B929" s="12" t="s">
        <v>1971</v>
      </c>
      <c r="C929" s="12" t="s">
        <v>1977</v>
      </c>
      <c r="D929" s="12" t="s">
        <v>1974</v>
      </c>
      <c r="E929" s="20">
        <v>28298</v>
      </c>
      <c r="F929" s="20">
        <v>44207</v>
      </c>
      <c r="G929" s="12">
        <v>98.57</v>
      </c>
      <c r="H929" s="12">
        <v>11.8</v>
      </c>
      <c r="I929" s="13">
        <v>8.3533898305084708</v>
      </c>
      <c r="J929" s="12" t="s">
        <v>485</v>
      </c>
      <c r="K929" s="14">
        <v>340</v>
      </c>
      <c r="L929" s="14">
        <v>798</v>
      </c>
      <c r="M929" s="14">
        <v>387</v>
      </c>
      <c r="N929" s="12">
        <v>98.57</v>
      </c>
      <c r="O929" s="12" t="s">
        <v>485</v>
      </c>
      <c r="P929" s="12">
        <v>1.5856316708088999E-2</v>
      </c>
      <c r="Q929" s="12">
        <v>3.8037387948590497E-2</v>
      </c>
      <c r="R929" s="12">
        <v>0.178427419354839</v>
      </c>
      <c r="S929" s="14">
        <v>45</v>
      </c>
      <c r="T929" s="12">
        <v>2.9719486233402401</v>
      </c>
      <c r="U929" s="14">
        <v>377</v>
      </c>
      <c r="V929" s="14">
        <v>6</v>
      </c>
      <c r="W929" s="12">
        <v>6.0000000000000001E-3</v>
      </c>
      <c r="X929" s="12">
        <v>2.9779486233402399</v>
      </c>
      <c r="Y929" s="14">
        <v>377</v>
      </c>
      <c r="Z929" s="14">
        <v>45</v>
      </c>
      <c r="AA929" s="12" t="s">
        <v>2371</v>
      </c>
    </row>
    <row r="930" spans="1:27" ht="14.25" x14ac:dyDescent="0.45">
      <c r="A930" s="12" t="s">
        <v>486</v>
      </c>
      <c r="B930" s="12" t="s">
        <v>1971</v>
      </c>
      <c r="C930" s="12" t="s">
        <v>1977</v>
      </c>
      <c r="D930" s="12" t="s">
        <v>1974</v>
      </c>
      <c r="E930" s="20">
        <v>31289</v>
      </c>
      <c r="F930" s="20">
        <v>43279</v>
      </c>
      <c r="G930" s="12">
        <v>130.53</v>
      </c>
      <c r="H930" s="12">
        <v>42.733333333333299</v>
      </c>
      <c r="I930" s="13">
        <v>3.0545241809672401</v>
      </c>
      <c r="J930" s="12" t="s">
        <v>486</v>
      </c>
      <c r="K930" s="14">
        <v>555</v>
      </c>
      <c r="L930" s="14">
        <v>110</v>
      </c>
      <c r="M930" s="14">
        <v>340</v>
      </c>
      <c r="N930" s="12">
        <v>130.53</v>
      </c>
      <c r="O930" s="12" t="s">
        <v>486</v>
      </c>
      <c r="P930" s="12">
        <v>2.0997514658687801E-2</v>
      </c>
      <c r="Q930" s="12">
        <v>1.39088589934428E-2</v>
      </c>
      <c r="R930" s="12">
        <v>0.64616935483870996</v>
      </c>
      <c r="S930" s="14">
        <v>37</v>
      </c>
      <c r="T930" s="12">
        <v>1.6567104867909701</v>
      </c>
      <c r="U930" s="14">
        <v>468</v>
      </c>
      <c r="V930" s="14">
        <v>5</v>
      </c>
      <c r="W930" s="12">
        <v>5.8999999999999999E-3</v>
      </c>
      <c r="X930" s="12">
        <v>1.6626104867909699</v>
      </c>
      <c r="Y930" s="14">
        <v>468</v>
      </c>
      <c r="Z930" s="14">
        <v>36</v>
      </c>
      <c r="AA930" s="12" t="s">
        <v>2369</v>
      </c>
    </row>
    <row r="931" spans="1:27" ht="14.25" x14ac:dyDescent="0.45">
      <c r="A931" s="12" t="s">
        <v>559</v>
      </c>
      <c r="B931" s="12" t="s">
        <v>1971</v>
      </c>
      <c r="C931" s="12" t="s">
        <v>1977</v>
      </c>
      <c r="D931" s="12" t="s">
        <v>1974</v>
      </c>
      <c r="E931" s="20">
        <v>31369</v>
      </c>
      <c r="F931" s="20">
        <v>42915</v>
      </c>
      <c r="G931" s="12">
        <v>118.45</v>
      </c>
      <c r="H931" s="12">
        <v>54.866666666666703</v>
      </c>
      <c r="I931" s="13">
        <v>2.15886998784933</v>
      </c>
      <c r="J931" s="12" t="s">
        <v>559</v>
      </c>
      <c r="K931" s="14">
        <v>638</v>
      </c>
      <c r="L931" s="14">
        <v>35</v>
      </c>
      <c r="M931" s="14">
        <v>356</v>
      </c>
      <c r="N931" s="12">
        <v>118.45</v>
      </c>
      <c r="O931" s="12" t="s">
        <v>559</v>
      </c>
      <c r="P931" s="12">
        <v>1.9054283393255E-2</v>
      </c>
      <c r="Q931" s="12">
        <v>9.8304732479359506E-3</v>
      </c>
      <c r="R931" s="12">
        <v>0.82963709677419395</v>
      </c>
      <c r="S931" s="14">
        <v>37</v>
      </c>
      <c r="T931" s="12">
        <v>1.3289402052430599</v>
      </c>
      <c r="U931" s="14">
        <v>526</v>
      </c>
      <c r="V931" s="14">
        <v>16</v>
      </c>
      <c r="W931" s="12">
        <v>6.8999999999999999E-3</v>
      </c>
      <c r="X931" s="12">
        <v>1.33584020524306</v>
      </c>
      <c r="Y931" s="14">
        <v>526</v>
      </c>
      <c r="Z931" s="14">
        <v>36</v>
      </c>
      <c r="AA931" s="12" t="s">
        <v>2369</v>
      </c>
    </row>
    <row r="932" spans="1:27" ht="14.25" x14ac:dyDescent="0.45">
      <c r="A932" s="12" t="s">
        <v>607</v>
      </c>
      <c r="B932" s="12" t="s">
        <v>1971</v>
      </c>
      <c r="C932" s="12" t="s">
        <v>1977</v>
      </c>
      <c r="D932" s="12" t="s">
        <v>2091</v>
      </c>
      <c r="E932" s="20">
        <v>29824</v>
      </c>
      <c r="F932" s="20">
        <v>43320</v>
      </c>
      <c r="G932" s="12">
        <v>17.88</v>
      </c>
      <c r="H932" s="12">
        <v>41.366666666666703</v>
      </c>
      <c r="I932" s="13">
        <v>0.43223207091055599</v>
      </c>
      <c r="J932" s="12" t="s">
        <v>607</v>
      </c>
      <c r="K932" s="14">
        <v>1115</v>
      </c>
      <c r="L932" s="14">
        <v>148</v>
      </c>
      <c r="M932" s="14">
        <v>737</v>
      </c>
      <c r="N932" s="12">
        <v>17.88</v>
      </c>
      <c r="O932" s="12" t="s">
        <v>607</v>
      </c>
      <c r="P932" s="12">
        <v>2.87623965446517E-3</v>
      </c>
      <c r="Q932" s="12">
        <v>1.9681804990114701E-3</v>
      </c>
      <c r="R932" s="12">
        <v>0.62550403225806495</v>
      </c>
      <c r="S932" s="14">
        <v>41</v>
      </c>
      <c r="T932" s="12">
        <v>0.23087026823066001</v>
      </c>
      <c r="U932" s="14">
        <v>995</v>
      </c>
      <c r="V932" s="14">
        <v>2</v>
      </c>
      <c r="W932" s="12">
        <v>5.5999999999999999E-3</v>
      </c>
      <c r="X932" s="12">
        <v>0.23647026823066</v>
      </c>
      <c r="Y932" s="14">
        <v>995</v>
      </c>
      <c r="Z932" s="14">
        <v>40</v>
      </c>
      <c r="AA932" s="12" t="s">
        <v>2369</v>
      </c>
    </row>
    <row r="933" spans="1:27" ht="14.25" x14ac:dyDescent="0.45">
      <c r="A933" s="12" t="s">
        <v>616</v>
      </c>
      <c r="B933" s="12" t="s">
        <v>1971</v>
      </c>
      <c r="C933" s="12" t="s">
        <v>1977</v>
      </c>
      <c r="D933" s="12" t="s">
        <v>2003</v>
      </c>
      <c r="E933" s="20">
        <v>29131</v>
      </c>
      <c r="F933" s="20">
        <v>44207</v>
      </c>
      <c r="G933" s="12">
        <v>123.34</v>
      </c>
      <c r="H933" s="12">
        <v>11.8</v>
      </c>
      <c r="I933" s="13">
        <v>10.4525423728814</v>
      </c>
      <c r="J933" s="12" t="s">
        <v>616</v>
      </c>
      <c r="K933" s="14">
        <v>281</v>
      </c>
      <c r="L933" s="14">
        <v>798</v>
      </c>
      <c r="M933" s="14">
        <v>350</v>
      </c>
      <c r="N933" s="12">
        <v>123.34</v>
      </c>
      <c r="O933" s="12" t="s">
        <v>616</v>
      </c>
      <c r="P933" s="12">
        <v>1.9840905983318401E-2</v>
      </c>
      <c r="Q933" s="12">
        <v>4.7595936183211403E-2</v>
      </c>
      <c r="R933" s="12">
        <v>0.178427419354839</v>
      </c>
      <c r="S933" s="14">
        <v>43</v>
      </c>
      <c r="T933" s="12">
        <v>3.71877998582515</v>
      </c>
      <c r="U933" s="14">
        <v>327</v>
      </c>
      <c r="V933" s="14">
        <v>2</v>
      </c>
      <c r="W933" s="12">
        <v>5.5999999999999999E-3</v>
      </c>
      <c r="X933" s="12">
        <v>3.7243799858251498</v>
      </c>
      <c r="Y933" s="14">
        <v>327</v>
      </c>
      <c r="Z933" s="14">
        <v>42</v>
      </c>
      <c r="AA933" s="12" t="s">
        <v>2369</v>
      </c>
    </row>
    <row r="934" spans="1:27" ht="14.25" x14ac:dyDescent="0.45">
      <c r="A934" s="12" t="s">
        <v>659</v>
      </c>
      <c r="B934" s="12" t="s">
        <v>1971</v>
      </c>
      <c r="C934" s="12" t="s">
        <v>1977</v>
      </c>
      <c r="D934" s="12" t="s">
        <v>1993</v>
      </c>
      <c r="E934" s="20">
        <v>35712</v>
      </c>
      <c r="F934" s="20">
        <v>44280</v>
      </c>
      <c r="G934" s="12">
        <v>1.57</v>
      </c>
      <c r="H934" s="12">
        <v>9.3666666666666707</v>
      </c>
      <c r="I934" s="13">
        <v>0.167615658362989</v>
      </c>
      <c r="J934" s="12" t="s">
        <v>659</v>
      </c>
      <c r="K934" s="14">
        <v>1384</v>
      </c>
      <c r="L934" s="14">
        <v>1063</v>
      </c>
      <c r="M934" s="14">
        <v>1474</v>
      </c>
      <c r="N934" s="12">
        <v>1.57</v>
      </c>
      <c r="O934" s="12" t="s">
        <v>659</v>
      </c>
      <c r="P934" s="12">
        <v>2.5255571910012901E-4</v>
      </c>
      <c r="Q934" s="12">
        <v>7.6324246237450405E-4</v>
      </c>
      <c r="R934" s="12">
        <v>0.141633064516129</v>
      </c>
      <c r="S934" s="14">
        <v>25</v>
      </c>
      <c r="T934" s="12">
        <v>5.71734933646613E-2</v>
      </c>
      <c r="U934" s="14">
        <v>1491</v>
      </c>
      <c r="V934" s="14">
        <v>1</v>
      </c>
      <c r="W934" s="12">
        <v>5.4999999999999997E-3</v>
      </c>
      <c r="X934" s="12">
        <v>6.2673493364661298E-2</v>
      </c>
      <c r="Y934" s="14">
        <v>1491</v>
      </c>
      <c r="Z934" s="14">
        <v>24</v>
      </c>
      <c r="AA934" s="12" t="s">
        <v>2370</v>
      </c>
    </row>
    <row r="935" spans="1:27" ht="14.25" x14ac:dyDescent="0.45">
      <c r="A935" s="12" t="s">
        <v>681</v>
      </c>
      <c r="B935" s="12" t="s">
        <v>1971</v>
      </c>
      <c r="C935" s="12" t="s">
        <v>1977</v>
      </c>
      <c r="D935" s="12" t="s">
        <v>1974</v>
      </c>
      <c r="E935" s="20">
        <v>31678</v>
      </c>
      <c r="F935" s="20">
        <v>44188</v>
      </c>
      <c r="G935" s="12">
        <v>5.14</v>
      </c>
      <c r="H935" s="12">
        <v>12.4333333333333</v>
      </c>
      <c r="I935" s="13">
        <v>0.413404825737265</v>
      </c>
      <c r="J935" s="12" t="s">
        <v>681</v>
      </c>
      <c r="K935" s="14">
        <v>1128</v>
      </c>
      <c r="L935" s="14">
        <v>737</v>
      </c>
      <c r="M935" s="14">
        <v>1026</v>
      </c>
      <c r="N935" s="12">
        <v>5.14</v>
      </c>
      <c r="O935" s="12" t="s">
        <v>681</v>
      </c>
      <c r="P935" s="12">
        <v>8.2683846890106098E-4</v>
      </c>
      <c r="Q935" s="12">
        <v>1.8824501256911399E-3</v>
      </c>
      <c r="R935" s="12">
        <v>0.188004032258065</v>
      </c>
      <c r="S935" s="14">
        <v>36</v>
      </c>
      <c r="T935" s="12">
        <v>0.14865957543948599</v>
      </c>
      <c r="U935" s="14">
        <v>1162</v>
      </c>
      <c r="V935" s="14">
        <v>2</v>
      </c>
      <c r="W935" s="12">
        <v>5.5999999999999999E-3</v>
      </c>
      <c r="X935" s="12">
        <v>0.15425957543948601</v>
      </c>
      <c r="Y935" s="14">
        <v>1162</v>
      </c>
      <c r="Z935" s="14">
        <v>35</v>
      </c>
      <c r="AA935" s="12" t="s">
        <v>2369</v>
      </c>
    </row>
    <row r="936" spans="1:27" ht="14.25" x14ac:dyDescent="0.45">
      <c r="A936" s="12" t="s">
        <v>695</v>
      </c>
      <c r="B936" s="12" t="s">
        <v>1971</v>
      </c>
      <c r="C936" s="12" t="s">
        <v>1977</v>
      </c>
      <c r="D936" s="12" t="s">
        <v>1990</v>
      </c>
      <c r="E936" s="20">
        <v>30780</v>
      </c>
      <c r="F936" s="20">
        <v>44271</v>
      </c>
      <c r="G936" s="12">
        <v>114.75</v>
      </c>
      <c r="H936" s="12">
        <v>9.6666666666666696</v>
      </c>
      <c r="I936" s="13">
        <v>11.8706896551724</v>
      </c>
      <c r="J936" s="12" t="s">
        <v>695</v>
      </c>
      <c r="K936" s="14">
        <v>247</v>
      </c>
      <c r="L936" s="14">
        <v>1004</v>
      </c>
      <c r="M936" s="14">
        <v>363</v>
      </c>
      <c r="N936" s="12">
        <v>114.75</v>
      </c>
      <c r="O936" s="12" t="s">
        <v>695</v>
      </c>
      <c r="P936" s="12">
        <v>1.8459088386458499E-2</v>
      </c>
      <c r="Q936" s="12">
        <v>5.4053508431035097E-2</v>
      </c>
      <c r="R936" s="12">
        <v>0.14616935483870999</v>
      </c>
      <c r="S936" s="14">
        <v>38</v>
      </c>
      <c r="T936" s="12">
        <v>4.07056009143189</v>
      </c>
      <c r="U936" s="14">
        <v>305</v>
      </c>
      <c r="V936" s="14">
        <v>4</v>
      </c>
      <c r="W936" s="12">
        <v>5.7999999999999996E-3</v>
      </c>
      <c r="X936" s="12">
        <v>4.0763600914318898</v>
      </c>
      <c r="Y936" s="14">
        <v>305</v>
      </c>
      <c r="Z936" s="14">
        <v>38</v>
      </c>
      <c r="AA936" s="12" t="s">
        <v>2369</v>
      </c>
    </row>
    <row r="937" spans="1:27" ht="14.25" x14ac:dyDescent="0.45">
      <c r="A937" s="12" t="s">
        <v>795</v>
      </c>
      <c r="B937" s="12" t="s">
        <v>1971</v>
      </c>
      <c r="C937" s="12" t="s">
        <v>1977</v>
      </c>
      <c r="D937" s="12" t="s">
        <v>1982</v>
      </c>
      <c r="E937" s="20">
        <v>36658</v>
      </c>
      <c r="F937" s="20">
        <v>44247</v>
      </c>
      <c r="G937" s="12">
        <v>21.16</v>
      </c>
      <c r="H937" s="12">
        <v>10.466666666666701</v>
      </c>
      <c r="I937" s="13">
        <v>2.0216560509554098</v>
      </c>
      <c r="J937" s="12" t="s">
        <v>795</v>
      </c>
      <c r="K937" s="14">
        <v>652</v>
      </c>
      <c r="L937" s="14">
        <v>951</v>
      </c>
      <c r="M937" s="14">
        <v>713</v>
      </c>
      <c r="N937" s="12">
        <v>21.16</v>
      </c>
      <c r="O937" s="12" t="s">
        <v>795</v>
      </c>
      <c r="P937" s="12">
        <v>3.4038719848144801E-3</v>
      </c>
      <c r="Q937" s="12">
        <v>9.2056658517187407E-3</v>
      </c>
      <c r="R937" s="12">
        <v>0.15826612903225801</v>
      </c>
      <c r="S937" s="14">
        <v>22</v>
      </c>
      <c r="T937" s="12">
        <v>0.70299931516296399</v>
      </c>
      <c r="U937" s="14">
        <v>710</v>
      </c>
      <c r="V937" s="14">
        <v>3</v>
      </c>
      <c r="W937" s="12">
        <v>5.7000000000000002E-3</v>
      </c>
      <c r="X937" s="12">
        <v>0.70869931516296403</v>
      </c>
      <c r="Y937" s="14">
        <v>710</v>
      </c>
      <c r="Z937" s="14">
        <v>22</v>
      </c>
      <c r="AA937" s="12" t="s">
        <v>2370</v>
      </c>
    </row>
    <row r="938" spans="1:27" ht="14.25" x14ac:dyDescent="0.45">
      <c r="A938" s="12" t="s">
        <v>870</v>
      </c>
      <c r="B938" s="12" t="s">
        <v>1971</v>
      </c>
      <c r="C938" s="12" t="s">
        <v>1977</v>
      </c>
      <c r="D938" s="12" t="s">
        <v>1990</v>
      </c>
      <c r="E938" s="20">
        <v>36028</v>
      </c>
      <c r="F938" s="20">
        <v>44305</v>
      </c>
      <c r="G938" s="12">
        <v>2.66</v>
      </c>
      <c r="H938" s="12">
        <v>8.5333333333333297</v>
      </c>
      <c r="I938" s="13">
        <v>0.31171874999999999</v>
      </c>
      <c r="J938" s="12" t="s">
        <v>870</v>
      </c>
      <c r="K938" s="14">
        <v>1217</v>
      </c>
      <c r="L938" s="14">
        <v>1193</v>
      </c>
      <c r="M938" s="14">
        <v>1260</v>
      </c>
      <c r="N938" s="12">
        <v>2.66</v>
      </c>
      <c r="O938" s="12" t="s">
        <v>870</v>
      </c>
      <c r="P938" s="12">
        <v>4.2789695083206601E-4</v>
      </c>
      <c r="Q938" s="12">
        <v>1.41941981221747E-3</v>
      </c>
      <c r="R938" s="12">
        <v>0.12903225806451599</v>
      </c>
      <c r="S938" s="14">
        <v>24</v>
      </c>
      <c r="T938" s="12">
        <v>0.10475987391979499</v>
      </c>
      <c r="U938" s="14">
        <v>1277</v>
      </c>
      <c r="V938" s="14">
        <v>3</v>
      </c>
      <c r="W938" s="12">
        <v>5.7000000000000002E-3</v>
      </c>
      <c r="X938" s="12">
        <v>0.110459873919795</v>
      </c>
      <c r="Y938" s="14">
        <v>1277</v>
      </c>
      <c r="Z938" s="14">
        <v>23</v>
      </c>
      <c r="AA938" s="12" t="s">
        <v>2370</v>
      </c>
    </row>
    <row r="939" spans="1:27" ht="14.25" x14ac:dyDescent="0.45">
      <c r="A939" s="12" t="s">
        <v>897</v>
      </c>
      <c r="B939" s="12" t="s">
        <v>1971</v>
      </c>
      <c r="C939" s="12" t="s">
        <v>1977</v>
      </c>
      <c r="D939" s="12" t="s">
        <v>1978</v>
      </c>
      <c r="E939" s="20">
        <v>31504</v>
      </c>
      <c r="F939" s="20">
        <v>43145</v>
      </c>
      <c r="G939" s="12">
        <v>452.83</v>
      </c>
      <c r="H939" s="12">
        <v>47.2</v>
      </c>
      <c r="I939" s="13">
        <v>9.5938559322033896</v>
      </c>
      <c r="J939" s="12" t="s">
        <v>897</v>
      </c>
      <c r="K939" s="14">
        <v>306</v>
      </c>
      <c r="L939" s="14">
        <v>70</v>
      </c>
      <c r="M939" s="14">
        <v>161</v>
      </c>
      <c r="N939" s="12">
        <v>452.83</v>
      </c>
      <c r="O939" s="12" t="s">
        <v>897</v>
      </c>
      <c r="P939" s="12">
        <v>7.2843825656122005E-2</v>
      </c>
      <c r="Q939" s="12">
        <v>4.3685884104596298E-2</v>
      </c>
      <c r="R939" s="12">
        <v>0.71370967741935498</v>
      </c>
      <c r="S939" s="14">
        <v>36</v>
      </c>
      <c r="T939" s="12">
        <v>5.4620112186418401</v>
      </c>
      <c r="U939" s="14">
        <v>243</v>
      </c>
      <c r="V939" s="14">
        <v>6</v>
      </c>
      <c r="W939" s="12">
        <v>6.0000000000000001E-3</v>
      </c>
      <c r="X939" s="12">
        <v>5.4680112186418404</v>
      </c>
      <c r="Y939" s="14">
        <v>243</v>
      </c>
      <c r="Z939" s="14">
        <v>36</v>
      </c>
      <c r="AA939" s="12" t="s">
        <v>2369</v>
      </c>
    </row>
    <row r="940" spans="1:27" ht="14.25" x14ac:dyDescent="0.45">
      <c r="A940" s="12" t="s">
        <v>898</v>
      </c>
      <c r="B940" s="12" t="s">
        <v>1971</v>
      </c>
      <c r="C940" s="12" t="s">
        <v>1977</v>
      </c>
      <c r="D940" s="12" t="s">
        <v>1990</v>
      </c>
      <c r="E940" s="20">
        <v>30264</v>
      </c>
      <c r="F940" s="20">
        <v>44278</v>
      </c>
      <c r="G940" s="12">
        <v>38.5</v>
      </c>
      <c r="H940" s="12">
        <v>9.43333333333333</v>
      </c>
      <c r="I940" s="13">
        <v>4.0812720848056498</v>
      </c>
      <c r="J940" s="12" t="s">
        <v>898</v>
      </c>
      <c r="K940" s="14">
        <v>494</v>
      </c>
      <c r="L940" s="14">
        <v>1048</v>
      </c>
      <c r="M940" s="14">
        <v>528</v>
      </c>
      <c r="N940" s="12">
        <v>38.5</v>
      </c>
      <c r="O940" s="12" t="s">
        <v>898</v>
      </c>
      <c r="P940" s="12">
        <v>6.1932453409904303E-3</v>
      </c>
      <c r="Q940" s="12">
        <v>1.85841835187112E-2</v>
      </c>
      <c r="R940" s="12">
        <v>0.14264112903225801</v>
      </c>
      <c r="S940" s="14">
        <v>40</v>
      </c>
      <c r="T940" s="12">
        <v>1.39375817020659</v>
      </c>
      <c r="U940" s="14">
        <v>508</v>
      </c>
      <c r="V940" s="14">
        <v>12</v>
      </c>
      <c r="W940" s="12">
        <v>6.6E-3</v>
      </c>
      <c r="X940" s="12">
        <v>1.4003581702065899</v>
      </c>
      <c r="Y940" s="14">
        <v>508</v>
      </c>
      <c r="Z940" s="14">
        <v>39</v>
      </c>
      <c r="AA940" s="12" t="s">
        <v>2369</v>
      </c>
    </row>
    <row r="941" spans="1:27" ht="14.25" x14ac:dyDescent="0.45">
      <c r="A941" s="12" t="s">
        <v>937</v>
      </c>
      <c r="B941" s="12" t="s">
        <v>1971</v>
      </c>
      <c r="C941" s="12" t="s">
        <v>1977</v>
      </c>
      <c r="D941" s="12" t="s">
        <v>1974</v>
      </c>
      <c r="E941" s="20">
        <v>30251</v>
      </c>
      <c r="F941" s="20">
        <v>44285</v>
      </c>
      <c r="G941" s="12">
        <v>0.15</v>
      </c>
      <c r="H941" s="12">
        <v>9.1999999999999993</v>
      </c>
      <c r="I941" s="13">
        <v>1.6304347826087001E-2</v>
      </c>
      <c r="J941" s="12" t="s">
        <v>937</v>
      </c>
      <c r="K941" s="14">
        <v>1709</v>
      </c>
      <c r="L941" s="14">
        <v>1105</v>
      </c>
      <c r="M941" s="14">
        <v>1806</v>
      </c>
      <c r="N941" s="12">
        <v>0.15</v>
      </c>
      <c r="O941" s="12" t="s">
        <v>937</v>
      </c>
      <c r="P941" s="12">
        <v>2.4129527302560101E-5</v>
      </c>
      <c r="Q941" s="12">
        <v>7.4242291583784094E-5</v>
      </c>
      <c r="R941" s="12">
        <v>0.13911290322580599</v>
      </c>
      <c r="S941" s="14">
        <v>40</v>
      </c>
      <c r="T941" s="12">
        <v>5.54500049783251E-3</v>
      </c>
      <c r="U941" s="14">
        <v>1811</v>
      </c>
      <c r="V941" s="14">
        <v>2</v>
      </c>
      <c r="W941" s="12">
        <v>5.5999999999999999E-3</v>
      </c>
      <c r="X941" s="12">
        <v>1.11450004978325E-2</v>
      </c>
      <c r="Y941" s="14">
        <v>1809</v>
      </c>
      <c r="Z941" s="14">
        <v>39</v>
      </c>
      <c r="AA941" s="12" t="s">
        <v>2369</v>
      </c>
    </row>
    <row r="942" spans="1:27" ht="14.25" x14ac:dyDescent="0.45">
      <c r="A942" s="12" t="s">
        <v>944</v>
      </c>
      <c r="B942" s="12" t="s">
        <v>1971</v>
      </c>
      <c r="C942" s="12" t="s">
        <v>1977</v>
      </c>
      <c r="D942" s="12" t="s">
        <v>1990</v>
      </c>
      <c r="E942" s="20">
        <v>31307</v>
      </c>
      <c r="F942" s="20">
        <v>44299</v>
      </c>
      <c r="G942" s="12">
        <v>2</v>
      </c>
      <c r="H942" s="12">
        <v>8.7333333333333307</v>
      </c>
      <c r="I942" s="13">
        <v>0.229007633587786</v>
      </c>
      <c r="J942" s="12" t="s">
        <v>944</v>
      </c>
      <c r="K942" s="14">
        <v>1306</v>
      </c>
      <c r="L942" s="14">
        <v>1164</v>
      </c>
      <c r="M942" s="14">
        <v>1359</v>
      </c>
      <c r="N942" s="12">
        <v>2</v>
      </c>
      <c r="O942" s="12" t="s">
        <v>944</v>
      </c>
      <c r="P942" s="12">
        <v>3.2172703070080199E-4</v>
      </c>
      <c r="Q942" s="12">
        <v>1.04279249247452E-3</v>
      </c>
      <c r="R942" s="12">
        <v>0.132056451612903</v>
      </c>
      <c r="S942" s="14">
        <v>37</v>
      </c>
      <c r="T942" s="12">
        <v>7.7239294430937896E-2</v>
      </c>
      <c r="U942" s="14">
        <v>1386</v>
      </c>
      <c r="V942" s="14">
        <v>1</v>
      </c>
      <c r="W942" s="12">
        <v>5.4999999999999997E-3</v>
      </c>
      <c r="X942" s="12">
        <v>8.2739294430937901E-2</v>
      </c>
      <c r="Y942" s="14">
        <v>1386</v>
      </c>
      <c r="Z942" s="14">
        <v>36</v>
      </c>
      <c r="AA942" s="12" t="s">
        <v>2369</v>
      </c>
    </row>
    <row r="943" spans="1:27" ht="14.25" x14ac:dyDescent="0.45">
      <c r="A943" s="12" t="s">
        <v>975</v>
      </c>
      <c r="B943" s="12" t="s">
        <v>1971</v>
      </c>
      <c r="C943" s="12" t="s">
        <v>1977</v>
      </c>
      <c r="D943" s="12" t="s">
        <v>1973</v>
      </c>
      <c r="E943" s="20">
        <v>31541</v>
      </c>
      <c r="F943" s="20">
        <v>44186</v>
      </c>
      <c r="G943" s="12">
        <v>32.79</v>
      </c>
      <c r="H943" s="12">
        <v>12.5</v>
      </c>
      <c r="I943" s="13">
        <v>2.6232000000000002</v>
      </c>
      <c r="J943" s="12" t="s">
        <v>975</v>
      </c>
      <c r="K943" s="14">
        <v>582</v>
      </c>
      <c r="L943" s="14">
        <v>723</v>
      </c>
      <c r="M943" s="14">
        <v>553</v>
      </c>
      <c r="N943" s="12">
        <v>32.79</v>
      </c>
      <c r="O943" s="12" t="s">
        <v>975</v>
      </c>
      <c r="P943" s="12">
        <v>5.2747146683396499E-3</v>
      </c>
      <c r="Q943" s="12">
        <v>1.1944812595998401E-2</v>
      </c>
      <c r="R943" s="12">
        <v>0.18901209677419401</v>
      </c>
      <c r="S943" s="14">
        <v>36</v>
      </c>
      <c r="T943" s="12">
        <v>0.94435258731263605</v>
      </c>
      <c r="U943" s="14">
        <v>581</v>
      </c>
      <c r="V943" s="14">
        <v>1</v>
      </c>
      <c r="W943" s="12">
        <v>5.4999999999999997E-3</v>
      </c>
      <c r="X943" s="12">
        <v>0.949852587312636</v>
      </c>
      <c r="Y943" s="14">
        <v>581</v>
      </c>
      <c r="Z943" s="14">
        <v>36</v>
      </c>
      <c r="AA943" s="12" t="s">
        <v>2369</v>
      </c>
    </row>
    <row r="944" spans="1:27" ht="14.25" x14ac:dyDescent="0.45">
      <c r="A944" s="12" t="s">
        <v>977</v>
      </c>
      <c r="B944" s="12" t="s">
        <v>1971</v>
      </c>
      <c r="C944" s="12" t="s">
        <v>1977</v>
      </c>
      <c r="D944" s="12" t="s">
        <v>2072</v>
      </c>
      <c r="E944" s="20">
        <v>29670</v>
      </c>
      <c r="F944" s="20">
        <v>44301</v>
      </c>
      <c r="G944" s="12">
        <v>66</v>
      </c>
      <c r="H944" s="12">
        <v>8.6666666666666696</v>
      </c>
      <c r="I944" s="13">
        <v>7.6153846153846203</v>
      </c>
      <c r="J944" s="12" t="s">
        <v>977</v>
      </c>
      <c r="K944" s="14">
        <v>361</v>
      </c>
      <c r="L944" s="14">
        <v>1179</v>
      </c>
      <c r="M944" s="14">
        <v>437</v>
      </c>
      <c r="N944" s="12">
        <v>66</v>
      </c>
      <c r="O944" s="12" t="s">
        <v>977</v>
      </c>
      <c r="P944" s="12">
        <v>1.06169920131265E-2</v>
      </c>
      <c r="Q944" s="12">
        <v>3.46768611151336E-2</v>
      </c>
      <c r="R944" s="12">
        <v>0.13104838709677399</v>
      </c>
      <c r="S944" s="14">
        <v>41</v>
      </c>
      <c r="T944" s="12">
        <v>2.5654410201880902</v>
      </c>
      <c r="U944" s="14">
        <v>398</v>
      </c>
      <c r="V944" s="14">
        <v>3</v>
      </c>
      <c r="W944" s="12">
        <v>5.7000000000000002E-3</v>
      </c>
      <c r="X944" s="12">
        <v>2.5711410201880902</v>
      </c>
      <c r="Y944" s="14">
        <v>398</v>
      </c>
      <c r="Z944" s="14">
        <v>41</v>
      </c>
      <c r="AA944" s="12" t="s">
        <v>2369</v>
      </c>
    </row>
    <row r="945" spans="1:27" ht="14.25" x14ac:dyDescent="0.45">
      <c r="A945" s="12" t="s">
        <v>979</v>
      </c>
      <c r="B945" s="12" t="s">
        <v>1971</v>
      </c>
      <c r="C945" s="12" t="s">
        <v>1977</v>
      </c>
      <c r="D945" s="12" t="s">
        <v>1995</v>
      </c>
      <c r="E945" s="20">
        <v>29880</v>
      </c>
      <c r="F945" s="20">
        <v>43262</v>
      </c>
      <c r="G945" s="12">
        <v>445.64</v>
      </c>
      <c r="H945" s="12">
        <v>43.3</v>
      </c>
      <c r="I945" s="13">
        <v>10.2919168591224</v>
      </c>
      <c r="J945" s="12" t="s">
        <v>979</v>
      </c>
      <c r="K945" s="14">
        <v>288</v>
      </c>
      <c r="L945" s="14">
        <v>103</v>
      </c>
      <c r="M945" s="14">
        <v>163</v>
      </c>
      <c r="N945" s="12">
        <v>445.64</v>
      </c>
      <c r="O945" s="12" t="s">
        <v>979</v>
      </c>
      <c r="P945" s="12">
        <v>7.1687216980752699E-2</v>
      </c>
      <c r="Q945" s="12">
        <v>4.6864523534543102E-2</v>
      </c>
      <c r="R945" s="12">
        <v>0.65473790322580605</v>
      </c>
      <c r="S945" s="14">
        <v>41</v>
      </c>
      <c r="T945" s="12">
        <v>5.6173033576871703</v>
      </c>
      <c r="U945" s="14">
        <v>237</v>
      </c>
      <c r="V945" s="14">
        <v>6</v>
      </c>
      <c r="W945" s="12">
        <v>6.0000000000000001E-3</v>
      </c>
      <c r="X945" s="12">
        <v>5.6233033576871696</v>
      </c>
      <c r="Y945" s="14">
        <v>237</v>
      </c>
      <c r="Z945" s="14">
        <v>40</v>
      </c>
      <c r="AA945" s="12" t="s">
        <v>2369</v>
      </c>
    </row>
    <row r="946" spans="1:27" ht="14.25" x14ac:dyDescent="0.45">
      <c r="A946" s="12" t="s">
        <v>1008</v>
      </c>
      <c r="B946" s="12" t="s">
        <v>1971</v>
      </c>
      <c r="C946" s="12" t="s">
        <v>1977</v>
      </c>
      <c r="D946" s="12" t="s">
        <v>1973</v>
      </c>
      <c r="E946" s="20">
        <v>26842</v>
      </c>
      <c r="F946" s="20">
        <v>44221</v>
      </c>
      <c r="G946" s="12">
        <v>5.72</v>
      </c>
      <c r="H946" s="12">
        <v>11.3333333333333</v>
      </c>
      <c r="I946" s="13">
        <v>0.504705882352941</v>
      </c>
      <c r="J946" s="12" t="s">
        <v>1008</v>
      </c>
      <c r="K946" s="14">
        <v>1047</v>
      </c>
      <c r="L946" s="14">
        <v>860</v>
      </c>
      <c r="M946" s="14">
        <v>986</v>
      </c>
      <c r="N946" s="12">
        <v>5.72</v>
      </c>
      <c r="O946" s="12" t="s">
        <v>1008</v>
      </c>
      <c r="P946" s="12">
        <v>9.2013930780429295E-4</v>
      </c>
      <c r="Q946" s="12">
        <v>2.2981919719441499E-3</v>
      </c>
      <c r="R946" s="12">
        <v>0.171370967741935</v>
      </c>
      <c r="S946" s="14">
        <v>49</v>
      </c>
      <c r="T946" s="12">
        <v>0.17814222228917001</v>
      </c>
      <c r="U946" s="14">
        <v>1090</v>
      </c>
      <c r="V946" s="14">
        <v>2</v>
      </c>
      <c r="W946" s="12">
        <v>5.5999999999999999E-3</v>
      </c>
      <c r="X946" s="12">
        <v>0.18374222228917</v>
      </c>
      <c r="Y946" s="14">
        <v>1090</v>
      </c>
      <c r="Z946" s="14">
        <v>49</v>
      </c>
      <c r="AA946" s="12" t="s">
        <v>2371</v>
      </c>
    </row>
    <row r="947" spans="1:27" ht="14.25" x14ac:dyDescent="0.45">
      <c r="A947" s="12" t="s">
        <v>1075</v>
      </c>
      <c r="B947" s="12" t="s">
        <v>1971</v>
      </c>
      <c r="C947" s="12" t="s">
        <v>1977</v>
      </c>
      <c r="D947" s="12" t="s">
        <v>1982</v>
      </c>
      <c r="E947" s="20">
        <v>36300</v>
      </c>
      <c r="F947" s="20">
        <v>44334</v>
      </c>
      <c r="G947" s="12">
        <v>0.28999999999999998</v>
      </c>
      <c r="H947" s="12">
        <v>7.56666666666667</v>
      </c>
      <c r="I947" s="13">
        <v>3.8325991189427297E-2</v>
      </c>
      <c r="J947" s="12" t="s">
        <v>1075</v>
      </c>
      <c r="K947" s="14">
        <v>1632</v>
      </c>
      <c r="L947" s="14">
        <v>1269</v>
      </c>
      <c r="M947" s="14">
        <v>1740</v>
      </c>
      <c r="N947" s="12">
        <v>0.28999999999999998</v>
      </c>
      <c r="O947" s="12" t="s">
        <v>1075</v>
      </c>
      <c r="P947" s="12">
        <v>4.6650419451616299E-5</v>
      </c>
      <c r="Q947" s="12">
        <v>1.74518444004878E-4</v>
      </c>
      <c r="R947" s="12">
        <v>0.114415322580645</v>
      </c>
      <c r="S947" s="14">
        <v>23</v>
      </c>
      <c r="T947" s="12">
        <v>1.26567934797405E-2</v>
      </c>
      <c r="U947" s="14">
        <v>1735</v>
      </c>
      <c r="V947" s="14">
        <v>1</v>
      </c>
      <c r="W947" s="12">
        <v>5.4999999999999997E-3</v>
      </c>
      <c r="X947" s="12">
        <v>1.8156793479740502E-2</v>
      </c>
      <c r="Y947" s="14">
        <v>1736</v>
      </c>
      <c r="Z947" s="14">
        <v>23</v>
      </c>
      <c r="AA947" s="12" t="s">
        <v>2370</v>
      </c>
    </row>
    <row r="948" spans="1:27" ht="14.25" x14ac:dyDescent="0.45">
      <c r="A948" s="12" t="s">
        <v>1097</v>
      </c>
      <c r="B948" s="12" t="s">
        <v>1971</v>
      </c>
      <c r="C948" s="12" t="s">
        <v>1977</v>
      </c>
      <c r="D948" s="12" t="s">
        <v>2020</v>
      </c>
      <c r="E948" s="20">
        <v>30520</v>
      </c>
      <c r="F948" s="20">
        <v>44295</v>
      </c>
      <c r="G948" s="12">
        <v>58.99</v>
      </c>
      <c r="H948" s="12">
        <v>8.8666666666666707</v>
      </c>
      <c r="I948" s="13">
        <v>6.6530075187969899</v>
      </c>
      <c r="J948" s="12" t="s">
        <v>1097</v>
      </c>
      <c r="K948" s="14">
        <v>391</v>
      </c>
      <c r="L948" s="14">
        <v>1156</v>
      </c>
      <c r="M948" s="14">
        <v>456</v>
      </c>
      <c r="N948" s="12">
        <v>58.99</v>
      </c>
      <c r="O948" s="12" t="s">
        <v>1097</v>
      </c>
      <c r="P948" s="12">
        <v>9.4893387705201494E-3</v>
      </c>
      <c r="Q948" s="12">
        <v>3.0294650812670899E-2</v>
      </c>
      <c r="R948" s="12">
        <v>0.134072580645161</v>
      </c>
      <c r="S948" s="14">
        <v>39</v>
      </c>
      <c r="T948" s="12">
        <v>2.24926587968644</v>
      </c>
      <c r="U948" s="14">
        <v>419</v>
      </c>
      <c r="V948" s="14">
        <v>1</v>
      </c>
      <c r="W948" s="12">
        <v>5.4999999999999997E-3</v>
      </c>
      <c r="X948" s="12">
        <v>2.25476587968644</v>
      </c>
      <c r="Y948" s="14">
        <v>419</v>
      </c>
      <c r="Z948" s="14">
        <v>38</v>
      </c>
      <c r="AA948" s="12" t="s">
        <v>2369</v>
      </c>
    </row>
    <row r="949" spans="1:27" ht="14.25" x14ac:dyDescent="0.45">
      <c r="A949" s="12" t="s">
        <v>1107</v>
      </c>
      <c r="B949" s="12" t="s">
        <v>1971</v>
      </c>
      <c r="C949" s="12" t="s">
        <v>1977</v>
      </c>
      <c r="D949" s="12" t="s">
        <v>1974</v>
      </c>
      <c r="E949" s="20">
        <v>36879</v>
      </c>
      <c r="F949" s="20">
        <v>44334</v>
      </c>
      <c r="G949" s="12">
        <v>20.67</v>
      </c>
      <c r="H949" s="12">
        <v>7.56666666666667</v>
      </c>
      <c r="I949" s="13">
        <v>2.7317180616740102</v>
      </c>
      <c r="J949" s="12" t="s">
        <v>1107</v>
      </c>
      <c r="K949" s="14">
        <v>574</v>
      </c>
      <c r="L949" s="14">
        <v>1269</v>
      </c>
      <c r="M949" s="14">
        <v>716</v>
      </c>
      <c r="N949" s="12">
        <v>20.67</v>
      </c>
      <c r="O949" s="12" t="s">
        <v>1107</v>
      </c>
      <c r="P949" s="12">
        <v>3.3250488622927898E-3</v>
      </c>
      <c r="Q949" s="12">
        <v>1.2438952543382099E-2</v>
      </c>
      <c r="R949" s="12">
        <v>0.114415322580645</v>
      </c>
      <c r="S949" s="14">
        <v>22</v>
      </c>
      <c r="T949" s="12">
        <v>0.90212386629736296</v>
      </c>
      <c r="U949" s="14">
        <v>637</v>
      </c>
      <c r="V949" s="14">
        <v>4</v>
      </c>
      <c r="W949" s="12">
        <v>5.7999999999999996E-3</v>
      </c>
      <c r="X949" s="12">
        <v>0.90792386629736299</v>
      </c>
      <c r="Y949" s="14">
        <v>637</v>
      </c>
      <c r="Z949" s="14">
        <v>21</v>
      </c>
      <c r="AA949" s="12" t="s">
        <v>2370</v>
      </c>
    </row>
    <row r="950" spans="1:27" ht="14.25" x14ac:dyDescent="0.45">
      <c r="A950" s="12" t="s">
        <v>1155</v>
      </c>
      <c r="B950" s="12" t="s">
        <v>1971</v>
      </c>
      <c r="C950" s="12" t="s">
        <v>1977</v>
      </c>
      <c r="D950" s="12" t="s">
        <v>1993</v>
      </c>
      <c r="E950" s="20">
        <v>36595</v>
      </c>
      <c r="F950" s="20">
        <v>44305</v>
      </c>
      <c r="G950" s="12">
        <v>3.49</v>
      </c>
      <c r="H950" s="12">
        <v>8.5333333333333297</v>
      </c>
      <c r="I950" s="13">
        <v>0.40898437500000001</v>
      </c>
      <c r="J950" s="12" t="s">
        <v>1155</v>
      </c>
      <c r="K950" s="14">
        <v>1131</v>
      </c>
      <c r="L950" s="14">
        <v>1193</v>
      </c>
      <c r="M950" s="14">
        <v>1177</v>
      </c>
      <c r="N950" s="12">
        <v>3.49</v>
      </c>
      <c r="O950" s="12" t="s">
        <v>1155</v>
      </c>
      <c r="P950" s="12">
        <v>5.6141366857289895E-4</v>
      </c>
      <c r="Q950" s="12">
        <v>1.86232148294698E-3</v>
      </c>
      <c r="R950" s="12">
        <v>0.12903225806451599</v>
      </c>
      <c r="S950" s="14">
        <v>22</v>
      </c>
      <c r="T950" s="12">
        <v>0.13744810525567</v>
      </c>
      <c r="U950" s="14">
        <v>1189</v>
      </c>
      <c r="V950" s="14">
        <v>1</v>
      </c>
      <c r="W950" s="12">
        <v>5.4999999999999997E-3</v>
      </c>
      <c r="X950" s="12">
        <v>0.14294810525567</v>
      </c>
      <c r="Y950" s="14">
        <v>1190</v>
      </c>
      <c r="Z950" s="14">
        <v>22</v>
      </c>
      <c r="AA950" s="12" t="s">
        <v>2370</v>
      </c>
    </row>
    <row r="951" spans="1:27" ht="14.25" x14ac:dyDescent="0.45">
      <c r="A951" s="12" t="s">
        <v>1164</v>
      </c>
      <c r="B951" s="12" t="s">
        <v>1971</v>
      </c>
      <c r="C951" s="12" t="s">
        <v>1977</v>
      </c>
      <c r="D951" s="12" t="s">
        <v>1993</v>
      </c>
      <c r="E951" s="20">
        <v>31123</v>
      </c>
      <c r="F951" s="20">
        <v>44356</v>
      </c>
      <c r="G951" s="12">
        <v>3.58</v>
      </c>
      <c r="H951" s="12">
        <v>6.8333333333333304</v>
      </c>
      <c r="I951" s="13">
        <v>0.52390243902439004</v>
      </c>
      <c r="J951" s="12" t="s">
        <v>1164</v>
      </c>
      <c r="K951" s="14">
        <v>1034</v>
      </c>
      <c r="L951" s="14">
        <v>1486</v>
      </c>
      <c r="M951" s="14">
        <v>1162</v>
      </c>
      <c r="N951" s="12">
        <v>3.58</v>
      </c>
      <c r="O951" s="12" t="s">
        <v>1164</v>
      </c>
      <c r="P951" s="12">
        <v>5.7589138495443501E-4</v>
      </c>
      <c r="Q951" s="12">
        <v>2.38560401522294E-3</v>
      </c>
      <c r="R951" s="12">
        <v>0.10332661290322601</v>
      </c>
      <c r="S951" s="14">
        <v>37</v>
      </c>
      <c r="T951" s="12">
        <v>0.17069617788722499</v>
      </c>
      <c r="U951" s="14">
        <v>1104</v>
      </c>
      <c r="V951" s="14">
        <v>2</v>
      </c>
      <c r="W951" s="12">
        <v>5.5999999999999999E-3</v>
      </c>
      <c r="X951" s="12">
        <v>0.17629617788722499</v>
      </c>
      <c r="Y951" s="14">
        <v>1104</v>
      </c>
      <c r="Z951" s="14">
        <v>37</v>
      </c>
      <c r="AA951" s="12" t="s">
        <v>2369</v>
      </c>
    </row>
    <row r="952" spans="1:27" ht="14.25" x14ac:dyDescent="0.45">
      <c r="A952" s="12" t="s">
        <v>1174</v>
      </c>
      <c r="B952" s="12" t="s">
        <v>1971</v>
      </c>
      <c r="C952" s="12" t="s">
        <v>1977</v>
      </c>
      <c r="D952" s="12" t="s">
        <v>1993</v>
      </c>
      <c r="E952" s="20">
        <v>36498</v>
      </c>
      <c r="F952" s="20">
        <v>44373</v>
      </c>
      <c r="G952" s="12">
        <v>4.1900000000000004</v>
      </c>
      <c r="H952" s="12">
        <v>6.2666666666666702</v>
      </c>
      <c r="I952" s="13">
        <v>0.66861702127659595</v>
      </c>
      <c r="J952" s="12" t="s">
        <v>1174</v>
      </c>
      <c r="K952" s="14">
        <v>950</v>
      </c>
      <c r="L952" s="14">
        <v>1629</v>
      </c>
      <c r="M952" s="14">
        <v>1099</v>
      </c>
      <c r="N952" s="12">
        <v>4.1900000000000004</v>
      </c>
      <c r="O952" s="12" t="s">
        <v>1174</v>
      </c>
      <c r="P952" s="12">
        <v>6.7401812931818005E-4</v>
      </c>
      <c r="Q952" s="12">
        <v>3.0445658042252198E-3</v>
      </c>
      <c r="R952" s="12">
        <v>9.4758064516129004E-2</v>
      </c>
      <c r="S952" s="14">
        <v>23</v>
      </c>
      <c r="T952" s="12">
        <v>0.215561042613508</v>
      </c>
      <c r="U952" s="14">
        <v>1018</v>
      </c>
      <c r="V952" s="14">
        <v>1</v>
      </c>
      <c r="W952" s="12">
        <v>5.4999999999999997E-3</v>
      </c>
      <c r="X952" s="12">
        <v>0.22106104261350801</v>
      </c>
      <c r="Y952" s="14">
        <v>1018</v>
      </c>
      <c r="Z952" s="14">
        <v>22</v>
      </c>
      <c r="AA952" s="12" t="s">
        <v>2370</v>
      </c>
    </row>
    <row r="953" spans="1:27" ht="14.25" x14ac:dyDescent="0.45">
      <c r="A953" s="12" t="s">
        <v>1191</v>
      </c>
      <c r="B953" s="12" t="s">
        <v>1971</v>
      </c>
      <c r="C953" s="12" t="s">
        <v>1977</v>
      </c>
      <c r="D953" s="12" t="s">
        <v>1974</v>
      </c>
      <c r="E953" s="20">
        <v>31457</v>
      </c>
      <c r="F953" s="20">
        <v>44337</v>
      </c>
      <c r="G953" s="12">
        <v>5.62</v>
      </c>
      <c r="H953" s="12">
        <v>7.4666666666666703</v>
      </c>
      <c r="I953" s="13">
        <v>0.75267857142857097</v>
      </c>
      <c r="J953" s="12" t="s">
        <v>1191</v>
      </c>
      <c r="K953" s="14">
        <v>908</v>
      </c>
      <c r="L953" s="14">
        <v>1428</v>
      </c>
      <c r="M953" s="14">
        <v>993</v>
      </c>
      <c r="N953" s="12">
        <v>5.62</v>
      </c>
      <c r="O953" s="12" t="s">
        <v>1191</v>
      </c>
      <c r="P953" s="12">
        <v>9.0405295626925304E-4</v>
      </c>
      <c r="Q953" s="12">
        <v>3.4273423607571198E-3</v>
      </c>
      <c r="R953" s="12">
        <v>0.112903225806452</v>
      </c>
      <c r="S953" s="14">
        <v>36</v>
      </c>
      <c r="T953" s="12">
        <v>0.24811088340741699</v>
      </c>
      <c r="U953" s="14">
        <v>971</v>
      </c>
      <c r="V953" s="14">
        <v>2</v>
      </c>
      <c r="W953" s="12">
        <v>5.5999999999999999E-3</v>
      </c>
      <c r="X953" s="12">
        <v>0.25371088340741699</v>
      </c>
      <c r="Y953" s="14">
        <v>971</v>
      </c>
      <c r="Z953" s="14">
        <v>36</v>
      </c>
      <c r="AA953" s="12" t="s">
        <v>2369</v>
      </c>
    </row>
    <row r="954" spans="1:27" ht="14.25" x14ac:dyDescent="0.45">
      <c r="A954" s="12" t="s">
        <v>1205</v>
      </c>
      <c r="B954" s="12" t="s">
        <v>1971</v>
      </c>
      <c r="C954" s="12" t="s">
        <v>1977</v>
      </c>
      <c r="D954" s="12" t="s">
        <v>1974</v>
      </c>
      <c r="E954" s="20">
        <v>35866</v>
      </c>
      <c r="F954" s="20">
        <v>44371</v>
      </c>
      <c r="G954" s="12">
        <v>4.76</v>
      </c>
      <c r="H954" s="12">
        <v>6.3333333333333304</v>
      </c>
      <c r="I954" s="13">
        <v>0.75157894736842101</v>
      </c>
      <c r="J954" s="12" t="s">
        <v>1205</v>
      </c>
      <c r="K954" s="14">
        <v>909</v>
      </c>
      <c r="L954" s="14">
        <v>1557</v>
      </c>
      <c r="M954" s="14">
        <v>1050</v>
      </c>
      <c r="N954" s="12">
        <v>4.76</v>
      </c>
      <c r="O954" s="12" t="s">
        <v>1205</v>
      </c>
      <c r="P954" s="12">
        <v>7.6571033306790796E-4</v>
      </c>
      <c r="Q954" s="12">
        <v>3.4223351926705998E-3</v>
      </c>
      <c r="R954" s="12">
        <v>9.5766129032257993E-2</v>
      </c>
      <c r="S954" s="14">
        <v>24</v>
      </c>
      <c r="T954" s="12">
        <v>0.24261008703195899</v>
      </c>
      <c r="U954" s="14">
        <v>978</v>
      </c>
      <c r="V954" s="14">
        <v>1</v>
      </c>
      <c r="W954" s="12">
        <v>5.4999999999999997E-3</v>
      </c>
      <c r="X954" s="12">
        <v>0.248110087031959</v>
      </c>
      <c r="Y954" s="14">
        <v>978</v>
      </c>
      <c r="Z954" s="14">
        <v>24</v>
      </c>
      <c r="AA954" s="12" t="s">
        <v>2370</v>
      </c>
    </row>
    <row r="955" spans="1:27" ht="14.25" x14ac:dyDescent="0.45">
      <c r="A955" s="12" t="s">
        <v>1229</v>
      </c>
      <c r="B955" s="12" t="s">
        <v>1971</v>
      </c>
      <c r="C955" s="12" t="s">
        <v>1977</v>
      </c>
      <c r="D955" s="12" t="s">
        <v>1978</v>
      </c>
      <c r="E955" s="20">
        <v>30626</v>
      </c>
      <c r="F955" s="20">
        <v>44146</v>
      </c>
      <c r="G955" s="12">
        <v>12.1</v>
      </c>
      <c r="H955" s="12">
        <v>13.8333333333333</v>
      </c>
      <c r="I955" s="13">
        <v>0.87469879518072302</v>
      </c>
      <c r="J955" s="12" t="s">
        <v>1229</v>
      </c>
      <c r="K955" s="14">
        <v>865</v>
      </c>
      <c r="L955" s="14">
        <v>616</v>
      </c>
      <c r="M955" s="14">
        <v>807</v>
      </c>
      <c r="N955" s="12">
        <v>12.1</v>
      </c>
      <c r="O955" s="12" t="s">
        <v>1229</v>
      </c>
      <c r="P955" s="12">
        <v>1.94644853573985E-3</v>
      </c>
      <c r="Q955" s="12">
        <v>3.9829647706539004E-3</v>
      </c>
      <c r="R955" s="12">
        <v>0.20917338709677399</v>
      </c>
      <c r="S955" s="14">
        <v>39</v>
      </c>
      <c r="T955" s="12">
        <v>0.32192711825611298</v>
      </c>
      <c r="U955" s="14">
        <v>897</v>
      </c>
      <c r="V955" s="14">
        <v>1</v>
      </c>
      <c r="W955" s="12">
        <v>5.4999999999999997E-3</v>
      </c>
      <c r="X955" s="12">
        <v>0.32742711825611298</v>
      </c>
      <c r="Y955" s="14">
        <v>897</v>
      </c>
      <c r="Z955" s="14">
        <v>38</v>
      </c>
      <c r="AA955" s="12" t="s">
        <v>2369</v>
      </c>
    </row>
    <row r="956" spans="1:27" ht="14.25" x14ac:dyDescent="0.45">
      <c r="A956" s="12" t="s">
        <v>1236</v>
      </c>
      <c r="B956" s="12" t="s">
        <v>1971</v>
      </c>
      <c r="C956" s="12" t="s">
        <v>1977</v>
      </c>
      <c r="D956" s="12" t="s">
        <v>1974</v>
      </c>
      <c r="E956" s="20">
        <v>31377</v>
      </c>
      <c r="F956" s="20">
        <v>44312</v>
      </c>
      <c r="G956" s="12">
        <v>3.6</v>
      </c>
      <c r="H956" s="12">
        <v>8.3000000000000007</v>
      </c>
      <c r="I956" s="13">
        <v>0.43373493975903599</v>
      </c>
      <c r="J956" s="12" t="s">
        <v>1236</v>
      </c>
      <c r="K956" s="14">
        <v>1113</v>
      </c>
      <c r="L956" s="14">
        <v>1229</v>
      </c>
      <c r="M956" s="14">
        <v>1155</v>
      </c>
      <c r="N956" s="12">
        <v>3.6</v>
      </c>
      <c r="O956" s="12" t="s">
        <v>1236</v>
      </c>
      <c r="P956" s="12">
        <v>5.7910865526144303E-4</v>
      </c>
      <c r="Q956" s="12">
        <v>1.9750238532168099E-3</v>
      </c>
      <c r="R956" s="12">
        <v>0.125504032258065</v>
      </c>
      <c r="S956" s="14">
        <v>37</v>
      </c>
      <c r="T956" s="12">
        <v>0.145155565398355</v>
      </c>
      <c r="U956" s="14">
        <v>1172</v>
      </c>
      <c r="V956" s="14">
        <v>1</v>
      </c>
      <c r="W956" s="12">
        <v>5.4999999999999997E-3</v>
      </c>
      <c r="X956" s="12">
        <v>0.15065556539835501</v>
      </c>
      <c r="Y956" s="14">
        <v>1172</v>
      </c>
      <c r="Z956" s="14">
        <v>36</v>
      </c>
      <c r="AA956" s="12" t="s">
        <v>2369</v>
      </c>
    </row>
    <row r="957" spans="1:27" ht="14.25" x14ac:dyDescent="0.45">
      <c r="A957" s="12" t="s">
        <v>1246</v>
      </c>
      <c r="B957" s="12" t="s">
        <v>1971</v>
      </c>
      <c r="C957" s="12" t="s">
        <v>1977</v>
      </c>
      <c r="D957" s="12" t="s">
        <v>2368</v>
      </c>
      <c r="E957" s="20">
        <v>30841</v>
      </c>
      <c r="F957" s="20">
        <v>42927</v>
      </c>
      <c r="G957" s="12">
        <v>8.08</v>
      </c>
      <c r="H957" s="12">
        <v>54.466666666666697</v>
      </c>
      <c r="I957" s="13">
        <v>0.14834761321909401</v>
      </c>
      <c r="J957" s="12" t="s">
        <v>1246</v>
      </c>
      <c r="K957" s="14">
        <v>1416</v>
      </c>
      <c r="L957" s="14">
        <v>40</v>
      </c>
      <c r="M957" s="14">
        <v>889</v>
      </c>
      <c r="N957" s="12">
        <v>8.08</v>
      </c>
      <c r="O957" s="12" t="s">
        <v>1246</v>
      </c>
      <c r="P957" s="12">
        <v>1.29977720403124E-3</v>
      </c>
      <c r="Q957" s="12">
        <v>6.7550489439071899E-4</v>
      </c>
      <c r="R957" s="12">
        <v>0.82358870967741904</v>
      </c>
      <c r="S957" s="14">
        <v>38</v>
      </c>
      <c r="T957" s="12">
        <v>9.0960701050591397E-2</v>
      </c>
      <c r="U957" s="14">
        <v>1314</v>
      </c>
      <c r="V957" s="14">
        <v>2</v>
      </c>
      <c r="W957" s="12">
        <v>5.5999999999999999E-3</v>
      </c>
      <c r="X957" s="12">
        <v>9.6560701050591405E-2</v>
      </c>
      <c r="Y957" s="14">
        <v>1314</v>
      </c>
      <c r="Z957" s="14">
        <v>38</v>
      </c>
      <c r="AA957" s="12" t="s">
        <v>2369</v>
      </c>
    </row>
    <row r="958" spans="1:27" ht="14.25" x14ac:dyDescent="0.45">
      <c r="A958" s="12" t="s">
        <v>1263</v>
      </c>
      <c r="B958" s="12" t="s">
        <v>1971</v>
      </c>
      <c r="C958" s="12" t="s">
        <v>1977</v>
      </c>
      <c r="D958" s="12" t="s">
        <v>1982</v>
      </c>
      <c r="E958" s="20">
        <v>36917</v>
      </c>
      <c r="F958" s="20">
        <v>44336</v>
      </c>
      <c r="G958" s="12">
        <v>3.59</v>
      </c>
      <c r="H958" s="12">
        <v>7.5</v>
      </c>
      <c r="I958" s="13">
        <v>0.47866666666666702</v>
      </c>
      <c r="J958" s="12" t="s">
        <v>1263</v>
      </c>
      <c r="K958" s="14">
        <v>1071</v>
      </c>
      <c r="L958" s="14">
        <v>1377</v>
      </c>
      <c r="M958" s="14">
        <v>1158</v>
      </c>
      <c r="N958" s="12">
        <v>3.59</v>
      </c>
      <c r="O958" s="12" t="s">
        <v>1263</v>
      </c>
      <c r="P958" s="12">
        <v>5.7750002010793897E-4</v>
      </c>
      <c r="Q958" s="12">
        <v>2.17962169460375E-3</v>
      </c>
      <c r="R958" s="12">
        <v>0.113407258064516</v>
      </c>
      <c r="S958" s="14">
        <v>21</v>
      </c>
      <c r="T958" s="12">
        <v>0.157882606666782</v>
      </c>
      <c r="U958" s="14">
        <v>1134</v>
      </c>
      <c r="V958" s="14">
        <v>2</v>
      </c>
      <c r="W958" s="12">
        <v>5.5999999999999999E-3</v>
      </c>
      <c r="X958" s="12">
        <v>0.16348260666678199</v>
      </c>
      <c r="Y958" s="14">
        <v>1134</v>
      </c>
      <c r="Z958" s="14">
        <v>21</v>
      </c>
      <c r="AA958" s="12" t="s">
        <v>2370</v>
      </c>
    </row>
    <row r="959" spans="1:27" ht="14.25" x14ac:dyDescent="0.45">
      <c r="A959" s="12" t="s">
        <v>1332</v>
      </c>
      <c r="B959" s="12" t="s">
        <v>1971</v>
      </c>
      <c r="C959" s="12" t="s">
        <v>1977</v>
      </c>
      <c r="D959" s="12" t="s">
        <v>2012</v>
      </c>
      <c r="E959" s="20">
        <v>31542</v>
      </c>
      <c r="F959" s="20">
        <v>44371</v>
      </c>
      <c r="G959" s="12">
        <v>4.28</v>
      </c>
      <c r="H959" s="12">
        <v>6.3333333333333304</v>
      </c>
      <c r="I959" s="13">
        <v>0.67578947368421105</v>
      </c>
      <c r="J959" s="12" t="s">
        <v>1332</v>
      </c>
      <c r="K959" s="14">
        <v>946</v>
      </c>
      <c r="L959" s="14">
        <v>1557</v>
      </c>
      <c r="M959" s="14">
        <v>1089</v>
      </c>
      <c r="N959" s="12">
        <v>4.28</v>
      </c>
      <c r="O959" s="12" t="s">
        <v>1332</v>
      </c>
      <c r="P959" s="12">
        <v>6.88495845699716E-4</v>
      </c>
      <c r="Q959" s="12">
        <v>3.07722576147693E-3</v>
      </c>
      <c r="R959" s="12">
        <v>9.5766129032257993E-2</v>
      </c>
      <c r="S959" s="14">
        <v>36</v>
      </c>
      <c r="T959" s="12">
        <v>0.218145204306047</v>
      </c>
      <c r="U959" s="14">
        <v>1014</v>
      </c>
      <c r="V959" s="14">
        <v>2</v>
      </c>
      <c r="W959" s="12">
        <v>5.5999999999999999E-3</v>
      </c>
      <c r="X959" s="12">
        <v>0.223745204306047</v>
      </c>
      <c r="Y959" s="14">
        <v>1013</v>
      </c>
      <c r="Z959" s="14">
        <v>36</v>
      </c>
      <c r="AA959" s="12" t="s">
        <v>2369</v>
      </c>
    </row>
    <row r="960" spans="1:27" ht="14.25" x14ac:dyDescent="0.45">
      <c r="A960" s="12" t="s">
        <v>1337</v>
      </c>
      <c r="B960" s="12" t="s">
        <v>1971</v>
      </c>
      <c r="C960" s="12" t="s">
        <v>1977</v>
      </c>
      <c r="D960" s="12" t="s">
        <v>1978</v>
      </c>
      <c r="E960" s="20">
        <v>25241</v>
      </c>
      <c r="F960" s="20">
        <v>44131</v>
      </c>
      <c r="G960" s="12">
        <v>28.13</v>
      </c>
      <c r="H960" s="12">
        <v>14.3333333333333</v>
      </c>
      <c r="I960" s="13">
        <v>1.9625581395348799</v>
      </c>
      <c r="J960" s="12" t="s">
        <v>1337</v>
      </c>
      <c r="K960" s="14">
        <v>663</v>
      </c>
      <c r="L960" s="14">
        <v>584</v>
      </c>
      <c r="M960" s="14">
        <v>587</v>
      </c>
      <c r="N960" s="12">
        <v>28.13</v>
      </c>
      <c r="O960" s="12" t="s">
        <v>1337</v>
      </c>
      <c r="P960" s="12">
        <v>4.5250906868067797E-3</v>
      </c>
      <c r="Q960" s="12">
        <v>8.9365619035892997E-3</v>
      </c>
      <c r="R960" s="12">
        <v>0.21673387096774199</v>
      </c>
      <c r="S960" s="14">
        <v>53</v>
      </c>
      <c r="T960" s="12">
        <v>0.72822601972958501</v>
      </c>
      <c r="U960" s="14">
        <v>700</v>
      </c>
      <c r="V960" s="14">
        <v>3</v>
      </c>
      <c r="W960" s="12">
        <v>5.7000000000000002E-3</v>
      </c>
      <c r="X960" s="12">
        <v>0.73392601972958504</v>
      </c>
      <c r="Y960" s="14">
        <v>700</v>
      </c>
      <c r="Z960" s="14">
        <v>53</v>
      </c>
      <c r="AA960" s="12" t="s">
        <v>2371</v>
      </c>
    </row>
    <row r="961" spans="1:27" ht="14.25" x14ac:dyDescent="0.45">
      <c r="A961" s="12" t="s">
        <v>1364</v>
      </c>
      <c r="B961" s="12" t="s">
        <v>1971</v>
      </c>
      <c r="C961" s="12" t="s">
        <v>1977</v>
      </c>
      <c r="D961" s="12" t="s">
        <v>1993</v>
      </c>
      <c r="E961" s="20">
        <v>29363</v>
      </c>
      <c r="F961" s="20">
        <v>44369</v>
      </c>
      <c r="G961" s="12">
        <v>4.8</v>
      </c>
      <c r="H961" s="12">
        <v>6.4</v>
      </c>
      <c r="I961" s="13">
        <v>0.75</v>
      </c>
      <c r="J961" s="12" t="s">
        <v>1364</v>
      </c>
      <c r="K961" s="14">
        <v>910</v>
      </c>
      <c r="L961" s="14">
        <v>1500</v>
      </c>
      <c r="M961" s="14">
        <v>1046</v>
      </c>
      <c r="N961" s="12">
        <v>4.8</v>
      </c>
      <c r="O961" s="12" t="s">
        <v>1364</v>
      </c>
      <c r="P961" s="12">
        <v>7.7214487368192401E-4</v>
      </c>
      <c r="Q961" s="12">
        <v>3.41514541285407E-3</v>
      </c>
      <c r="R961" s="12">
        <v>9.6774193548387094E-2</v>
      </c>
      <c r="S961" s="14">
        <v>42</v>
      </c>
      <c r="T961" s="12">
        <v>0.24240202106645101</v>
      </c>
      <c r="U961" s="14">
        <v>979</v>
      </c>
      <c r="V961" s="14">
        <v>1</v>
      </c>
      <c r="W961" s="12">
        <v>5.4999999999999997E-3</v>
      </c>
      <c r="X961" s="12">
        <v>0.24790202106645101</v>
      </c>
      <c r="Y961" s="14">
        <v>979</v>
      </c>
      <c r="Z961" s="14">
        <v>42</v>
      </c>
      <c r="AA961" s="12" t="s">
        <v>2369</v>
      </c>
    </row>
    <row r="962" spans="1:27" ht="14.25" x14ac:dyDescent="0.45">
      <c r="A962" s="12" t="s">
        <v>1372</v>
      </c>
      <c r="B962" s="12" t="s">
        <v>1971</v>
      </c>
      <c r="C962" s="12" t="s">
        <v>1977</v>
      </c>
      <c r="D962" s="12" t="s">
        <v>1973</v>
      </c>
      <c r="E962" s="20">
        <v>25904</v>
      </c>
      <c r="F962" s="20">
        <v>42950</v>
      </c>
      <c r="G962" s="12">
        <v>3</v>
      </c>
      <c r="H962" s="12">
        <v>53.7</v>
      </c>
      <c r="I962" s="13">
        <v>5.5865921787709501E-2</v>
      </c>
      <c r="J962" s="12" t="s">
        <v>1372</v>
      </c>
      <c r="K962" s="14">
        <v>1592</v>
      </c>
      <c r="L962" s="14">
        <v>49</v>
      </c>
      <c r="M962" s="14">
        <v>1221</v>
      </c>
      <c r="N962" s="12">
        <v>3</v>
      </c>
      <c r="O962" s="12" t="s">
        <v>1372</v>
      </c>
      <c r="P962" s="12">
        <v>4.8259054605120298E-4</v>
      </c>
      <c r="Q962" s="12">
        <v>2.5438699537088001E-4</v>
      </c>
      <c r="R962" s="12">
        <v>0.81199596774193505</v>
      </c>
      <c r="S962" s="14">
        <v>52</v>
      </c>
      <c r="T962" s="12">
        <v>3.3996332687600099E-2</v>
      </c>
      <c r="U962" s="14">
        <v>1594</v>
      </c>
      <c r="V962" s="14">
        <v>1</v>
      </c>
      <c r="W962" s="12">
        <v>5.4999999999999997E-3</v>
      </c>
      <c r="X962" s="12">
        <v>3.9496332687600097E-2</v>
      </c>
      <c r="Y962" s="14">
        <v>1594</v>
      </c>
      <c r="Z962" s="14">
        <v>51</v>
      </c>
      <c r="AA962" s="12" t="s">
        <v>2371</v>
      </c>
    </row>
    <row r="963" spans="1:27" ht="14.25" x14ac:dyDescent="0.45">
      <c r="A963" s="12" t="s">
        <v>1386</v>
      </c>
      <c r="B963" s="12" t="s">
        <v>1971</v>
      </c>
      <c r="C963" s="12" t="s">
        <v>1977</v>
      </c>
      <c r="D963" s="12" t="s">
        <v>2026</v>
      </c>
      <c r="E963" s="20">
        <v>30496</v>
      </c>
      <c r="F963" s="20">
        <v>44335</v>
      </c>
      <c r="G963" s="12">
        <v>2.06</v>
      </c>
      <c r="H963" s="12">
        <v>7.5333333333333297</v>
      </c>
      <c r="I963" s="13">
        <v>0.27345132743362799</v>
      </c>
      <c r="J963" s="12" t="s">
        <v>1386</v>
      </c>
      <c r="K963" s="14">
        <v>1250</v>
      </c>
      <c r="L963" s="14">
        <v>1332</v>
      </c>
      <c r="M963" s="14">
        <v>1350</v>
      </c>
      <c r="N963" s="12">
        <v>2.06</v>
      </c>
      <c r="O963" s="12" t="s">
        <v>1386</v>
      </c>
      <c r="P963" s="12">
        <v>3.3137884162182601E-4</v>
      </c>
      <c r="Q963" s="12">
        <v>1.24516806203175E-3</v>
      </c>
      <c r="R963" s="12">
        <v>0.113911290322581</v>
      </c>
      <c r="S963" s="14">
        <v>39</v>
      </c>
      <c r="T963" s="12">
        <v>9.0249710437802805E-2</v>
      </c>
      <c r="U963" s="14">
        <v>1317</v>
      </c>
      <c r="V963" s="14">
        <v>2</v>
      </c>
      <c r="W963" s="12">
        <v>5.5999999999999999E-3</v>
      </c>
      <c r="X963" s="12">
        <v>9.5849710437802799E-2</v>
      </c>
      <c r="Y963" s="14">
        <v>1317</v>
      </c>
      <c r="Z963" s="14">
        <v>39</v>
      </c>
      <c r="AA963" s="12" t="s">
        <v>2369</v>
      </c>
    </row>
    <row r="964" spans="1:27" ht="14.25" x14ac:dyDescent="0.45">
      <c r="A964" s="12" t="s">
        <v>1421</v>
      </c>
      <c r="B964" s="12" t="s">
        <v>1971</v>
      </c>
      <c r="C964" s="12" t="s">
        <v>1977</v>
      </c>
      <c r="D964" s="12" t="s">
        <v>1990</v>
      </c>
      <c r="E964" s="20">
        <v>35808</v>
      </c>
      <c r="F964" s="20">
        <v>44371</v>
      </c>
      <c r="G964" s="12">
        <v>4.32</v>
      </c>
      <c r="H964" s="12">
        <v>6.3333333333333304</v>
      </c>
      <c r="I964" s="13">
        <v>0.68210526315789499</v>
      </c>
      <c r="J964" s="12" t="s">
        <v>1421</v>
      </c>
      <c r="K964" s="14">
        <v>942</v>
      </c>
      <c r="L964" s="14">
        <v>1557</v>
      </c>
      <c r="M964" s="14">
        <v>1083</v>
      </c>
      <c r="N964" s="12">
        <v>4.32</v>
      </c>
      <c r="O964" s="12" t="s">
        <v>1421</v>
      </c>
      <c r="P964" s="12">
        <v>6.9493038631373205E-4</v>
      </c>
      <c r="Q964" s="12">
        <v>3.1059848807430701E-3</v>
      </c>
      <c r="R964" s="12">
        <v>9.5766129032257993E-2</v>
      </c>
      <c r="S964" s="14">
        <v>24</v>
      </c>
      <c r="T964" s="12">
        <v>0.220183944533207</v>
      </c>
      <c r="U964" s="14">
        <v>1009</v>
      </c>
      <c r="V964" s="14">
        <v>1</v>
      </c>
      <c r="W964" s="12">
        <v>5.4999999999999997E-3</v>
      </c>
      <c r="X964" s="12">
        <v>0.225683944533207</v>
      </c>
      <c r="Y964" s="14">
        <v>1009</v>
      </c>
      <c r="Z964" s="14">
        <v>24</v>
      </c>
      <c r="AA964" s="12" t="s">
        <v>2370</v>
      </c>
    </row>
    <row r="965" spans="1:27" ht="14.25" x14ac:dyDescent="0.45">
      <c r="A965" s="12" t="s">
        <v>1427</v>
      </c>
      <c r="B965" s="12" t="s">
        <v>1971</v>
      </c>
      <c r="C965" s="12" t="s">
        <v>1977</v>
      </c>
      <c r="D965" s="12" t="s">
        <v>1974</v>
      </c>
      <c r="E965" s="20">
        <v>31276</v>
      </c>
      <c r="F965" s="20">
        <v>44369</v>
      </c>
      <c r="G965" s="12">
        <v>0.33</v>
      </c>
      <c r="H965" s="12">
        <v>6.4</v>
      </c>
      <c r="I965" s="13">
        <v>5.1562499999999997E-2</v>
      </c>
      <c r="J965" s="12" t="s">
        <v>1427</v>
      </c>
      <c r="K965" s="14">
        <v>1605</v>
      </c>
      <c r="L965" s="14">
        <v>1500</v>
      </c>
      <c r="M965" s="14">
        <v>1726</v>
      </c>
      <c r="N965" s="12">
        <v>0.33</v>
      </c>
      <c r="O965" s="12" t="s">
        <v>1427</v>
      </c>
      <c r="P965" s="12">
        <v>5.3084960065632302E-5</v>
      </c>
      <c r="Q965" s="12">
        <v>2.3479124713371701E-4</v>
      </c>
      <c r="R965" s="12">
        <v>9.6774193548387094E-2</v>
      </c>
      <c r="S965" s="14">
        <v>37</v>
      </c>
      <c r="T965" s="12">
        <v>1.66651389483185E-2</v>
      </c>
      <c r="U965" s="14">
        <v>1704</v>
      </c>
      <c r="V965" s="14">
        <v>1</v>
      </c>
      <c r="W965" s="12">
        <v>5.4999999999999997E-3</v>
      </c>
      <c r="X965" s="12">
        <v>2.2165138948318501E-2</v>
      </c>
      <c r="Y965" s="14">
        <v>1704</v>
      </c>
      <c r="Z965" s="14">
        <v>36</v>
      </c>
      <c r="AA965" s="12" t="s">
        <v>2369</v>
      </c>
    </row>
    <row r="966" spans="1:27" ht="14.25" x14ac:dyDescent="0.45">
      <c r="A966" s="12" t="s">
        <v>1443</v>
      </c>
      <c r="B966" s="12" t="s">
        <v>1971</v>
      </c>
      <c r="C966" s="12" t="s">
        <v>1977</v>
      </c>
      <c r="D966" s="12" t="s">
        <v>1982</v>
      </c>
      <c r="E966" s="20">
        <v>36600</v>
      </c>
      <c r="F966" s="20">
        <v>44344</v>
      </c>
      <c r="G966" s="12">
        <v>3.85</v>
      </c>
      <c r="H966" s="12">
        <v>7.2333333333333298</v>
      </c>
      <c r="I966" s="13">
        <v>0.532258064516129</v>
      </c>
      <c r="J966" s="12" t="s">
        <v>1443</v>
      </c>
      <c r="K966" s="14">
        <v>1032</v>
      </c>
      <c r="L966" s="14">
        <v>1473</v>
      </c>
      <c r="M966" s="14">
        <v>1130</v>
      </c>
      <c r="N966" s="12">
        <v>3.85</v>
      </c>
      <c r="O966" s="12" t="s">
        <v>1443</v>
      </c>
      <c r="P966" s="12">
        <v>6.1932453409904297E-4</v>
      </c>
      <c r="Q966" s="12">
        <v>2.42365158331579E-3</v>
      </c>
      <c r="R966" s="12">
        <v>0.109375</v>
      </c>
      <c r="S966" s="14">
        <v>22</v>
      </c>
      <c r="T966" s="12">
        <v>0.17470289398595101</v>
      </c>
      <c r="U966" s="14">
        <v>1099</v>
      </c>
      <c r="V966" s="14">
        <v>3</v>
      </c>
      <c r="W966" s="12">
        <v>5.7000000000000002E-3</v>
      </c>
      <c r="X966" s="12">
        <v>0.180402893985951</v>
      </c>
      <c r="Y966" s="14">
        <v>1099</v>
      </c>
      <c r="Z966" s="14">
        <v>22</v>
      </c>
      <c r="AA966" s="12" t="s">
        <v>2370</v>
      </c>
    </row>
    <row r="967" spans="1:27" ht="14.25" x14ac:dyDescent="0.45">
      <c r="A967" s="12" t="s">
        <v>1470</v>
      </c>
      <c r="B967" s="12" t="s">
        <v>1971</v>
      </c>
      <c r="C967" s="12" t="s">
        <v>1977</v>
      </c>
      <c r="D967" s="12" t="s">
        <v>1974</v>
      </c>
      <c r="E967" s="20">
        <v>29321</v>
      </c>
      <c r="F967" s="20">
        <v>44371</v>
      </c>
      <c r="G967" s="12">
        <v>1.37</v>
      </c>
      <c r="H967" s="12">
        <v>6.3333333333333304</v>
      </c>
      <c r="I967" s="13">
        <v>0.21631578947368399</v>
      </c>
      <c r="J967" s="12" t="s">
        <v>1470</v>
      </c>
      <c r="K967" s="14">
        <v>1326</v>
      </c>
      <c r="L967" s="14">
        <v>1557</v>
      </c>
      <c r="M967" s="14">
        <v>1494</v>
      </c>
      <c r="N967" s="12">
        <v>1.37</v>
      </c>
      <c r="O967" s="12" t="s">
        <v>1470</v>
      </c>
      <c r="P967" s="12">
        <v>2.20383016030049E-4</v>
      </c>
      <c r="Q967" s="12">
        <v>9.8499983486527898E-4</v>
      </c>
      <c r="R967" s="12">
        <v>9.5766129032257993E-2</v>
      </c>
      <c r="S967" s="14">
        <v>42</v>
      </c>
      <c r="T967" s="12">
        <v>6.9826852780206797E-2</v>
      </c>
      <c r="U967" s="14">
        <v>1445</v>
      </c>
      <c r="V967" s="14">
        <v>1</v>
      </c>
      <c r="W967" s="12">
        <v>5.4999999999999997E-3</v>
      </c>
      <c r="X967" s="12">
        <v>7.5326852780206802E-2</v>
      </c>
      <c r="Y967" s="14">
        <v>1446</v>
      </c>
      <c r="Z967" s="14">
        <v>42</v>
      </c>
      <c r="AA967" s="12" t="s">
        <v>2369</v>
      </c>
    </row>
    <row r="968" spans="1:27" ht="14.25" x14ac:dyDescent="0.45">
      <c r="A968" s="12" t="s">
        <v>1503</v>
      </c>
      <c r="B968" s="12" t="s">
        <v>1971</v>
      </c>
      <c r="C968" s="12" t="s">
        <v>1977</v>
      </c>
      <c r="D968" s="12" t="s">
        <v>2072</v>
      </c>
      <c r="E968" s="20">
        <v>25917</v>
      </c>
      <c r="F968" s="20">
        <v>44334</v>
      </c>
      <c r="G968" s="12">
        <v>0.06</v>
      </c>
      <c r="H968" s="12">
        <v>7.56666666666667</v>
      </c>
      <c r="I968" s="13">
        <v>7.9295154185021997E-3</v>
      </c>
      <c r="J968" s="12" t="s">
        <v>1503</v>
      </c>
      <c r="K968" s="14">
        <v>1756</v>
      </c>
      <c r="L968" s="14">
        <v>1269</v>
      </c>
      <c r="M968" s="14">
        <v>1867</v>
      </c>
      <c r="N968" s="12">
        <v>0.06</v>
      </c>
      <c r="O968" s="12" t="s">
        <v>1503</v>
      </c>
      <c r="P968" s="12">
        <v>9.6518109210240504E-6</v>
      </c>
      <c r="Q968" s="12">
        <v>3.6107264276871198E-5</v>
      </c>
      <c r="R968" s="12">
        <v>0.114415322580645</v>
      </c>
      <c r="S968" s="14">
        <v>52</v>
      </c>
      <c r="T968" s="12">
        <v>2.6186469268428499E-3</v>
      </c>
      <c r="U968" s="14">
        <v>1864</v>
      </c>
      <c r="V968" s="14">
        <v>1</v>
      </c>
      <c r="W968" s="12">
        <v>5.4999999999999997E-3</v>
      </c>
      <c r="X968" s="12">
        <v>8.1186469268428492E-3</v>
      </c>
      <c r="Y968" s="14">
        <v>1864</v>
      </c>
      <c r="Z968" s="14">
        <v>51</v>
      </c>
      <c r="AA968" s="12" t="s">
        <v>2371</v>
      </c>
    </row>
    <row r="969" spans="1:27" ht="14.25" x14ac:dyDescent="0.45">
      <c r="A969" s="12" t="s">
        <v>1514</v>
      </c>
      <c r="B969" s="12" t="s">
        <v>1971</v>
      </c>
      <c r="C969" s="12" t="s">
        <v>1977</v>
      </c>
      <c r="D969" s="12" t="s">
        <v>1982</v>
      </c>
      <c r="E969" s="20">
        <v>36350</v>
      </c>
      <c r="F969" s="20">
        <v>44392</v>
      </c>
      <c r="G969" s="12">
        <v>0.25</v>
      </c>
      <c r="H969" s="12">
        <v>5.6333333333333302</v>
      </c>
      <c r="I969" s="13">
        <v>4.4378698224852103E-2</v>
      </c>
      <c r="J969" s="12" t="s">
        <v>1514</v>
      </c>
      <c r="K969" s="14">
        <v>1620</v>
      </c>
      <c r="L969" s="14">
        <v>1672</v>
      </c>
      <c r="M969" s="14">
        <v>1758</v>
      </c>
      <c r="N969" s="12">
        <v>0.25</v>
      </c>
      <c r="O969" s="12" t="s">
        <v>1514</v>
      </c>
      <c r="P969" s="12">
        <v>4.0215878837600201E-5</v>
      </c>
      <c r="Q969" s="12">
        <v>2.0207961022805101E-4</v>
      </c>
      <c r="R969" s="12">
        <v>8.5181451612903206E-2</v>
      </c>
      <c r="S969" s="14">
        <v>23</v>
      </c>
      <c r="T969" s="12">
        <v>1.41380710956632E-2</v>
      </c>
      <c r="U969" s="14">
        <v>1725</v>
      </c>
      <c r="V969" s="14">
        <v>1</v>
      </c>
      <c r="W969" s="12">
        <v>5.4999999999999997E-3</v>
      </c>
      <c r="X969" s="12">
        <v>1.96380710956632E-2</v>
      </c>
      <c r="Y969" s="14">
        <v>1725</v>
      </c>
      <c r="Z969" s="14">
        <v>23</v>
      </c>
      <c r="AA969" s="12" t="s">
        <v>2370</v>
      </c>
    </row>
    <row r="970" spans="1:27" ht="14.25" x14ac:dyDescent="0.45">
      <c r="A970" s="12" t="s">
        <v>1541</v>
      </c>
      <c r="B970" s="12" t="s">
        <v>1971</v>
      </c>
      <c r="C970" s="12" t="s">
        <v>1977</v>
      </c>
      <c r="D970" s="12" t="s">
        <v>2014</v>
      </c>
      <c r="E970" s="20">
        <v>31691</v>
      </c>
      <c r="F970" s="20">
        <v>44334</v>
      </c>
      <c r="G970" s="12">
        <v>1.0900000000000001</v>
      </c>
      <c r="H970" s="12">
        <v>7.56666666666667</v>
      </c>
      <c r="I970" s="13">
        <v>0.144052863436123</v>
      </c>
      <c r="J970" s="12" t="s">
        <v>1541</v>
      </c>
      <c r="K970" s="14">
        <v>1422</v>
      </c>
      <c r="L970" s="14">
        <v>1269</v>
      </c>
      <c r="M970" s="14">
        <v>1531</v>
      </c>
      <c r="N970" s="12">
        <v>1.0900000000000001</v>
      </c>
      <c r="O970" s="12" t="s">
        <v>1541</v>
      </c>
      <c r="P970" s="12">
        <v>1.75341231731937E-4</v>
      </c>
      <c r="Q970" s="12">
        <v>6.5594863436316004E-4</v>
      </c>
      <c r="R970" s="12">
        <v>0.114415322580645</v>
      </c>
      <c r="S970" s="14">
        <v>36</v>
      </c>
      <c r="T970" s="12">
        <v>4.7572085837645203E-2</v>
      </c>
      <c r="U970" s="14">
        <v>1531</v>
      </c>
      <c r="V970" s="14">
        <v>1</v>
      </c>
      <c r="W970" s="12">
        <v>5.4999999999999997E-3</v>
      </c>
      <c r="X970" s="12">
        <v>5.3072085837645201E-2</v>
      </c>
      <c r="Y970" s="14">
        <v>1531</v>
      </c>
      <c r="Z970" s="14">
        <v>35</v>
      </c>
      <c r="AA970" s="12" t="s">
        <v>2369</v>
      </c>
    </row>
    <row r="971" spans="1:27" ht="14.25" x14ac:dyDescent="0.45">
      <c r="A971" s="12" t="s">
        <v>1545</v>
      </c>
      <c r="B971" s="12" t="s">
        <v>1971</v>
      </c>
      <c r="C971" s="12" t="s">
        <v>1977</v>
      </c>
      <c r="D971" s="12" t="s">
        <v>1974</v>
      </c>
      <c r="E971" s="20">
        <v>31319</v>
      </c>
      <c r="F971" s="20">
        <v>44370</v>
      </c>
      <c r="G971" s="12">
        <v>2.34</v>
      </c>
      <c r="H971" s="12">
        <v>6.3666666666666698</v>
      </c>
      <c r="I971" s="13">
        <v>0.36753926701570699</v>
      </c>
      <c r="J971" s="12" t="s">
        <v>1545</v>
      </c>
      <c r="K971" s="14">
        <v>1168</v>
      </c>
      <c r="L971" s="14">
        <v>1504</v>
      </c>
      <c r="M971" s="14">
        <v>1300</v>
      </c>
      <c r="N971" s="12">
        <v>2.34</v>
      </c>
      <c r="O971" s="12" t="s">
        <v>1545</v>
      </c>
      <c r="P971" s="12">
        <v>3.7642062591993798E-4</v>
      </c>
      <c r="Q971" s="12">
        <v>1.6736000557232499E-3</v>
      </c>
      <c r="R971" s="12">
        <v>9.6270161290322606E-2</v>
      </c>
      <c r="S971" s="14">
        <v>37</v>
      </c>
      <c r="T971" s="12">
        <v>0.11871577695470099</v>
      </c>
      <c r="U971" s="14">
        <v>1233</v>
      </c>
      <c r="V971" s="14">
        <v>1</v>
      </c>
      <c r="W971" s="12">
        <v>5.4999999999999997E-3</v>
      </c>
      <c r="X971" s="12">
        <v>0.124215776954701</v>
      </c>
      <c r="Y971" s="14">
        <v>1233</v>
      </c>
      <c r="Z971" s="14">
        <v>36</v>
      </c>
      <c r="AA971" s="12" t="s">
        <v>2369</v>
      </c>
    </row>
    <row r="972" spans="1:27" ht="14.25" x14ac:dyDescent="0.45">
      <c r="A972" s="12" t="s">
        <v>1558</v>
      </c>
      <c r="B972" s="12" t="s">
        <v>1971</v>
      </c>
      <c r="C972" s="12" t="s">
        <v>1977</v>
      </c>
      <c r="D972" s="12" t="s">
        <v>2072</v>
      </c>
      <c r="E972" s="20">
        <v>27918</v>
      </c>
      <c r="F972" s="20">
        <v>44410</v>
      </c>
      <c r="G972" s="12">
        <v>2.48</v>
      </c>
      <c r="H972" s="12">
        <v>5.0333333333333297</v>
      </c>
      <c r="I972" s="13">
        <v>0.49271523178807902</v>
      </c>
      <c r="J972" s="12" t="s">
        <v>1558</v>
      </c>
      <c r="K972" s="14">
        <v>1060</v>
      </c>
      <c r="L972" s="14">
        <v>1727</v>
      </c>
      <c r="M972" s="14">
        <v>1278</v>
      </c>
      <c r="N972" s="12">
        <v>2.48</v>
      </c>
      <c r="O972" s="12" t="s">
        <v>1558</v>
      </c>
      <c r="P972" s="12">
        <v>3.98941518068994E-4</v>
      </c>
      <c r="Q972" s="12">
        <v>2.2435922182458502E-3</v>
      </c>
      <c r="R972" s="12">
        <v>7.6108870967741896E-2</v>
      </c>
      <c r="S972" s="14">
        <v>46</v>
      </c>
      <c r="T972" s="12">
        <v>0.15518482056795299</v>
      </c>
      <c r="U972" s="14">
        <v>1141</v>
      </c>
      <c r="V972" s="14">
        <v>2</v>
      </c>
      <c r="W972" s="12">
        <v>5.5999999999999999E-3</v>
      </c>
      <c r="X972" s="12">
        <v>0.16078482056795301</v>
      </c>
      <c r="Y972" s="14">
        <v>1139</v>
      </c>
      <c r="Z972" s="14">
        <v>46</v>
      </c>
      <c r="AA972" s="12" t="s">
        <v>2371</v>
      </c>
    </row>
    <row r="973" spans="1:27" ht="14.25" x14ac:dyDescent="0.45">
      <c r="A973" s="12" t="s">
        <v>1589</v>
      </c>
      <c r="B973" s="12" t="s">
        <v>1971</v>
      </c>
      <c r="C973" s="12" t="s">
        <v>1977</v>
      </c>
      <c r="D973" s="12" t="s">
        <v>1973</v>
      </c>
      <c r="E973" s="20">
        <v>31687</v>
      </c>
      <c r="F973" s="20">
        <v>44424</v>
      </c>
      <c r="G973" s="12">
        <v>0.71</v>
      </c>
      <c r="H973" s="12">
        <v>4.56666666666667</v>
      </c>
      <c r="I973" s="13">
        <v>0.15547445255474501</v>
      </c>
      <c r="J973" s="12" t="s">
        <v>1589</v>
      </c>
      <c r="K973" s="14">
        <v>1405</v>
      </c>
      <c r="L973" s="14">
        <v>1809</v>
      </c>
      <c r="M973" s="14">
        <v>1624</v>
      </c>
      <c r="N973" s="12">
        <v>0.71</v>
      </c>
      <c r="O973" s="12" t="s">
        <v>1589</v>
      </c>
      <c r="P973" s="12">
        <v>1.1421309589878501E-4</v>
      </c>
      <c r="Q973" s="12">
        <v>7.0795715127777801E-4</v>
      </c>
      <c r="R973" s="12">
        <v>6.9052419354838704E-2</v>
      </c>
      <c r="S973" s="14">
        <v>36</v>
      </c>
      <c r="T973" s="12">
        <v>4.8530313051065498E-2</v>
      </c>
      <c r="U973" s="14">
        <v>1524</v>
      </c>
      <c r="V973" s="14">
        <v>1</v>
      </c>
      <c r="W973" s="12">
        <v>5.4999999999999997E-3</v>
      </c>
      <c r="X973" s="12">
        <v>5.4030313051065502E-2</v>
      </c>
      <c r="Y973" s="14">
        <v>1524</v>
      </c>
      <c r="Z973" s="14">
        <v>35</v>
      </c>
      <c r="AA973" s="12" t="s">
        <v>2369</v>
      </c>
    </row>
    <row r="974" spans="1:27" ht="14.25" x14ac:dyDescent="0.45">
      <c r="A974" s="12" t="s">
        <v>1592</v>
      </c>
      <c r="B974" s="12" t="s">
        <v>1971</v>
      </c>
      <c r="C974" s="12" t="s">
        <v>1977</v>
      </c>
      <c r="D974" s="12" t="s">
        <v>1978</v>
      </c>
      <c r="E974" s="20">
        <v>31438</v>
      </c>
      <c r="F974" s="20">
        <v>44421</v>
      </c>
      <c r="G974" s="12">
        <v>2.46</v>
      </c>
      <c r="H974" s="12">
        <v>4.6666666666666696</v>
      </c>
      <c r="I974" s="13">
        <v>0.52714285714285702</v>
      </c>
      <c r="J974" s="12" t="s">
        <v>1592</v>
      </c>
      <c r="K974" s="14">
        <v>1033</v>
      </c>
      <c r="L974" s="14">
        <v>1803</v>
      </c>
      <c r="M974" s="14">
        <v>1282</v>
      </c>
      <c r="N974" s="12">
        <v>2.46</v>
      </c>
      <c r="O974" s="12" t="s">
        <v>1592</v>
      </c>
      <c r="P974" s="12">
        <v>3.9572424776198602E-4</v>
      </c>
      <c r="Q974" s="12">
        <v>2.4003593473202901E-3</v>
      </c>
      <c r="R974" s="12">
        <v>7.0564516129032306E-2</v>
      </c>
      <c r="S974" s="14">
        <v>36</v>
      </c>
      <c r="T974" s="12">
        <v>0.164862118498593</v>
      </c>
      <c r="U974" s="14">
        <v>1120</v>
      </c>
      <c r="V974" s="14">
        <v>2</v>
      </c>
      <c r="W974" s="12">
        <v>5.5999999999999999E-3</v>
      </c>
      <c r="X974" s="12">
        <v>0.170462118498592</v>
      </c>
      <c r="Y974" s="14">
        <v>1120</v>
      </c>
      <c r="Z974" s="14">
        <v>36</v>
      </c>
      <c r="AA974" s="12" t="s">
        <v>2369</v>
      </c>
    </row>
    <row r="975" spans="1:27" ht="14.25" x14ac:dyDescent="0.45">
      <c r="A975" s="12" t="s">
        <v>1596</v>
      </c>
      <c r="B975" s="12" t="s">
        <v>1971</v>
      </c>
      <c r="C975" s="12" t="s">
        <v>1977</v>
      </c>
      <c r="D975" s="12" t="s">
        <v>1982</v>
      </c>
      <c r="E975" s="20">
        <v>37291</v>
      </c>
      <c r="F975" s="20">
        <v>44400</v>
      </c>
      <c r="G975" s="12">
        <v>40.67</v>
      </c>
      <c r="H975" s="12">
        <v>5.3666666666666698</v>
      </c>
      <c r="I975" s="13">
        <v>7.57826086956522</v>
      </c>
      <c r="J975" s="12" t="s">
        <v>1596</v>
      </c>
      <c r="K975" s="14">
        <v>362</v>
      </c>
      <c r="L975" s="14">
        <v>1690</v>
      </c>
      <c r="M975" s="14">
        <v>515</v>
      </c>
      <c r="N975" s="12">
        <v>40.67</v>
      </c>
      <c r="O975" s="12" t="s">
        <v>1596</v>
      </c>
      <c r="P975" s="12">
        <v>6.5423191693008099E-3</v>
      </c>
      <c r="Q975" s="12">
        <v>3.4507817128142902E-2</v>
      </c>
      <c r="R975" s="12">
        <v>8.1149193548387094E-2</v>
      </c>
      <c r="S975" s="14">
        <v>20</v>
      </c>
      <c r="T975" s="12">
        <v>2.40207553935771</v>
      </c>
      <c r="U975" s="14">
        <v>406</v>
      </c>
      <c r="V975" s="14">
        <v>4</v>
      </c>
      <c r="W975" s="12">
        <v>5.7999999999999996E-3</v>
      </c>
      <c r="X975" s="12">
        <v>2.4078755393577098</v>
      </c>
      <c r="Y975" s="14">
        <v>406</v>
      </c>
      <c r="Z975" s="14">
        <v>20</v>
      </c>
      <c r="AA975" s="12" t="s">
        <v>2370</v>
      </c>
    </row>
    <row r="976" spans="1:27" ht="14.25" x14ac:dyDescent="0.45">
      <c r="A976" s="12" t="s">
        <v>1598</v>
      </c>
      <c r="B976" s="12" t="s">
        <v>1971</v>
      </c>
      <c r="C976" s="12" t="s">
        <v>1977</v>
      </c>
      <c r="D976" s="12" t="s">
        <v>2020</v>
      </c>
      <c r="E976" s="20">
        <v>31036</v>
      </c>
      <c r="F976" s="20">
        <v>44375</v>
      </c>
      <c r="G976" s="12">
        <v>0.39</v>
      </c>
      <c r="H976" s="12">
        <v>6.2</v>
      </c>
      <c r="I976" s="13">
        <v>6.2903225806451593E-2</v>
      </c>
      <c r="J976" s="12" t="s">
        <v>1598</v>
      </c>
      <c r="K976" s="14">
        <v>1578</v>
      </c>
      <c r="L976" s="14">
        <v>1638</v>
      </c>
      <c r="M976" s="14">
        <v>1714</v>
      </c>
      <c r="N976" s="12">
        <v>0.39</v>
      </c>
      <c r="O976" s="12" t="s">
        <v>1598</v>
      </c>
      <c r="P976" s="12">
        <v>6.2736770986656398E-5</v>
      </c>
      <c r="Q976" s="12">
        <v>2.8643155075550302E-4</v>
      </c>
      <c r="R976" s="12">
        <v>9.375E-2</v>
      </c>
      <c r="S976" s="14">
        <v>38</v>
      </c>
      <c r="T976" s="12">
        <v>2.0254600834218501E-2</v>
      </c>
      <c r="U976" s="14">
        <v>1683</v>
      </c>
      <c r="V976" s="14">
        <v>1</v>
      </c>
      <c r="W976" s="12">
        <v>5.4999999999999997E-3</v>
      </c>
      <c r="X976" s="12">
        <v>2.5754600834218499E-2</v>
      </c>
      <c r="Y976" s="14">
        <v>1683</v>
      </c>
      <c r="Z976" s="14">
        <v>37</v>
      </c>
      <c r="AA976" s="12" t="s">
        <v>2369</v>
      </c>
    </row>
    <row r="977" spans="1:27" ht="14.25" x14ac:dyDescent="0.45">
      <c r="A977" s="12" t="s">
        <v>1610</v>
      </c>
      <c r="B977" s="12" t="s">
        <v>1971</v>
      </c>
      <c r="C977" s="12" t="s">
        <v>1977</v>
      </c>
      <c r="D977" s="12" t="s">
        <v>1993</v>
      </c>
      <c r="E977" s="20">
        <v>31315</v>
      </c>
      <c r="F977" s="20">
        <v>44417</v>
      </c>
      <c r="G977" s="12">
        <v>2.09</v>
      </c>
      <c r="H977" s="12">
        <v>4.8</v>
      </c>
      <c r="I977" s="13">
        <v>0.43541666666666701</v>
      </c>
      <c r="J977" s="12" t="s">
        <v>1610</v>
      </c>
      <c r="K977" s="14">
        <v>1111</v>
      </c>
      <c r="L977" s="14">
        <v>1757</v>
      </c>
      <c r="M977" s="14">
        <v>1342</v>
      </c>
      <c r="N977" s="12">
        <v>2.09</v>
      </c>
      <c r="O977" s="12" t="s">
        <v>1610</v>
      </c>
      <c r="P977" s="12">
        <v>3.3620474708233799E-4</v>
      </c>
      <c r="Q977" s="12">
        <v>1.9826816424624999E-3</v>
      </c>
      <c r="R977" s="12">
        <v>7.25806451612903E-2</v>
      </c>
      <c r="S977" s="14">
        <v>37</v>
      </c>
      <c r="T977" s="12">
        <v>0.13652528066949399</v>
      </c>
      <c r="U977" s="14">
        <v>1191</v>
      </c>
      <c r="V977" s="14">
        <v>2</v>
      </c>
      <c r="W977" s="12">
        <v>5.5999999999999999E-3</v>
      </c>
      <c r="X977" s="12">
        <v>0.14212528066949401</v>
      </c>
      <c r="Y977" s="14">
        <v>1191</v>
      </c>
      <c r="Z977" s="14">
        <v>36</v>
      </c>
      <c r="AA977" s="12" t="s">
        <v>2369</v>
      </c>
    </row>
    <row r="978" spans="1:27" ht="14.25" x14ac:dyDescent="0.45">
      <c r="A978" s="12" t="s">
        <v>1628</v>
      </c>
      <c r="B978" s="12" t="s">
        <v>1971</v>
      </c>
      <c r="C978" s="12" t="s">
        <v>1977</v>
      </c>
      <c r="D978" s="12" t="s">
        <v>1982</v>
      </c>
      <c r="E978" s="20">
        <v>36731</v>
      </c>
      <c r="F978" s="20">
        <v>44419</v>
      </c>
      <c r="G978" s="12">
        <v>1.86</v>
      </c>
      <c r="H978" s="12">
        <v>4.7333333333333298</v>
      </c>
      <c r="I978" s="13">
        <v>0.39295774647887299</v>
      </c>
      <c r="J978" s="12" t="s">
        <v>1628</v>
      </c>
      <c r="K978" s="14">
        <v>1145</v>
      </c>
      <c r="L978" s="14">
        <v>1780</v>
      </c>
      <c r="M978" s="14">
        <v>1431</v>
      </c>
      <c r="N978" s="12">
        <v>1.86</v>
      </c>
      <c r="O978" s="12" t="s">
        <v>1628</v>
      </c>
      <c r="P978" s="12">
        <v>2.9920613855174603E-4</v>
      </c>
      <c r="Q978" s="12">
        <v>1.78934379377706E-3</v>
      </c>
      <c r="R978" s="12">
        <v>7.1572580645161296E-2</v>
      </c>
      <c r="S978" s="14">
        <v>22</v>
      </c>
      <c r="T978" s="12">
        <v>0.123054217306757</v>
      </c>
      <c r="U978" s="14">
        <v>1222</v>
      </c>
      <c r="V978" s="14">
        <v>1</v>
      </c>
      <c r="W978" s="12">
        <v>5.4999999999999997E-3</v>
      </c>
      <c r="X978" s="12">
        <v>0.12855421730675701</v>
      </c>
      <c r="Y978" s="14">
        <v>1222</v>
      </c>
      <c r="Z978" s="14">
        <v>21</v>
      </c>
      <c r="AA978" s="12" t="s">
        <v>2370</v>
      </c>
    </row>
    <row r="979" spans="1:27" ht="14.25" x14ac:dyDescent="0.45">
      <c r="A979" s="12" t="s">
        <v>1638</v>
      </c>
      <c r="B979" s="12" t="s">
        <v>1971</v>
      </c>
      <c r="C979" s="12" t="s">
        <v>1977</v>
      </c>
      <c r="D979" s="12" t="s">
        <v>1974</v>
      </c>
      <c r="E979" s="20">
        <v>28968</v>
      </c>
      <c r="F979" s="20">
        <v>44417</v>
      </c>
      <c r="G979" s="12">
        <v>0.3</v>
      </c>
      <c r="H979" s="12">
        <v>4.8</v>
      </c>
      <c r="I979" s="13">
        <v>6.25E-2</v>
      </c>
      <c r="J979" s="12" t="s">
        <v>1638</v>
      </c>
      <c r="K979" s="14">
        <v>1580</v>
      </c>
      <c r="L979" s="14">
        <v>1757</v>
      </c>
      <c r="M979" s="14">
        <v>1737</v>
      </c>
      <c r="N979" s="12">
        <v>0.3</v>
      </c>
      <c r="O979" s="12" t="s">
        <v>1638</v>
      </c>
      <c r="P979" s="12">
        <v>4.8259054605120298E-5</v>
      </c>
      <c r="Q979" s="12">
        <v>2.8459545107117201E-4</v>
      </c>
      <c r="R979" s="12">
        <v>7.25806451612903E-2</v>
      </c>
      <c r="S979" s="14">
        <v>43</v>
      </c>
      <c r="T979" s="12">
        <v>1.9596930239640299E-2</v>
      </c>
      <c r="U979" s="14">
        <v>1686</v>
      </c>
      <c r="V979" s="14">
        <v>2</v>
      </c>
      <c r="W979" s="12">
        <v>5.5999999999999999E-3</v>
      </c>
      <c r="X979" s="12">
        <v>2.51969302396403E-2</v>
      </c>
      <c r="Y979" s="14">
        <v>1686</v>
      </c>
      <c r="Z979" s="14">
        <v>43</v>
      </c>
      <c r="AA979" s="12" t="s">
        <v>2369</v>
      </c>
    </row>
    <row r="980" spans="1:27" ht="14.25" x14ac:dyDescent="0.45">
      <c r="A980" s="12" t="s">
        <v>1641</v>
      </c>
      <c r="B980" s="12" t="s">
        <v>1971</v>
      </c>
      <c r="C980" s="12" t="s">
        <v>1977</v>
      </c>
      <c r="D980" s="12" t="s">
        <v>1982</v>
      </c>
      <c r="E980" s="20">
        <v>36298</v>
      </c>
      <c r="F980" s="20">
        <v>44413</v>
      </c>
      <c r="G980" s="12">
        <v>0.45</v>
      </c>
      <c r="H980" s="12">
        <v>4.93333333333333</v>
      </c>
      <c r="I980" s="13">
        <v>9.12162162162162E-2</v>
      </c>
      <c r="J980" s="12" t="s">
        <v>1641</v>
      </c>
      <c r="K980" s="14">
        <v>1518</v>
      </c>
      <c r="L980" s="14">
        <v>1745</v>
      </c>
      <c r="M980" s="14">
        <v>1697</v>
      </c>
      <c r="N980" s="12">
        <v>0.45</v>
      </c>
      <c r="O980" s="12" t="s">
        <v>1641</v>
      </c>
      <c r="P980" s="12">
        <v>7.2388581907680406E-5</v>
      </c>
      <c r="Q980" s="12">
        <v>4.1535552318495397E-4</v>
      </c>
      <c r="R980" s="12">
        <v>7.4596774193548404E-2</v>
      </c>
      <c r="S980" s="14">
        <v>23</v>
      </c>
      <c r="T980" s="12">
        <v>2.8674292020597701E-2</v>
      </c>
      <c r="U980" s="14">
        <v>1633</v>
      </c>
      <c r="V980" s="14">
        <v>1</v>
      </c>
      <c r="W980" s="12">
        <v>5.4999999999999997E-3</v>
      </c>
      <c r="X980" s="12">
        <v>3.4174292020597699E-2</v>
      </c>
      <c r="Y980" s="14">
        <v>1633</v>
      </c>
      <c r="Z980" s="14">
        <v>23</v>
      </c>
      <c r="AA980" s="12" t="s">
        <v>2370</v>
      </c>
    </row>
    <row r="981" spans="1:27" ht="14.25" x14ac:dyDescent="0.45">
      <c r="A981" s="12" t="s">
        <v>1695</v>
      </c>
      <c r="B981" s="12" t="s">
        <v>1971</v>
      </c>
      <c r="C981" s="12" t="s">
        <v>1977</v>
      </c>
      <c r="D981" s="12" t="s">
        <v>1982</v>
      </c>
      <c r="E981" s="20">
        <v>37445</v>
      </c>
      <c r="F981" s="20">
        <v>44414</v>
      </c>
      <c r="G981" s="12">
        <v>16.260000000000002</v>
      </c>
      <c r="H981" s="12">
        <v>4.9000000000000004</v>
      </c>
      <c r="I981" s="13">
        <v>3.3183673469387802</v>
      </c>
      <c r="J981" s="12" t="s">
        <v>1695</v>
      </c>
      <c r="K981" s="14">
        <v>535</v>
      </c>
      <c r="L981" s="14">
        <v>1748</v>
      </c>
      <c r="M981" s="14">
        <v>755</v>
      </c>
      <c r="N981" s="12">
        <v>16.260000000000002</v>
      </c>
      <c r="O981" s="12" t="s">
        <v>1695</v>
      </c>
      <c r="P981" s="12">
        <v>2.6156407595975201E-3</v>
      </c>
      <c r="Q981" s="12">
        <v>1.51102760307502E-2</v>
      </c>
      <c r="R981" s="12">
        <v>7.4092741935483902E-2</v>
      </c>
      <c r="S981" s="14">
        <v>20</v>
      </c>
      <c r="T981" s="12">
        <v>1.0424787804068001</v>
      </c>
      <c r="U981" s="14">
        <v>568</v>
      </c>
      <c r="V981" s="14">
        <v>6</v>
      </c>
      <c r="W981" s="12">
        <v>6.0000000000000001E-3</v>
      </c>
      <c r="X981" s="12">
        <v>1.0484787804068001</v>
      </c>
      <c r="Y981" s="14">
        <v>568</v>
      </c>
      <c r="Z981" s="14">
        <v>20</v>
      </c>
      <c r="AA981" s="12" t="s">
        <v>2370</v>
      </c>
    </row>
    <row r="982" spans="1:27" ht="14.25" x14ac:dyDescent="0.45">
      <c r="A982" s="12" t="s">
        <v>1704</v>
      </c>
      <c r="B982" s="12" t="s">
        <v>1971</v>
      </c>
      <c r="C982" s="12" t="s">
        <v>1977</v>
      </c>
      <c r="D982" s="12" t="s">
        <v>1997</v>
      </c>
      <c r="E982" s="20">
        <v>37009</v>
      </c>
      <c r="F982" s="20">
        <v>44421</v>
      </c>
      <c r="G982" s="12">
        <v>92.46</v>
      </c>
      <c r="H982" s="12">
        <v>4.6666666666666696</v>
      </c>
      <c r="I982" s="13">
        <v>19.812857142857101</v>
      </c>
      <c r="J982" s="12" t="s">
        <v>1704</v>
      </c>
      <c r="K982" s="14">
        <v>136</v>
      </c>
      <c r="L982" s="14">
        <v>1803</v>
      </c>
      <c r="M982" s="14">
        <v>394</v>
      </c>
      <c r="N982" s="12">
        <v>92.46</v>
      </c>
      <c r="O982" s="12" t="s">
        <v>1704</v>
      </c>
      <c r="P982" s="12">
        <v>1.48734406292981E-2</v>
      </c>
      <c r="Q982" s="12">
        <v>9.0218384249282094E-2</v>
      </c>
      <c r="R982" s="12">
        <v>7.0564516129032306E-2</v>
      </c>
      <c r="S982" s="14">
        <v>21</v>
      </c>
      <c r="T982" s="12">
        <v>6.1964030391788096</v>
      </c>
      <c r="U982" s="14">
        <v>214</v>
      </c>
      <c r="V982" s="14">
        <v>6</v>
      </c>
      <c r="W982" s="12">
        <v>6.0000000000000001E-3</v>
      </c>
      <c r="X982" s="12">
        <v>6.2024030391788099</v>
      </c>
      <c r="Y982" s="14">
        <v>214</v>
      </c>
      <c r="Z982" s="14">
        <v>21</v>
      </c>
      <c r="AA982" s="12" t="s">
        <v>2370</v>
      </c>
    </row>
    <row r="983" spans="1:27" ht="14.25" x14ac:dyDescent="0.45">
      <c r="A983" s="12" t="s">
        <v>1708</v>
      </c>
      <c r="B983" s="12" t="s">
        <v>1971</v>
      </c>
      <c r="C983" s="12" t="s">
        <v>1977</v>
      </c>
      <c r="D983" s="12" t="s">
        <v>1982</v>
      </c>
      <c r="E983" s="20">
        <v>36898</v>
      </c>
      <c r="F983" s="20">
        <v>44417</v>
      </c>
      <c r="G983" s="12">
        <v>0.51</v>
      </c>
      <c r="H983" s="12">
        <v>4.8</v>
      </c>
      <c r="I983" s="13">
        <v>0.10625</v>
      </c>
      <c r="J983" s="12" t="s">
        <v>1708</v>
      </c>
      <c r="K983" s="14">
        <v>1474</v>
      </c>
      <c r="L983" s="14">
        <v>1757</v>
      </c>
      <c r="M983" s="14">
        <v>1685</v>
      </c>
      <c r="N983" s="12">
        <v>0.51</v>
      </c>
      <c r="O983" s="12" t="s">
        <v>1708</v>
      </c>
      <c r="P983" s="12">
        <v>8.2040392828704496E-5</v>
      </c>
      <c r="Q983" s="12">
        <v>4.83812266820993E-4</v>
      </c>
      <c r="R983" s="12">
        <v>7.25806451612903E-2</v>
      </c>
      <c r="S983" s="14">
        <v>21</v>
      </c>
      <c r="T983" s="12">
        <v>3.33147814073885E-2</v>
      </c>
      <c r="U983" s="14">
        <v>1601</v>
      </c>
      <c r="V983" s="14">
        <v>1</v>
      </c>
      <c r="W983" s="12">
        <v>5.4999999999999997E-3</v>
      </c>
      <c r="X983" s="12">
        <v>3.8814781407388498E-2</v>
      </c>
      <c r="Y983" s="14">
        <v>1601</v>
      </c>
      <c r="Z983" s="14">
        <v>21</v>
      </c>
      <c r="AA983" s="12" t="s">
        <v>2370</v>
      </c>
    </row>
    <row r="984" spans="1:27" ht="14.25" x14ac:dyDescent="0.45">
      <c r="A984" s="12" t="s">
        <v>1739</v>
      </c>
      <c r="B984" s="12" t="s">
        <v>1971</v>
      </c>
      <c r="C984" s="12" t="s">
        <v>1977</v>
      </c>
      <c r="D984" s="12" t="s">
        <v>1982</v>
      </c>
      <c r="E984" s="20">
        <v>36564</v>
      </c>
      <c r="F984" s="20">
        <v>44375</v>
      </c>
      <c r="G984" s="12">
        <v>1.5</v>
      </c>
      <c r="H984" s="12">
        <v>6.2</v>
      </c>
      <c r="I984" s="13">
        <v>0.241935483870968</v>
      </c>
      <c r="J984" s="12" t="s">
        <v>1739</v>
      </c>
      <c r="K984" s="14">
        <v>1288</v>
      </c>
      <c r="L984" s="14">
        <v>1638</v>
      </c>
      <c r="M984" s="14">
        <v>1480</v>
      </c>
      <c r="N984" s="12">
        <v>1.5</v>
      </c>
      <c r="O984" s="12" t="s">
        <v>1739</v>
      </c>
      <c r="P984" s="12">
        <v>2.41295273025601E-4</v>
      </c>
      <c r="Q984" s="12">
        <v>1.10165981059809E-3</v>
      </c>
      <c r="R984" s="12">
        <v>9.375E-2</v>
      </c>
      <c r="S984" s="14">
        <v>22</v>
      </c>
      <c r="T984" s="12">
        <v>7.7902310900840502E-2</v>
      </c>
      <c r="U984" s="14">
        <v>1376</v>
      </c>
      <c r="V984" s="14">
        <v>1</v>
      </c>
      <c r="W984" s="12">
        <v>5.4999999999999997E-3</v>
      </c>
      <c r="X984" s="12">
        <v>8.3402310900840507E-2</v>
      </c>
      <c r="Y984" s="14">
        <v>1376</v>
      </c>
      <c r="Z984" s="14">
        <v>22</v>
      </c>
      <c r="AA984" s="12" t="s">
        <v>2370</v>
      </c>
    </row>
    <row r="985" spans="1:27" ht="14.25" x14ac:dyDescent="0.45">
      <c r="A985" s="12" t="s">
        <v>1752</v>
      </c>
      <c r="B985" s="12" t="s">
        <v>1971</v>
      </c>
      <c r="C985" s="12" t="s">
        <v>1977</v>
      </c>
      <c r="D985" s="12" t="s">
        <v>1982</v>
      </c>
      <c r="E985" s="20">
        <v>37075</v>
      </c>
      <c r="F985" s="20">
        <v>44441</v>
      </c>
      <c r="G985" s="12">
        <v>0.99</v>
      </c>
      <c r="H985" s="12">
        <v>4</v>
      </c>
      <c r="I985" s="13">
        <v>0.2475</v>
      </c>
      <c r="J985" s="12" t="s">
        <v>1752</v>
      </c>
      <c r="K985" s="14">
        <v>1281</v>
      </c>
      <c r="L985" s="14">
        <v>1861</v>
      </c>
      <c r="M985" s="14">
        <v>1562</v>
      </c>
      <c r="N985" s="12">
        <v>0.99</v>
      </c>
      <c r="O985" s="12" t="s">
        <v>1752</v>
      </c>
      <c r="P985" s="12">
        <v>1.5925488019689701E-4</v>
      </c>
      <c r="Q985" s="12">
        <v>1.12699798624184E-3</v>
      </c>
      <c r="R985" s="12">
        <v>6.0483870967741903E-2</v>
      </c>
      <c r="S985" s="14">
        <v>21</v>
      </c>
      <c r="T985" s="12">
        <v>7.6409432147498804E-2</v>
      </c>
      <c r="U985" s="14">
        <v>1394</v>
      </c>
      <c r="V985" s="14">
        <v>1</v>
      </c>
      <c r="W985" s="12">
        <v>5.4999999999999997E-3</v>
      </c>
      <c r="X985" s="12">
        <v>8.1909432147498795E-2</v>
      </c>
      <c r="Y985" s="14">
        <v>1394</v>
      </c>
      <c r="Z985" s="14">
        <v>21</v>
      </c>
      <c r="AA985" s="12" t="s">
        <v>2370</v>
      </c>
    </row>
    <row r="986" spans="1:27" ht="14.25" x14ac:dyDescent="0.45">
      <c r="A986" s="12" t="s">
        <v>1782</v>
      </c>
      <c r="B986" s="12" t="s">
        <v>1971</v>
      </c>
      <c r="C986" s="12" t="s">
        <v>1977</v>
      </c>
      <c r="D986" s="12" t="s">
        <v>2072</v>
      </c>
      <c r="E986" s="20">
        <v>28498</v>
      </c>
      <c r="F986" s="20">
        <v>44398</v>
      </c>
      <c r="G986" s="12">
        <v>9.52</v>
      </c>
      <c r="H986" s="12">
        <v>5.43333333333333</v>
      </c>
      <c r="I986" s="13">
        <v>1.7521472392638</v>
      </c>
      <c r="J986" s="12" t="s">
        <v>1782</v>
      </c>
      <c r="K986" s="14">
        <v>698</v>
      </c>
      <c r="L986" s="14">
        <v>1681</v>
      </c>
      <c r="M986" s="14">
        <v>854</v>
      </c>
      <c r="N986" s="12">
        <v>9.52</v>
      </c>
      <c r="O986" s="12" t="s">
        <v>1782</v>
      </c>
      <c r="P986" s="12">
        <v>1.53142066613582E-3</v>
      </c>
      <c r="Q986" s="12">
        <v>7.9784501424222699E-3</v>
      </c>
      <c r="R986" s="12">
        <v>8.2157258064516098E-2</v>
      </c>
      <c r="S986" s="14">
        <v>44</v>
      </c>
      <c r="T986" s="12">
        <v>0.55608140888148505</v>
      </c>
      <c r="U986" s="14">
        <v>766</v>
      </c>
      <c r="V986" s="14">
        <v>4</v>
      </c>
      <c r="W986" s="12">
        <v>5.7999999999999996E-3</v>
      </c>
      <c r="X986" s="12">
        <v>0.56188140888148497</v>
      </c>
      <c r="Y986" s="14">
        <v>765</v>
      </c>
      <c r="Z986" s="14">
        <v>44</v>
      </c>
      <c r="AA986" s="12" t="s">
        <v>2369</v>
      </c>
    </row>
    <row r="987" spans="1:27" ht="14.25" x14ac:dyDescent="0.45">
      <c r="A987" s="12" t="s">
        <v>1812</v>
      </c>
      <c r="B987" s="12" t="s">
        <v>1971</v>
      </c>
      <c r="C987" s="12" t="s">
        <v>1977</v>
      </c>
      <c r="D987" s="12" t="s">
        <v>2003</v>
      </c>
      <c r="E987" s="20">
        <v>29699</v>
      </c>
      <c r="F987" s="20">
        <v>44221</v>
      </c>
      <c r="G987" s="12">
        <v>3.72</v>
      </c>
      <c r="H987" s="12">
        <v>11.3333333333333</v>
      </c>
      <c r="I987" s="13">
        <v>0.32823529411764701</v>
      </c>
      <c r="J987" s="12" t="s">
        <v>1812</v>
      </c>
      <c r="K987" s="14">
        <v>1207</v>
      </c>
      <c r="L987" s="14">
        <v>860</v>
      </c>
      <c r="M987" s="14">
        <v>1144</v>
      </c>
      <c r="N987" s="12">
        <v>3.72</v>
      </c>
      <c r="O987" s="12" t="s">
        <v>1812</v>
      </c>
      <c r="P987" s="12">
        <v>5.9841227710349097E-4</v>
      </c>
      <c r="Q987" s="12">
        <v>1.4946283453902501E-3</v>
      </c>
      <c r="R987" s="12">
        <v>0.171370967741935</v>
      </c>
      <c r="S987" s="14">
        <v>41</v>
      </c>
      <c r="T987" s="12">
        <v>0.11585473197827199</v>
      </c>
      <c r="U987" s="14">
        <v>1240</v>
      </c>
      <c r="V987" s="14">
        <v>1</v>
      </c>
      <c r="W987" s="12">
        <v>5.4999999999999997E-3</v>
      </c>
      <c r="X987" s="12">
        <v>0.121354731978272</v>
      </c>
      <c r="Y987" s="14">
        <v>1240</v>
      </c>
      <c r="Z987" s="14">
        <v>41</v>
      </c>
      <c r="AA987" s="12" t="s">
        <v>2369</v>
      </c>
    </row>
    <row r="988" spans="1:27" ht="14.25" x14ac:dyDescent="0.45">
      <c r="A988" s="12" t="s">
        <v>1837</v>
      </c>
      <c r="B988" s="12" t="s">
        <v>1971</v>
      </c>
      <c r="C988" s="12" t="s">
        <v>1977</v>
      </c>
      <c r="D988" s="12" t="s">
        <v>1993</v>
      </c>
      <c r="E988" s="20">
        <v>27125</v>
      </c>
      <c r="F988" s="20">
        <v>44264</v>
      </c>
      <c r="G988" s="12">
        <v>58.18</v>
      </c>
      <c r="H988" s="12">
        <v>9.9</v>
      </c>
      <c r="I988" s="13">
        <v>5.8767676767676802</v>
      </c>
      <c r="J988" s="12" t="s">
        <v>1837</v>
      </c>
      <c r="K988" s="14">
        <v>413</v>
      </c>
      <c r="L988" s="14">
        <v>969</v>
      </c>
      <c r="M988" s="14">
        <v>460</v>
      </c>
      <c r="N988" s="12">
        <v>58.18</v>
      </c>
      <c r="O988" s="12" t="s">
        <v>1837</v>
      </c>
      <c r="P988" s="12">
        <v>9.3590393230863194E-3</v>
      </c>
      <c r="Q988" s="12">
        <v>2.6760021564962901E-2</v>
      </c>
      <c r="R988" s="12">
        <v>0.149697580645161</v>
      </c>
      <c r="S988" s="14">
        <v>48</v>
      </c>
      <c r="T988" s="12">
        <v>2.02346532242592</v>
      </c>
      <c r="U988" s="14">
        <v>436</v>
      </c>
      <c r="V988" s="14">
        <v>2</v>
      </c>
      <c r="W988" s="12">
        <v>5.5999999999999999E-3</v>
      </c>
      <c r="X988" s="12">
        <v>2.0290653224259199</v>
      </c>
      <c r="Y988" s="14">
        <v>436</v>
      </c>
      <c r="Z988" s="14">
        <v>48</v>
      </c>
      <c r="AA988" s="12" t="s">
        <v>2371</v>
      </c>
    </row>
    <row r="989" spans="1:27" ht="14.25" x14ac:dyDescent="0.45">
      <c r="A989" s="12" t="s">
        <v>1857</v>
      </c>
      <c r="B989" s="12" t="s">
        <v>1971</v>
      </c>
      <c r="C989" s="12" t="s">
        <v>1977</v>
      </c>
      <c r="D989" s="12" t="s">
        <v>1982</v>
      </c>
      <c r="E989" s="20">
        <v>36901</v>
      </c>
      <c r="F989" s="20">
        <v>44431</v>
      </c>
      <c r="G989" s="12">
        <v>61.63</v>
      </c>
      <c r="H989" s="12">
        <v>4.3333333333333304</v>
      </c>
      <c r="I989" s="13">
        <v>14.2223076923077</v>
      </c>
      <c r="J989" s="12" t="s">
        <v>1857</v>
      </c>
      <c r="K989" s="14">
        <v>203</v>
      </c>
      <c r="L989" s="14">
        <v>1847</v>
      </c>
      <c r="M989" s="14">
        <v>447</v>
      </c>
      <c r="N989" s="12">
        <v>61.63</v>
      </c>
      <c r="O989" s="12" t="s">
        <v>1857</v>
      </c>
      <c r="P989" s="12">
        <v>9.91401845104521E-3</v>
      </c>
      <c r="Q989" s="12">
        <v>6.4761665167444998E-2</v>
      </c>
      <c r="R989" s="12">
        <v>6.5524193548387094E-2</v>
      </c>
      <c r="S989" s="14">
        <v>21</v>
      </c>
      <c r="T989" s="12">
        <v>4.4193797648795101</v>
      </c>
      <c r="U989" s="14">
        <v>286</v>
      </c>
      <c r="V989" s="14">
        <v>1</v>
      </c>
      <c r="W989" s="12">
        <v>5.4999999999999997E-3</v>
      </c>
      <c r="X989" s="12">
        <v>4.4248797648795097</v>
      </c>
      <c r="Y989" s="14">
        <v>286</v>
      </c>
      <c r="Z989" s="14">
        <v>21</v>
      </c>
      <c r="AA989" s="12" t="s">
        <v>2370</v>
      </c>
    </row>
    <row r="990" spans="1:27" ht="14.25" x14ac:dyDescent="0.45">
      <c r="A990" s="12" t="s">
        <v>1882</v>
      </c>
      <c r="B990" s="12" t="s">
        <v>1971</v>
      </c>
      <c r="C990" s="12" t="s">
        <v>1977</v>
      </c>
      <c r="D990" s="12" t="s">
        <v>1974</v>
      </c>
      <c r="E990" s="20">
        <v>30796</v>
      </c>
      <c r="F990" s="20">
        <v>44515</v>
      </c>
      <c r="G990" s="12">
        <v>16.52</v>
      </c>
      <c r="H990" s="12">
        <v>1.5333333333333301</v>
      </c>
      <c r="I990" s="13">
        <v>10.7739130434783</v>
      </c>
      <c r="J990" s="12" t="s">
        <v>1882</v>
      </c>
      <c r="K990" s="14">
        <v>267</v>
      </c>
      <c r="L990" s="14">
        <v>1932</v>
      </c>
      <c r="M990" s="14">
        <v>750</v>
      </c>
      <c r="N990" s="12">
        <v>16.52</v>
      </c>
      <c r="O990" s="12" t="s">
        <v>1882</v>
      </c>
      <c r="P990" s="12">
        <v>2.65746527358862E-3</v>
      </c>
      <c r="Q990" s="12">
        <v>4.9059306278564502E-2</v>
      </c>
      <c r="R990" s="12">
        <v>2.3185483870967701E-2</v>
      </c>
      <c r="S990" s="14">
        <v>38</v>
      </c>
      <c r="T990" s="12">
        <v>3.1658615901698601</v>
      </c>
      <c r="U990" s="14">
        <v>363</v>
      </c>
      <c r="V990" s="14">
        <v>1</v>
      </c>
      <c r="W990" s="12">
        <v>5.4999999999999997E-3</v>
      </c>
      <c r="X990" s="12">
        <v>3.1713615901698602</v>
      </c>
      <c r="Y990" s="14">
        <v>363</v>
      </c>
      <c r="Z990" s="14">
        <v>38</v>
      </c>
      <c r="AA990" s="12" t="s">
        <v>2369</v>
      </c>
    </row>
    <row r="991" spans="1:27" ht="14.25" x14ac:dyDescent="0.45">
      <c r="A991" s="12" t="s">
        <v>1891</v>
      </c>
      <c r="B991" s="12" t="s">
        <v>1971</v>
      </c>
      <c r="C991" s="12" t="s">
        <v>1977</v>
      </c>
      <c r="D991" s="12" t="s">
        <v>1975</v>
      </c>
      <c r="E991" s="20">
        <v>31334</v>
      </c>
      <c r="F991" s="20">
        <v>44526</v>
      </c>
      <c r="G991" s="12">
        <v>1.37</v>
      </c>
      <c r="H991" s="12">
        <v>1.1666666666666701</v>
      </c>
      <c r="I991" s="13">
        <v>1.1742857142857099</v>
      </c>
      <c r="J991" s="12" t="s">
        <v>1891</v>
      </c>
      <c r="K991" s="14">
        <v>775</v>
      </c>
      <c r="L991" s="14">
        <v>1941</v>
      </c>
      <c r="M991" s="14">
        <v>1494</v>
      </c>
      <c r="N991" s="12">
        <v>1.37</v>
      </c>
      <c r="O991" s="12" t="s">
        <v>1891</v>
      </c>
      <c r="P991" s="12">
        <v>2.20383016030049E-4</v>
      </c>
      <c r="Q991" s="12">
        <v>5.3471419606972298E-3</v>
      </c>
      <c r="R991" s="12">
        <v>1.7641129032258101E-2</v>
      </c>
      <c r="S991" s="14">
        <v>37</v>
      </c>
      <c r="T991" s="12">
        <v>0.34246073564470397</v>
      </c>
      <c r="U991" s="14">
        <v>878</v>
      </c>
      <c r="V991" s="14">
        <v>1</v>
      </c>
      <c r="W991" s="12">
        <v>5.4999999999999997E-3</v>
      </c>
      <c r="X991" s="12">
        <v>0.34796073564470398</v>
      </c>
      <c r="Y991" s="14">
        <v>878</v>
      </c>
      <c r="Z991" s="14">
        <v>36</v>
      </c>
      <c r="AA991" s="12" t="s">
        <v>2369</v>
      </c>
    </row>
    <row r="992" spans="1:27" ht="14.25" x14ac:dyDescent="0.45">
      <c r="A992" s="12" t="s">
        <v>1900</v>
      </c>
      <c r="B992" s="12" t="s">
        <v>1971</v>
      </c>
      <c r="C992" s="12" t="s">
        <v>1977</v>
      </c>
      <c r="D992" s="12" t="s">
        <v>1997</v>
      </c>
      <c r="E992" s="20">
        <v>35897</v>
      </c>
      <c r="F992" s="20">
        <v>44491</v>
      </c>
      <c r="G992" s="12">
        <v>3.29</v>
      </c>
      <c r="H992" s="12">
        <v>2.3333333333333299</v>
      </c>
      <c r="I992" s="13">
        <v>1.41</v>
      </c>
      <c r="J992" s="12" t="s">
        <v>1900</v>
      </c>
      <c r="K992" s="14">
        <v>741</v>
      </c>
      <c r="L992" s="14">
        <v>1921</v>
      </c>
      <c r="M992" s="14">
        <v>1194</v>
      </c>
      <c r="N992" s="12">
        <v>3.29</v>
      </c>
      <c r="O992" s="12" t="s">
        <v>1900</v>
      </c>
      <c r="P992" s="12">
        <v>5.2924096550281902E-4</v>
      </c>
      <c r="Q992" s="12">
        <v>6.4204733761656502E-3</v>
      </c>
      <c r="R992" s="12">
        <v>3.5282258064516098E-2</v>
      </c>
      <c r="S992" s="14">
        <v>24</v>
      </c>
      <c r="T992" s="12">
        <v>0.42112612221670898</v>
      </c>
      <c r="U992" s="14">
        <v>812</v>
      </c>
      <c r="V992" s="14">
        <v>1</v>
      </c>
      <c r="W992" s="12">
        <v>5.4999999999999997E-3</v>
      </c>
      <c r="X992" s="12">
        <v>0.42662612221670898</v>
      </c>
      <c r="Y992" s="14">
        <v>812</v>
      </c>
      <c r="Z992" s="14">
        <v>24</v>
      </c>
      <c r="AA992" s="12" t="s">
        <v>2370</v>
      </c>
    </row>
    <row r="993" spans="1:27" ht="14.25" x14ac:dyDescent="0.45">
      <c r="A993" s="12" t="s">
        <v>1903</v>
      </c>
      <c r="B993" s="12" t="s">
        <v>1971</v>
      </c>
      <c r="C993" s="12" t="s">
        <v>1977</v>
      </c>
      <c r="D993" s="12" t="s">
        <v>1974</v>
      </c>
      <c r="E993" s="20">
        <v>36843</v>
      </c>
      <c r="F993" s="20">
        <v>44476</v>
      </c>
      <c r="G993" s="12">
        <v>0.31</v>
      </c>
      <c r="H993" s="12">
        <v>2.8333333333333299</v>
      </c>
      <c r="I993" s="13">
        <v>0.109411764705882</v>
      </c>
      <c r="J993" s="12" t="s">
        <v>1903</v>
      </c>
      <c r="K993" s="14">
        <v>1468</v>
      </c>
      <c r="L993" s="14">
        <v>1891</v>
      </c>
      <c r="M993" s="14">
        <v>1735</v>
      </c>
      <c r="N993" s="12">
        <v>0.31</v>
      </c>
      <c r="O993" s="12" t="s">
        <v>1903</v>
      </c>
      <c r="P993" s="12">
        <v>4.9867689758624297E-5</v>
      </c>
      <c r="Q993" s="12">
        <v>4.9820944846341701E-4</v>
      </c>
      <c r="R993" s="12">
        <v>4.2842741935483902E-2</v>
      </c>
      <c r="S993" s="14">
        <v>22</v>
      </c>
      <c r="T993" s="12">
        <v>3.3008128894912003E-2</v>
      </c>
      <c r="U993" s="14">
        <v>1603</v>
      </c>
      <c r="V993" s="14">
        <v>1</v>
      </c>
      <c r="W993" s="12">
        <v>5.4999999999999997E-3</v>
      </c>
      <c r="X993" s="12">
        <v>3.8508128894912001E-2</v>
      </c>
      <c r="Y993" s="14">
        <v>1603</v>
      </c>
      <c r="Z993" s="14">
        <v>21</v>
      </c>
      <c r="AA993" s="12" t="s">
        <v>2370</v>
      </c>
    </row>
    <row r="994" spans="1:27" ht="14.25" x14ac:dyDescent="0.45">
      <c r="A994" s="12" t="s">
        <v>1926</v>
      </c>
      <c r="B994" s="12" t="s">
        <v>1971</v>
      </c>
      <c r="C994" s="12" t="s">
        <v>1977</v>
      </c>
      <c r="D994" s="12" t="s">
        <v>1975</v>
      </c>
      <c r="E994" s="20">
        <v>37684</v>
      </c>
      <c r="F994" s="20">
        <v>44550</v>
      </c>
      <c r="G994" s="12">
        <v>0.23</v>
      </c>
      <c r="H994" s="12">
        <v>0.36666666666666697</v>
      </c>
      <c r="I994" s="13">
        <v>0.62727272727272698</v>
      </c>
      <c r="J994" s="12" t="s">
        <v>1926</v>
      </c>
      <c r="K994" s="14">
        <v>978</v>
      </c>
      <c r="L994" s="14">
        <v>1962</v>
      </c>
      <c r="M994" s="14">
        <v>1769</v>
      </c>
      <c r="N994" s="12">
        <v>0.23</v>
      </c>
      <c r="O994" s="12" t="s">
        <v>1926</v>
      </c>
      <c r="P994" s="12">
        <v>3.6998608530592203E-5</v>
      </c>
      <c r="Q994" s="12">
        <v>2.8563034362052201E-3</v>
      </c>
      <c r="R994" s="12">
        <v>5.5443548387096803E-3</v>
      </c>
      <c r="S994" s="14">
        <v>19</v>
      </c>
      <c r="T994" s="12">
        <v>0.179906412582724</v>
      </c>
      <c r="U994" s="14">
        <v>1086</v>
      </c>
      <c r="V994" s="14">
        <v>1</v>
      </c>
      <c r="W994" s="12">
        <v>5.4999999999999997E-3</v>
      </c>
      <c r="X994" s="12">
        <v>0.185406412582724</v>
      </c>
      <c r="Y994" s="14">
        <v>1086</v>
      </c>
      <c r="Z994" s="14">
        <v>19</v>
      </c>
      <c r="AA994" s="12" t="s">
        <v>2370</v>
      </c>
    </row>
    <row r="995" spans="1:27" ht="14.25" x14ac:dyDescent="0.45">
      <c r="A995" s="12" t="s">
        <v>1951</v>
      </c>
      <c r="B995" s="12" t="s">
        <v>1971</v>
      </c>
      <c r="C995" s="12" t="s">
        <v>1977</v>
      </c>
      <c r="D995" s="12" t="s">
        <v>2072</v>
      </c>
      <c r="E995" s="20">
        <v>30135</v>
      </c>
      <c r="F995" s="20">
        <v>44462</v>
      </c>
      <c r="G995" s="12">
        <v>0.86</v>
      </c>
      <c r="H995" s="12">
        <v>3.3</v>
      </c>
      <c r="I995" s="13">
        <v>0.26060606060606101</v>
      </c>
      <c r="J995" s="12" t="s">
        <v>1951</v>
      </c>
      <c r="K995" s="14">
        <v>1264</v>
      </c>
      <c r="L995" s="14">
        <v>1883</v>
      </c>
      <c r="M995" s="14">
        <v>1587</v>
      </c>
      <c r="N995" s="12">
        <v>0.86</v>
      </c>
      <c r="O995" s="12" t="s">
        <v>1951</v>
      </c>
      <c r="P995" s="12">
        <v>1.3834262320134501E-4</v>
      </c>
      <c r="Q995" s="12">
        <v>1.1866767899210099E-3</v>
      </c>
      <c r="R995" s="12">
        <v>4.9899193548387101E-2</v>
      </c>
      <c r="S995" s="14">
        <v>40</v>
      </c>
      <c r="T995" s="12">
        <v>7.9355147740113596E-2</v>
      </c>
      <c r="U995" s="14">
        <v>1358</v>
      </c>
      <c r="V995" s="14">
        <v>1</v>
      </c>
      <c r="W995" s="12">
        <v>5.4999999999999997E-3</v>
      </c>
      <c r="X995" s="12">
        <v>8.4855147740113601E-2</v>
      </c>
      <c r="Y995" s="14">
        <v>1358</v>
      </c>
      <c r="Z995" s="14">
        <v>40</v>
      </c>
      <c r="AA995" s="12" t="s">
        <v>2369</v>
      </c>
    </row>
    <row r="996" spans="1:27" ht="14.25" x14ac:dyDescent="0.45">
      <c r="A996" s="12" t="s">
        <v>10</v>
      </c>
      <c r="B996" s="12" t="s">
        <v>1971</v>
      </c>
      <c r="C996" s="12" t="s">
        <v>1977</v>
      </c>
      <c r="D996" s="12" t="s">
        <v>1984</v>
      </c>
      <c r="E996" s="20">
        <v>33133</v>
      </c>
      <c r="F996" s="20">
        <v>43004</v>
      </c>
      <c r="G996" s="12">
        <v>1327.49</v>
      </c>
      <c r="H996" s="12">
        <v>51.9</v>
      </c>
      <c r="I996" s="13">
        <v>25.577842003853601</v>
      </c>
      <c r="J996" s="12" t="s">
        <v>10</v>
      </c>
      <c r="K996" s="14">
        <v>100</v>
      </c>
      <c r="L996" s="14">
        <v>56</v>
      </c>
      <c r="M996" s="14">
        <v>36</v>
      </c>
      <c r="N996" s="12">
        <v>1327.49</v>
      </c>
      <c r="O996" s="12" t="s">
        <v>10</v>
      </c>
      <c r="P996" s="12">
        <v>0.213544707992504</v>
      </c>
      <c r="Q996" s="12">
        <v>0.11646939972022199</v>
      </c>
      <c r="R996" s="12">
        <v>0.78477822580645196</v>
      </c>
      <c r="S996" s="14">
        <v>32</v>
      </c>
      <c r="T996" s="12">
        <v>15.2872640322328</v>
      </c>
      <c r="U996" s="14">
        <v>66</v>
      </c>
      <c r="V996" s="14">
        <v>9</v>
      </c>
      <c r="W996" s="12">
        <v>6.3E-3</v>
      </c>
      <c r="X996" s="12">
        <v>15.293564032232799</v>
      </c>
      <c r="Y996" s="14">
        <v>66</v>
      </c>
      <c r="Z996" s="14">
        <v>31</v>
      </c>
      <c r="AA996" s="12" t="s">
        <v>2367</v>
      </c>
    </row>
    <row r="997" spans="1:27" ht="14.25" x14ac:dyDescent="0.45">
      <c r="A997" s="12" t="s">
        <v>13</v>
      </c>
      <c r="B997" s="12" t="s">
        <v>1971</v>
      </c>
      <c r="C997" s="12" t="s">
        <v>1977</v>
      </c>
      <c r="D997" s="12" t="s">
        <v>1990</v>
      </c>
      <c r="E997" s="20">
        <v>32799</v>
      </c>
      <c r="F997" s="20">
        <v>43708</v>
      </c>
      <c r="G997" s="12">
        <v>14.08</v>
      </c>
      <c r="H997" s="12">
        <v>28.433333333333302</v>
      </c>
      <c r="I997" s="13">
        <v>0.49519343493552198</v>
      </c>
      <c r="J997" s="12" t="s">
        <v>13</v>
      </c>
      <c r="K997" s="14">
        <v>1057</v>
      </c>
      <c r="L997" s="14">
        <v>274</v>
      </c>
      <c r="M997" s="14">
        <v>779</v>
      </c>
      <c r="N997" s="12">
        <v>14.08</v>
      </c>
      <c r="O997" s="12" t="s">
        <v>13</v>
      </c>
      <c r="P997" s="12">
        <v>2.2649582961336398E-3</v>
      </c>
      <c r="Q997" s="12">
        <v>2.2548767837273298E-3</v>
      </c>
      <c r="R997" s="12">
        <v>0.42993951612903197</v>
      </c>
      <c r="S997" s="14">
        <v>33</v>
      </c>
      <c r="T997" s="12">
        <v>0.22586573508797</v>
      </c>
      <c r="U997" s="14">
        <v>1000</v>
      </c>
      <c r="V997" s="14">
        <v>5</v>
      </c>
      <c r="W997" s="12">
        <v>5.8999999999999999E-3</v>
      </c>
      <c r="X997" s="12">
        <v>0.23176573508796999</v>
      </c>
      <c r="Y997" s="14">
        <v>1000</v>
      </c>
      <c r="Z997" s="14">
        <v>32</v>
      </c>
      <c r="AA997" s="12" t="s">
        <v>2367</v>
      </c>
    </row>
    <row r="998" spans="1:27" ht="14.25" x14ac:dyDescent="0.45">
      <c r="A998" s="12" t="s">
        <v>14</v>
      </c>
      <c r="B998" s="12" t="s">
        <v>1971</v>
      </c>
      <c r="C998" s="12" t="s">
        <v>1977</v>
      </c>
      <c r="D998" s="12" t="s">
        <v>1978</v>
      </c>
      <c r="E998" s="20">
        <v>31976</v>
      </c>
      <c r="F998" s="20">
        <v>43384</v>
      </c>
      <c r="G998" s="12">
        <v>918.37</v>
      </c>
      <c r="H998" s="12">
        <v>39.233333333333299</v>
      </c>
      <c r="I998" s="13">
        <v>23.407901444349999</v>
      </c>
      <c r="J998" s="12" t="s">
        <v>14</v>
      </c>
      <c r="K998" s="14">
        <v>113</v>
      </c>
      <c r="L998" s="14">
        <v>198</v>
      </c>
      <c r="M998" s="14">
        <v>58</v>
      </c>
      <c r="N998" s="12">
        <v>918.37</v>
      </c>
      <c r="O998" s="12" t="s">
        <v>14</v>
      </c>
      <c r="P998" s="12">
        <v>0.147732226592348</v>
      </c>
      <c r="Q998" s="12">
        <v>0.10658851632294999</v>
      </c>
      <c r="R998" s="12">
        <v>0.59324596774193505</v>
      </c>
      <c r="S998" s="14">
        <v>35</v>
      </c>
      <c r="T998" s="12">
        <v>12.2017407673974</v>
      </c>
      <c r="U998" s="14">
        <v>87</v>
      </c>
      <c r="V998" s="14">
        <v>18</v>
      </c>
      <c r="W998" s="12">
        <v>7.0000000000000001E-3</v>
      </c>
      <c r="X998" s="12">
        <v>12.2087407673974</v>
      </c>
      <c r="Y998" s="14">
        <v>87</v>
      </c>
      <c r="Z998" s="14">
        <v>34</v>
      </c>
      <c r="AA998" s="12" t="s">
        <v>2367</v>
      </c>
    </row>
    <row r="999" spans="1:27" ht="14.25" x14ac:dyDescent="0.45">
      <c r="A999" s="12" t="s">
        <v>23</v>
      </c>
      <c r="B999" s="12" t="s">
        <v>1971</v>
      </c>
      <c r="C999" s="12" t="s">
        <v>1977</v>
      </c>
      <c r="D999" s="12" t="s">
        <v>1974</v>
      </c>
      <c r="E999" s="20">
        <v>33263</v>
      </c>
      <c r="F999" s="20">
        <v>44207</v>
      </c>
      <c r="G999" s="12">
        <v>1083.98</v>
      </c>
      <c r="H999" s="12">
        <v>11.8</v>
      </c>
      <c r="I999" s="13">
        <v>91.862711864406805</v>
      </c>
      <c r="J999" s="12" t="s">
        <v>23</v>
      </c>
      <c r="K999" s="14">
        <v>20</v>
      </c>
      <c r="L999" s="14">
        <v>798</v>
      </c>
      <c r="M999" s="14">
        <v>50</v>
      </c>
      <c r="N999" s="12">
        <v>1083.98</v>
      </c>
      <c r="O999" s="12" t="s">
        <v>23</v>
      </c>
      <c r="P999" s="12">
        <v>0.174372833369528</v>
      </c>
      <c r="Q999" s="12">
        <v>0.41829935871475199</v>
      </c>
      <c r="R999" s="12">
        <v>0.178427419354839</v>
      </c>
      <c r="S999" s="14">
        <v>31</v>
      </c>
      <c r="T999" s="12">
        <v>32.682691171029298</v>
      </c>
      <c r="U999" s="14">
        <v>25</v>
      </c>
      <c r="V999" s="14">
        <v>8</v>
      </c>
      <c r="W999" s="12">
        <v>6.1999999999999998E-3</v>
      </c>
      <c r="X999" s="12">
        <v>32.688891171029297</v>
      </c>
      <c r="Y999" s="14">
        <v>25</v>
      </c>
      <c r="Z999" s="14">
        <v>31</v>
      </c>
      <c r="AA999" s="12" t="s">
        <v>2367</v>
      </c>
    </row>
    <row r="1000" spans="1:27" ht="14.25" x14ac:dyDescent="0.45">
      <c r="A1000" s="12" t="s">
        <v>43</v>
      </c>
      <c r="B1000" s="12" t="s">
        <v>1971</v>
      </c>
      <c r="C1000" s="12" t="s">
        <v>1977</v>
      </c>
      <c r="D1000" s="12" t="s">
        <v>1982</v>
      </c>
      <c r="E1000" s="20">
        <v>33034</v>
      </c>
      <c r="F1000" s="20">
        <v>44161</v>
      </c>
      <c r="G1000" s="12">
        <v>9.92</v>
      </c>
      <c r="H1000" s="12">
        <v>13.3333333333333</v>
      </c>
      <c r="I1000" s="13">
        <v>0.74399999999999999</v>
      </c>
      <c r="J1000" s="12" t="s">
        <v>43</v>
      </c>
      <c r="K1000" s="14">
        <v>914</v>
      </c>
      <c r="L1000" s="14">
        <v>648</v>
      </c>
      <c r="M1000" s="14">
        <v>848</v>
      </c>
      <c r="N1000" s="12">
        <v>9.92</v>
      </c>
      <c r="O1000" s="12" t="s">
        <v>43</v>
      </c>
      <c r="P1000" s="12">
        <v>1.5957660722759801E-3</v>
      </c>
      <c r="Q1000" s="12">
        <v>3.3878242495512401E-3</v>
      </c>
      <c r="R1000" s="12">
        <v>0.20161290322580599</v>
      </c>
      <c r="S1000" s="14">
        <v>32</v>
      </c>
      <c r="T1000" s="12">
        <v>0.27158024330730102</v>
      </c>
      <c r="U1000" s="14">
        <v>946</v>
      </c>
      <c r="V1000" s="14">
        <v>4</v>
      </c>
      <c r="W1000" s="12">
        <v>5.7999999999999996E-3</v>
      </c>
      <c r="X1000" s="12">
        <v>0.27738024330730099</v>
      </c>
      <c r="Y1000" s="14">
        <v>946</v>
      </c>
      <c r="Z1000" s="14">
        <v>32</v>
      </c>
      <c r="AA1000" s="12" t="s">
        <v>2367</v>
      </c>
    </row>
    <row r="1001" spans="1:27" ht="14.25" x14ac:dyDescent="0.45">
      <c r="A1001" s="12" t="s">
        <v>47</v>
      </c>
      <c r="B1001" s="12" t="s">
        <v>1971</v>
      </c>
      <c r="C1001" s="12" t="s">
        <v>1977</v>
      </c>
      <c r="D1001" s="12" t="s">
        <v>2020</v>
      </c>
      <c r="E1001" s="20">
        <v>32119</v>
      </c>
      <c r="F1001" s="20">
        <v>43136</v>
      </c>
      <c r="G1001" s="12">
        <v>245.04</v>
      </c>
      <c r="H1001" s="12">
        <v>47.5</v>
      </c>
      <c r="I1001" s="13">
        <v>5.1587368421052604</v>
      </c>
      <c r="J1001" s="12" t="s">
        <v>47</v>
      </c>
      <c r="K1001" s="14">
        <v>436</v>
      </c>
      <c r="L1001" s="14">
        <v>65</v>
      </c>
      <c r="M1001" s="14">
        <v>259</v>
      </c>
      <c r="N1001" s="12">
        <v>245.04</v>
      </c>
      <c r="O1001" s="12" t="s">
        <v>47</v>
      </c>
      <c r="P1001" s="12">
        <v>3.94179958014622E-2</v>
      </c>
      <c r="Q1001" s="12">
        <v>2.3490448616582799E-2</v>
      </c>
      <c r="R1001" s="12">
        <v>0.71824596774193505</v>
      </c>
      <c r="S1001" s="14">
        <v>35</v>
      </c>
      <c r="T1001" s="12">
        <v>2.9463278810912601</v>
      </c>
      <c r="U1001" s="14">
        <v>379</v>
      </c>
      <c r="V1001" s="14">
        <v>5</v>
      </c>
      <c r="W1001" s="12">
        <v>5.8999999999999999E-3</v>
      </c>
      <c r="X1001" s="12">
        <v>2.9522278810912601</v>
      </c>
      <c r="Y1001" s="14">
        <v>379</v>
      </c>
      <c r="Z1001" s="14">
        <v>34</v>
      </c>
      <c r="AA1001" s="12" t="s">
        <v>2367</v>
      </c>
    </row>
    <row r="1002" spans="1:27" ht="14.25" x14ac:dyDescent="0.45">
      <c r="A1002" s="12" t="s">
        <v>56</v>
      </c>
      <c r="B1002" s="12" t="s">
        <v>1971</v>
      </c>
      <c r="C1002" s="12" t="s">
        <v>1977</v>
      </c>
      <c r="D1002" s="12" t="s">
        <v>1974</v>
      </c>
      <c r="E1002" s="20">
        <v>32339</v>
      </c>
      <c r="F1002" s="20">
        <v>43152</v>
      </c>
      <c r="G1002" s="12">
        <v>277.70999999999998</v>
      </c>
      <c r="H1002" s="12">
        <v>46.966666666666697</v>
      </c>
      <c r="I1002" s="13">
        <v>5.9129169623846698</v>
      </c>
      <c r="J1002" s="12" t="s">
        <v>56</v>
      </c>
      <c r="K1002" s="14">
        <v>412</v>
      </c>
      <c r="L1002" s="14">
        <v>72</v>
      </c>
      <c r="M1002" s="14">
        <v>240</v>
      </c>
      <c r="N1002" s="12">
        <v>277.70999999999998</v>
      </c>
      <c r="O1002" s="12" t="s">
        <v>56</v>
      </c>
      <c r="P1002" s="12">
        <v>4.4673406847959798E-2</v>
      </c>
      <c r="Q1002" s="12">
        <v>2.69246283209E-2</v>
      </c>
      <c r="R1002" s="12">
        <v>0.71018145161290303</v>
      </c>
      <c r="S1002" s="14">
        <v>34</v>
      </c>
      <c r="T1002" s="12">
        <v>3.35804202685474</v>
      </c>
      <c r="U1002" s="14">
        <v>351</v>
      </c>
      <c r="V1002" s="14">
        <v>6</v>
      </c>
      <c r="W1002" s="12">
        <v>6.0000000000000001E-3</v>
      </c>
      <c r="X1002" s="12">
        <v>3.3640420268547402</v>
      </c>
      <c r="Y1002" s="14">
        <v>351</v>
      </c>
      <c r="Z1002" s="14">
        <v>33</v>
      </c>
      <c r="AA1002" s="12" t="s">
        <v>2367</v>
      </c>
    </row>
    <row r="1003" spans="1:27" ht="14.25" x14ac:dyDescent="0.45">
      <c r="A1003" s="12" t="s">
        <v>74</v>
      </c>
      <c r="B1003" s="12" t="s">
        <v>1971</v>
      </c>
      <c r="C1003" s="12" t="s">
        <v>1977</v>
      </c>
      <c r="D1003" s="12" t="s">
        <v>1974</v>
      </c>
      <c r="E1003" s="20">
        <v>32178</v>
      </c>
      <c r="F1003" s="20">
        <v>43322</v>
      </c>
      <c r="G1003" s="12">
        <v>798.68</v>
      </c>
      <c r="H1003" s="12">
        <v>41.3</v>
      </c>
      <c r="I1003" s="13">
        <v>19.3384987893462</v>
      </c>
      <c r="J1003" s="12" t="s">
        <v>74</v>
      </c>
      <c r="K1003" s="14">
        <v>141</v>
      </c>
      <c r="L1003" s="14">
        <v>151</v>
      </c>
      <c r="M1003" s="14">
        <v>74</v>
      </c>
      <c r="N1003" s="12">
        <v>798.68</v>
      </c>
      <c r="O1003" s="12" t="s">
        <v>74</v>
      </c>
      <c r="P1003" s="12">
        <v>0.128478472440058</v>
      </c>
      <c r="Q1003" s="12">
        <v>8.8058380575893103E-2</v>
      </c>
      <c r="R1003" s="12">
        <v>0.62449596774193505</v>
      </c>
      <c r="S1003" s="14">
        <v>34</v>
      </c>
      <c r="T1003" s="12">
        <v>10.321591502495499</v>
      </c>
      <c r="U1003" s="14">
        <v>106</v>
      </c>
      <c r="V1003" s="14">
        <v>16</v>
      </c>
      <c r="W1003" s="12">
        <v>6.8999999999999999E-3</v>
      </c>
      <c r="X1003" s="12">
        <v>10.328491502495501</v>
      </c>
      <c r="Y1003" s="14">
        <v>106</v>
      </c>
      <c r="Z1003" s="14">
        <v>34</v>
      </c>
      <c r="AA1003" s="12" t="s">
        <v>2367</v>
      </c>
    </row>
    <row r="1004" spans="1:27" ht="14.25" x14ac:dyDescent="0.45">
      <c r="A1004" s="12" t="s">
        <v>100</v>
      </c>
      <c r="B1004" s="12" t="s">
        <v>1971</v>
      </c>
      <c r="C1004" s="12" t="s">
        <v>1977</v>
      </c>
      <c r="D1004" s="12" t="s">
        <v>1990</v>
      </c>
      <c r="E1004" s="20">
        <v>33276</v>
      </c>
      <c r="F1004" s="20">
        <v>44165</v>
      </c>
      <c r="G1004" s="12">
        <v>35.31</v>
      </c>
      <c r="H1004" s="12">
        <v>13.2</v>
      </c>
      <c r="I1004" s="13">
        <v>2.6749999999999998</v>
      </c>
      <c r="J1004" s="12" t="s">
        <v>100</v>
      </c>
      <c r="K1004" s="14">
        <v>577</v>
      </c>
      <c r="L1004" s="14">
        <v>658</v>
      </c>
      <c r="M1004" s="14">
        <v>543</v>
      </c>
      <c r="N1004" s="12">
        <v>35.31</v>
      </c>
      <c r="O1004" s="12" t="s">
        <v>100</v>
      </c>
      <c r="P1004" s="12">
        <v>5.6800907270226596E-3</v>
      </c>
      <c r="Q1004" s="12">
        <v>1.2180685305846199E-2</v>
      </c>
      <c r="R1004" s="12">
        <v>0.19959677419354799</v>
      </c>
      <c r="S1004" s="14">
        <v>31</v>
      </c>
      <c r="T1004" s="12">
        <v>0.97429623387873598</v>
      </c>
      <c r="U1004" s="14">
        <v>576</v>
      </c>
      <c r="V1004" s="14">
        <v>3</v>
      </c>
      <c r="W1004" s="12">
        <v>5.7000000000000002E-3</v>
      </c>
      <c r="X1004" s="12">
        <v>0.97999623387873602</v>
      </c>
      <c r="Y1004" s="14">
        <v>576</v>
      </c>
      <c r="Z1004" s="14">
        <v>31</v>
      </c>
      <c r="AA1004" s="12" t="s">
        <v>2367</v>
      </c>
    </row>
    <row r="1005" spans="1:27" ht="14.25" x14ac:dyDescent="0.45">
      <c r="A1005" s="12" t="s">
        <v>130</v>
      </c>
      <c r="B1005" s="12" t="s">
        <v>1971</v>
      </c>
      <c r="C1005" s="12" t="s">
        <v>1977</v>
      </c>
      <c r="D1005" s="12" t="s">
        <v>1975</v>
      </c>
      <c r="E1005" s="20">
        <v>32412</v>
      </c>
      <c r="F1005" s="20">
        <v>43027</v>
      </c>
      <c r="G1005" s="12">
        <v>739.36</v>
      </c>
      <c r="H1005" s="12">
        <v>51.133333333333297</v>
      </c>
      <c r="I1005" s="13">
        <v>14.4594524119948</v>
      </c>
      <c r="J1005" s="12" t="s">
        <v>130</v>
      </c>
      <c r="K1005" s="14">
        <v>199</v>
      </c>
      <c r="L1005" s="14">
        <v>60</v>
      </c>
      <c r="M1005" s="14">
        <v>83</v>
      </c>
      <c r="N1005" s="12">
        <v>739.36</v>
      </c>
      <c r="O1005" s="12" t="s">
        <v>130</v>
      </c>
      <c r="P1005" s="12">
        <v>0.118936048709472</v>
      </c>
      <c r="Q1005" s="12">
        <v>6.5841510102940898E-2</v>
      </c>
      <c r="R1005" s="12">
        <v>0.77318548387096797</v>
      </c>
      <c r="S1005" s="14">
        <v>34</v>
      </c>
      <c r="T1005" s="12">
        <v>8.5751962080390207</v>
      </c>
      <c r="U1005" s="14">
        <v>130</v>
      </c>
      <c r="V1005" s="14">
        <v>8</v>
      </c>
      <c r="W1005" s="12">
        <v>6.1999999999999998E-3</v>
      </c>
      <c r="X1005" s="12">
        <v>8.5813962080390205</v>
      </c>
      <c r="Y1005" s="14">
        <v>130</v>
      </c>
      <c r="Z1005" s="14">
        <v>33</v>
      </c>
      <c r="AA1005" s="12" t="s">
        <v>2367</v>
      </c>
    </row>
    <row r="1006" spans="1:27" ht="14.25" x14ac:dyDescent="0.45">
      <c r="A1006" s="12" t="s">
        <v>144</v>
      </c>
      <c r="B1006" s="12" t="s">
        <v>1971</v>
      </c>
      <c r="C1006" s="12" t="s">
        <v>1977</v>
      </c>
      <c r="D1006" s="12" t="s">
        <v>2020</v>
      </c>
      <c r="E1006" s="20">
        <v>33284</v>
      </c>
      <c r="F1006" s="20">
        <v>44116</v>
      </c>
      <c r="G1006" s="12">
        <v>2.13</v>
      </c>
      <c r="H1006" s="12">
        <v>14.8333333333333</v>
      </c>
      <c r="I1006" s="13">
        <v>0.14359550561797799</v>
      </c>
      <c r="J1006" s="12" t="s">
        <v>144</v>
      </c>
      <c r="K1006" s="14">
        <v>1423</v>
      </c>
      <c r="L1006" s="14">
        <v>534</v>
      </c>
      <c r="M1006" s="14">
        <v>1334</v>
      </c>
      <c r="N1006" s="12">
        <v>2.13</v>
      </c>
      <c r="O1006" s="12" t="s">
        <v>144</v>
      </c>
      <c r="P1006" s="12">
        <v>3.4263928769635399E-4</v>
      </c>
      <c r="Q1006" s="12">
        <v>6.5386604309026195E-4</v>
      </c>
      <c r="R1006" s="12">
        <v>0.22429435483870999</v>
      </c>
      <c r="S1006" s="14">
        <v>31</v>
      </c>
      <c r="T1006" s="12">
        <v>5.3715600981754701E-2</v>
      </c>
      <c r="U1006" s="14">
        <v>1504</v>
      </c>
      <c r="V1006" s="14">
        <v>2</v>
      </c>
      <c r="W1006" s="12">
        <v>5.5999999999999999E-3</v>
      </c>
      <c r="X1006" s="12">
        <v>5.9315600981754701E-2</v>
      </c>
      <c r="Y1006" s="14">
        <v>1503</v>
      </c>
      <c r="Z1006" s="14">
        <v>31</v>
      </c>
      <c r="AA1006" s="12" t="s">
        <v>2367</v>
      </c>
    </row>
    <row r="1007" spans="1:27" ht="14.25" x14ac:dyDescent="0.45">
      <c r="A1007" s="12" t="s">
        <v>145</v>
      </c>
      <c r="B1007" s="12" t="s">
        <v>1971</v>
      </c>
      <c r="C1007" s="12" t="s">
        <v>1977</v>
      </c>
      <c r="D1007" s="12" t="s">
        <v>1974</v>
      </c>
      <c r="E1007" s="20">
        <v>32424</v>
      </c>
      <c r="F1007" s="20">
        <v>43307</v>
      </c>
      <c r="G1007" s="12">
        <v>325.77999999999997</v>
      </c>
      <c r="H1007" s="12">
        <v>41.8</v>
      </c>
      <c r="I1007" s="13">
        <v>7.7937799043062199</v>
      </c>
      <c r="J1007" s="12" t="s">
        <v>145</v>
      </c>
      <c r="K1007" s="14">
        <v>358</v>
      </c>
      <c r="L1007" s="14">
        <v>132</v>
      </c>
      <c r="M1007" s="14">
        <v>207</v>
      </c>
      <c r="N1007" s="12">
        <v>325.77999999999997</v>
      </c>
      <c r="O1007" s="12" t="s">
        <v>145</v>
      </c>
      <c r="P1007" s="12">
        <v>5.24061160308536E-2</v>
      </c>
      <c r="Q1007" s="12">
        <v>3.5489188918647503E-2</v>
      </c>
      <c r="R1007" s="12">
        <v>0.63205645161290303</v>
      </c>
      <c r="S1007" s="14">
        <v>34</v>
      </c>
      <c r="T1007" s="12">
        <v>4.1833036585724797</v>
      </c>
      <c r="U1007" s="14">
        <v>298</v>
      </c>
      <c r="V1007" s="14">
        <v>5</v>
      </c>
      <c r="W1007" s="12">
        <v>5.8999999999999999E-3</v>
      </c>
      <c r="X1007" s="12">
        <v>4.1892036585724801</v>
      </c>
      <c r="Y1007" s="14">
        <v>298</v>
      </c>
      <c r="Z1007" s="14">
        <v>33</v>
      </c>
      <c r="AA1007" s="12" t="s">
        <v>2367</v>
      </c>
    </row>
    <row r="1008" spans="1:27" ht="14.25" x14ac:dyDescent="0.45">
      <c r="A1008" s="12" t="s">
        <v>147</v>
      </c>
      <c r="B1008" s="12" t="s">
        <v>1971</v>
      </c>
      <c r="C1008" s="12" t="s">
        <v>1977</v>
      </c>
      <c r="D1008" s="12" t="s">
        <v>2026</v>
      </c>
      <c r="E1008" s="20">
        <v>33682</v>
      </c>
      <c r="F1008" s="20">
        <v>43318</v>
      </c>
      <c r="G1008" s="12">
        <v>673.27</v>
      </c>
      <c r="H1008" s="12">
        <v>41.433333333333302</v>
      </c>
      <c r="I1008" s="13">
        <v>16.249477071601</v>
      </c>
      <c r="J1008" s="12" t="s">
        <v>147</v>
      </c>
      <c r="K1008" s="14">
        <v>170</v>
      </c>
      <c r="L1008" s="14">
        <v>141</v>
      </c>
      <c r="M1008" s="14">
        <v>94</v>
      </c>
      <c r="N1008" s="12">
        <v>673.27</v>
      </c>
      <c r="O1008" s="12" t="s">
        <v>147</v>
      </c>
      <c r="P1008" s="12">
        <v>0.108304578979964</v>
      </c>
      <c r="Q1008" s="12">
        <v>7.39924361098072E-2</v>
      </c>
      <c r="R1008" s="12">
        <v>0.62651209677419295</v>
      </c>
      <c r="S1008" s="14">
        <v>30</v>
      </c>
      <c r="T1008" s="12">
        <v>8.6859489686116191</v>
      </c>
      <c r="U1008" s="14">
        <v>122</v>
      </c>
      <c r="V1008" s="14">
        <v>7</v>
      </c>
      <c r="W1008" s="12">
        <v>6.1000000000000004E-3</v>
      </c>
      <c r="X1008" s="12">
        <v>8.6920489686116191</v>
      </c>
      <c r="Y1008" s="14">
        <v>122</v>
      </c>
      <c r="Z1008" s="14">
        <v>30</v>
      </c>
      <c r="AA1008" s="12" t="s">
        <v>2367</v>
      </c>
    </row>
    <row r="1009" spans="1:27" ht="14.25" x14ac:dyDescent="0.45">
      <c r="A1009" s="12" t="s">
        <v>161</v>
      </c>
      <c r="B1009" s="12" t="s">
        <v>1971</v>
      </c>
      <c r="C1009" s="12" t="s">
        <v>1977</v>
      </c>
      <c r="D1009" s="12" t="s">
        <v>1974</v>
      </c>
      <c r="E1009" s="20">
        <v>33347</v>
      </c>
      <c r="F1009" s="20">
        <v>44106</v>
      </c>
      <c r="G1009" s="12">
        <v>48.13</v>
      </c>
      <c r="H1009" s="12">
        <v>15.1666666666667</v>
      </c>
      <c r="I1009" s="13">
        <v>3.17340659340659</v>
      </c>
      <c r="J1009" s="12" t="s">
        <v>161</v>
      </c>
      <c r="K1009" s="14">
        <v>544</v>
      </c>
      <c r="L1009" s="14">
        <v>498</v>
      </c>
      <c r="M1009" s="14">
        <v>490</v>
      </c>
      <c r="N1009" s="12">
        <v>48.13</v>
      </c>
      <c r="O1009" s="12" t="s">
        <v>161</v>
      </c>
      <c r="P1009" s="12">
        <v>7.7423609938147998E-3</v>
      </c>
      <c r="Q1009" s="12">
        <v>1.4450193294124501E-2</v>
      </c>
      <c r="R1009" s="12">
        <v>0.22933467741935501</v>
      </c>
      <c r="S1009" s="14">
        <v>31</v>
      </c>
      <c r="T1009" s="12">
        <v>1.1934756181508399</v>
      </c>
      <c r="U1009" s="14">
        <v>535</v>
      </c>
      <c r="V1009" s="14">
        <v>4</v>
      </c>
      <c r="W1009" s="12">
        <v>5.7999999999999996E-3</v>
      </c>
      <c r="X1009" s="12">
        <v>1.1992756181508399</v>
      </c>
      <c r="Y1009" s="14">
        <v>535</v>
      </c>
      <c r="Z1009" s="14">
        <v>31</v>
      </c>
      <c r="AA1009" s="12" t="s">
        <v>2367</v>
      </c>
    </row>
    <row r="1010" spans="1:27" ht="14.25" x14ac:dyDescent="0.45">
      <c r="A1010" s="12" t="s">
        <v>163</v>
      </c>
      <c r="B1010" s="12" t="s">
        <v>1971</v>
      </c>
      <c r="C1010" s="12" t="s">
        <v>1977</v>
      </c>
      <c r="D1010" s="12" t="s">
        <v>1975</v>
      </c>
      <c r="E1010" s="20">
        <v>31995</v>
      </c>
      <c r="F1010" s="20">
        <v>43018</v>
      </c>
      <c r="G1010" s="12">
        <v>434.44</v>
      </c>
      <c r="H1010" s="12">
        <v>51.433333333333302</v>
      </c>
      <c r="I1010" s="13">
        <v>8.4466623460790693</v>
      </c>
      <c r="J1010" s="12" t="s">
        <v>163</v>
      </c>
      <c r="K1010" s="14">
        <v>338</v>
      </c>
      <c r="L1010" s="14">
        <v>58</v>
      </c>
      <c r="M1010" s="14">
        <v>166</v>
      </c>
      <c r="N1010" s="12">
        <v>434.44</v>
      </c>
      <c r="O1010" s="12" t="s">
        <v>163</v>
      </c>
      <c r="P1010" s="12">
        <v>6.9885545608828203E-2</v>
      </c>
      <c r="Q1010" s="12">
        <v>3.8462106886852199E-2</v>
      </c>
      <c r="R1010" s="12">
        <v>0.77772177419354804</v>
      </c>
      <c r="S1010" s="14">
        <v>35</v>
      </c>
      <c r="T1010" s="12">
        <v>5.02458964075932</v>
      </c>
      <c r="U1010" s="14">
        <v>259</v>
      </c>
      <c r="V1010" s="14">
        <v>9</v>
      </c>
      <c r="W1010" s="12">
        <v>6.3E-3</v>
      </c>
      <c r="X1010" s="12">
        <v>5.0308896407593204</v>
      </c>
      <c r="Y1010" s="14">
        <v>259</v>
      </c>
      <c r="Z1010" s="14">
        <v>34</v>
      </c>
      <c r="AA1010" s="12" t="s">
        <v>2367</v>
      </c>
    </row>
    <row r="1011" spans="1:27" ht="14.25" x14ac:dyDescent="0.45">
      <c r="A1011" s="12" t="s">
        <v>165</v>
      </c>
      <c r="B1011" s="12" t="s">
        <v>1971</v>
      </c>
      <c r="C1011" s="12" t="s">
        <v>1977</v>
      </c>
      <c r="D1011" s="12" t="s">
        <v>1990</v>
      </c>
      <c r="E1011" s="20">
        <v>34428</v>
      </c>
      <c r="F1011" s="20">
        <v>44112</v>
      </c>
      <c r="G1011" s="12">
        <v>19.45</v>
      </c>
      <c r="H1011" s="12">
        <v>14.966666666666701</v>
      </c>
      <c r="I1011" s="13">
        <v>1.2995545657015599</v>
      </c>
      <c r="J1011" s="12" t="s">
        <v>165</v>
      </c>
      <c r="K1011" s="14">
        <v>752</v>
      </c>
      <c r="L1011" s="14">
        <v>523</v>
      </c>
      <c r="M1011" s="14">
        <v>726</v>
      </c>
      <c r="N1011" s="12">
        <v>19.45</v>
      </c>
      <c r="O1011" s="12" t="s">
        <v>165</v>
      </c>
      <c r="P1011" s="12">
        <v>3.1287953735653E-3</v>
      </c>
      <c r="Q1011" s="12">
        <v>5.9175570850789902E-3</v>
      </c>
      <c r="R1011" s="12">
        <v>0.226310483870968</v>
      </c>
      <c r="S1011" s="14">
        <v>28</v>
      </c>
      <c r="T1011" s="12">
        <v>0.48717714432613501</v>
      </c>
      <c r="U1011" s="14">
        <v>790</v>
      </c>
      <c r="V1011" s="14">
        <v>4</v>
      </c>
      <c r="W1011" s="12">
        <v>5.7999999999999996E-3</v>
      </c>
      <c r="X1011" s="12">
        <v>0.49297714432613499</v>
      </c>
      <c r="Y1011" s="14">
        <v>790</v>
      </c>
      <c r="Z1011" s="14">
        <v>28</v>
      </c>
      <c r="AA1011" s="12" t="s">
        <v>2367</v>
      </c>
    </row>
    <row r="1012" spans="1:27" ht="14.25" x14ac:dyDescent="0.45">
      <c r="A1012" s="12" t="s">
        <v>167</v>
      </c>
      <c r="B1012" s="12" t="s">
        <v>1971</v>
      </c>
      <c r="C1012" s="12" t="s">
        <v>1977</v>
      </c>
      <c r="D1012" s="12" t="s">
        <v>1990</v>
      </c>
      <c r="E1012" s="20">
        <v>32105</v>
      </c>
      <c r="F1012" s="20">
        <v>42906</v>
      </c>
      <c r="G1012" s="12">
        <v>480.64</v>
      </c>
      <c r="H1012" s="12">
        <v>55.1666666666667</v>
      </c>
      <c r="I1012" s="13">
        <v>8.7125075528700897</v>
      </c>
      <c r="J1012" s="12" t="s">
        <v>167</v>
      </c>
      <c r="K1012" s="14">
        <v>330</v>
      </c>
      <c r="L1012" s="14">
        <v>32</v>
      </c>
      <c r="M1012" s="14">
        <v>149</v>
      </c>
      <c r="N1012" s="12">
        <v>480.64</v>
      </c>
      <c r="O1012" s="12" t="s">
        <v>167</v>
      </c>
      <c r="P1012" s="12">
        <v>7.73174400180167E-2</v>
      </c>
      <c r="Q1012" s="12">
        <v>3.9672640271521002E-2</v>
      </c>
      <c r="R1012" s="12">
        <v>0.83417338709677402</v>
      </c>
      <c r="S1012" s="14">
        <v>35</v>
      </c>
      <c r="T1012" s="12">
        <v>5.37894401764569</v>
      </c>
      <c r="U1012" s="14">
        <v>247</v>
      </c>
      <c r="V1012" s="14">
        <v>6</v>
      </c>
      <c r="W1012" s="12">
        <v>6.0000000000000001E-3</v>
      </c>
      <c r="X1012" s="12">
        <v>5.3849440176456902</v>
      </c>
      <c r="Y1012" s="14">
        <v>247</v>
      </c>
      <c r="Z1012" s="14">
        <v>34</v>
      </c>
      <c r="AA1012" s="12" t="s">
        <v>2367</v>
      </c>
    </row>
    <row r="1013" spans="1:27" ht="14.25" x14ac:dyDescent="0.45">
      <c r="A1013" s="12" t="s">
        <v>177</v>
      </c>
      <c r="B1013" s="12" t="s">
        <v>1971</v>
      </c>
      <c r="C1013" s="12" t="s">
        <v>1977</v>
      </c>
      <c r="D1013" s="12" t="s">
        <v>1975</v>
      </c>
      <c r="E1013" s="20">
        <v>34575</v>
      </c>
      <c r="F1013" s="20">
        <v>44176</v>
      </c>
      <c r="G1013" s="12">
        <v>148.05000000000001</v>
      </c>
      <c r="H1013" s="12">
        <v>12.8333333333333</v>
      </c>
      <c r="I1013" s="13">
        <v>11.5363636363636</v>
      </c>
      <c r="J1013" s="12" t="s">
        <v>177</v>
      </c>
      <c r="K1013" s="14">
        <v>254</v>
      </c>
      <c r="L1013" s="14">
        <v>696</v>
      </c>
      <c r="M1013" s="14">
        <v>322</v>
      </c>
      <c r="N1013" s="12">
        <v>148.05000000000001</v>
      </c>
      <c r="O1013" s="12" t="s">
        <v>177</v>
      </c>
      <c r="P1013" s="12">
        <v>2.3815843447626901E-2</v>
      </c>
      <c r="Q1013" s="12">
        <v>5.25311458049917E-2</v>
      </c>
      <c r="R1013" s="12">
        <v>0.194052419354839</v>
      </c>
      <c r="S1013" s="14">
        <v>28</v>
      </c>
      <c r="T1013" s="12">
        <v>4.17629074209799</v>
      </c>
      <c r="U1013" s="14">
        <v>299</v>
      </c>
      <c r="V1013" s="14">
        <v>8</v>
      </c>
      <c r="W1013" s="12">
        <v>6.1999999999999998E-3</v>
      </c>
      <c r="X1013" s="12">
        <v>4.1824907420979898</v>
      </c>
      <c r="Y1013" s="14">
        <v>299</v>
      </c>
      <c r="Z1013" s="14">
        <v>27</v>
      </c>
      <c r="AA1013" s="12" t="s">
        <v>2367</v>
      </c>
    </row>
    <row r="1014" spans="1:27" ht="14.25" x14ac:dyDescent="0.45">
      <c r="A1014" s="12" t="s">
        <v>189</v>
      </c>
      <c r="B1014" s="12" t="s">
        <v>1971</v>
      </c>
      <c r="C1014" s="12" t="s">
        <v>1977</v>
      </c>
      <c r="D1014" s="12" t="s">
        <v>1974</v>
      </c>
      <c r="E1014" s="20">
        <v>34506</v>
      </c>
      <c r="F1014" s="20">
        <v>44218</v>
      </c>
      <c r="G1014" s="12">
        <v>38.450000000000003</v>
      </c>
      <c r="H1014" s="12">
        <v>11.4333333333333</v>
      </c>
      <c r="I1014" s="13">
        <v>3.36297376093294</v>
      </c>
      <c r="J1014" s="12" t="s">
        <v>189</v>
      </c>
      <c r="K1014" s="14">
        <v>532</v>
      </c>
      <c r="L1014" s="14">
        <v>855</v>
      </c>
      <c r="M1014" s="14">
        <v>529</v>
      </c>
      <c r="N1014" s="12">
        <v>38.450000000000003</v>
      </c>
      <c r="O1014" s="12" t="s">
        <v>189</v>
      </c>
      <c r="P1014" s="12">
        <v>6.1852021652229203E-3</v>
      </c>
      <c r="Q1014" s="12">
        <v>1.53133925509317E-2</v>
      </c>
      <c r="R1014" s="12">
        <v>0.172883064516129</v>
      </c>
      <c r="S1014" s="14">
        <v>28</v>
      </c>
      <c r="T1014" s="12">
        <v>1.1890321156290899</v>
      </c>
      <c r="U1014" s="14">
        <v>536</v>
      </c>
      <c r="V1014" s="14">
        <v>4</v>
      </c>
      <c r="W1014" s="12">
        <v>5.7999999999999996E-3</v>
      </c>
      <c r="X1014" s="12">
        <v>1.19483211562909</v>
      </c>
      <c r="Y1014" s="14">
        <v>536</v>
      </c>
      <c r="Z1014" s="14">
        <v>28</v>
      </c>
      <c r="AA1014" s="12" t="s">
        <v>2367</v>
      </c>
    </row>
    <row r="1015" spans="1:27" ht="14.25" x14ac:dyDescent="0.45">
      <c r="A1015" s="12" t="s">
        <v>208</v>
      </c>
      <c r="B1015" s="12" t="s">
        <v>1971</v>
      </c>
      <c r="C1015" s="12" t="s">
        <v>1977</v>
      </c>
      <c r="D1015" s="12" t="s">
        <v>2020</v>
      </c>
      <c r="E1015" s="20">
        <v>33050</v>
      </c>
      <c r="F1015" s="20">
        <v>43446</v>
      </c>
      <c r="G1015" s="12">
        <v>3.37</v>
      </c>
      <c r="H1015" s="12">
        <v>37.1666666666667</v>
      </c>
      <c r="I1015" s="13">
        <v>9.0672645739910296E-2</v>
      </c>
      <c r="J1015" s="12" t="s">
        <v>208</v>
      </c>
      <c r="K1015" s="14">
        <v>1519</v>
      </c>
      <c r="L1015" s="14">
        <v>216</v>
      </c>
      <c r="M1015" s="14">
        <v>1187</v>
      </c>
      <c r="N1015" s="12">
        <v>3.37</v>
      </c>
      <c r="O1015" s="12" t="s">
        <v>208</v>
      </c>
      <c r="P1015" s="12">
        <v>5.4211004673085101E-4</v>
      </c>
      <c r="Q1015" s="12">
        <v>4.1288036022666199E-4</v>
      </c>
      <c r="R1015" s="12">
        <v>0.56199596774193505</v>
      </c>
      <c r="S1015" s="14">
        <v>32</v>
      </c>
      <c r="T1015" s="12">
        <v>4.6134149266573297E-2</v>
      </c>
      <c r="U1015" s="14">
        <v>1536</v>
      </c>
      <c r="V1015" s="14">
        <v>3</v>
      </c>
      <c r="W1015" s="12">
        <v>5.7000000000000002E-3</v>
      </c>
      <c r="X1015" s="12">
        <v>5.1834149266573301E-2</v>
      </c>
      <c r="Y1015" s="14">
        <v>1536</v>
      </c>
      <c r="Z1015" s="14">
        <v>32</v>
      </c>
      <c r="AA1015" s="12" t="s">
        <v>2367</v>
      </c>
    </row>
    <row r="1016" spans="1:27" ht="14.25" x14ac:dyDescent="0.45">
      <c r="A1016" s="12" t="s">
        <v>248</v>
      </c>
      <c r="B1016" s="12" t="s">
        <v>1971</v>
      </c>
      <c r="C1016" s="12" t="s">
        <v>1977</v>
      </c>
      <c r="D1016" s="12" t="s">
        <v>1978</v>
      </c>
      <c r="E1016" s="20">
        <v>35570</v>
      </c>
      <c r="F1016" s="20">
        <v>43326</v>
      </c>
      <c r="G1016" s="12">
        <v>539.09</v>
      </c>
      <c r="H1016" s="12">
        <v>41.1666666666667</v>
      </c>
      <c r="I1016" s="13">
        <v>13.0953036437247</v>
      </c>
      <c r="J1016" s="12" t="s">
        <v>248</v>
      </c>
      <c r="K1016" s="14">
        <v>224</v>
      </c>
      <c r="L1016" s="14">
        <v>156</v>
      </c>
      <c r="M1016" s="14">
        <v>139</v>
      </c>
      <c r="N1016" s="12">
        <v>539.09</v>
      </c>
      <c r="O1016" s="12" t="s">
        <v>248</v>
      </c>
      <c r="P1016" s="12">
        <v>8.6719912490247603E-2</v>
      </c>
      <c r="Q1016" s="12">
        <v>5.9629821558396801E-2</v>
      </c>
      <c r="R1016" s="12">
        <v>0.62247983870967705</v>
      </c>
      <c r="S1016" s="14">
        <v>25</v>
      </c>
      <c r="T1016" s="12">
        <v>6.9788605657840801</v>
      </c>
      <c r="U1016" s="14">
        <v>188</v>
      </c>
      <c r="V1016" s="14">
        <v>8</v>
      </c>
      <c r="W1016" s="12">
        <v>6.1999999999999998E-3</v>
      </c>
      <c r="X1016" s="12">
        <v>6.9850605657840799</v>
      </c>
      <c r="Y1016" s="14">
        <v>188</v>
      </c>
      <c r="Z1016" s="14">
        <v>25</v>
      </c>
      <c r="AA1016" s="12" t="s">
        <v>2367</v>
      </c>
    </row>
    <row r="1017" spans="1:27" ht="14.25" x14ac:dyDescent="0.45">
      <c r="A1017" s="12" t="s">
        <v>282</v>
      </c>
      <c r="B1017" s="12" t="s">
        <v>1971</v>
      </c>
      <c r="C1017" s="12" t="s">
        <v>1977</v>
      </c>
      <c r="D1017" s="12" t="s">
        <v>2020</v>
      </c>
      <c r="E1017" s="20">
        <v>32730</v>
      </c>
      <c r="F1017" s="20">
        <v>43759</v>
      </c>
      <c r="G1017" s="12">
        <v>222.74</v>
      </c>
      <c r="H1017" s="12">
        <v>26.733333333333299</v>
      </c>
      <c r="I1017" s="13">
        <v>8.3319201995012495</v>
      </c>
      <c r="J1017" s="12" t="s">
        <v>282</v>
      </c>
      <c r="K1017" s="14">
        <v>342</v>
      </c>
      <c r="L1017" s="14">
        <v>336</v>
      </c>
      <c r="M1017" s="14">
        <v>271</v>
      </c>
      <c r="N1017" s="12">
        <v>222.74</v>
      </c>
      <c r="O1017" s="12" t="s">
        <v>282</v>
      </c>
      <c r="P1017" s="12">
        <v>3.5830739409148299E-2</v>
      </c>
      <c r="Q1017" s="12">
        <v>3.7939625399457097E-2</v>
      </c>
      <c r="R1017" s="12">
        <v>0.40423387096774199</v>
      </c>
      <c r="S1017" s="14">
        <v>33</v>
      </c>
      <c r="T1017" s="12">
        <v>3.7148793153091302</v>
      </c>
      <c r="U1017" s="14">
        <v>328</v>
      </c>
      <c r="V1017" s="14">
        <v>8</v>
      </c>
      <c r="W1017" s="12">
        <v>6.1999999999999998E-3</v>
      </c>
      <c r="X1017" s="12">
        <v>3.7210793153091299</v>
      </c>
      <c r="Y1017" s="14">
        <v>328</v>
      </c>
      <c r="Z1017" s="14">
        <v>32</v>
      </c>
      <c r="AA1017" s="12" t="s">
        <v>2367</v>
      </c>
    </row>
    <row r="1018" spans="1:27" ht="14.25" x14ac:dyDescent="0.45">
      <c r="A1018" s="12" t="s">
        <v>287</v>
      </c>
      <c r="B1018" s="12" t="s">
        <v>1971</v>
      </c>
      <c r="C1018" s="12" t="s">
        <v>1977</v>
      </c>
      <c r="D1018" s="12" t="s">
        <v>1974</v>
      </c>
      <c r="E1018" s="20">
        <v>32745</v>
      </c>
      <c r="F1018" s="20">
        <v>43195</v>
      </c>
      <c r="G1018" s="12">
        <v>542.24</v>
      </c>
      <c r="H1018" s="12">
        <v>45.533333333333303</v>
      </c>
      <c r="I1018" s="13">
        <v>11.908638360175701</v>
      </c>
      <c r="J1018" s="12" t="s">
        <v>287</v>
      </c>
      <c r="K1018" s="14">
        <v>246</v>
      </c>
      <c r="L1018" s="14">
        <v>88</v>
      </c>
      <c r="M1018" s="14">
        <v>137</v>
      </c>
      <c r="N1018" s="12">
        <v>542.24</v>
      </c>
      <c r="O1018" s="12" t="s">
        <v>287</v>
      </c>
      <c r="P1018" s="12">
        <v>8.72266325636014E-2</v>
      </c>
      <c r="Q1018" s="12">
        <v>5.4226308892122703E-2</v>
      </c>
      <c r="R1018" s="12">
        <v>0.688508064516129</v>
      </c>
      <c r="S1018" s="14">
        <v>33</v>
      </c>
      <c r="T1018" s="12">
        <v>6.6601430268927198</v>
      </c>
      <c r="U1018" s="14">
        <v>198</v>
      </c>
      <c r="V1018" s="14">
        <v>7</v>
      </c>
      <c r="W1018" s="12">
        <v>6.1000000000000004E-3</v>
      </c>
      <c r="X1018" s="12">
        <v>6.6662430268927197</v>
      </c>
      <c r="Y1018" s="14">
        <v>198</v>
      </c>
      <c r="Z1018" s="14">
        <v>32</v>
      </c>
      <c r="AA1018" s="12" t="s">
        <v>2367</v>
      </c>
    </row>
    <row r="1019" spans="1:27" ht="14.25" x14ac:dyDescent="0.45">
      <c r="A1019" s="12" t="s">
        <v>288</v>
      </c>
      <c r="B1019" s="12" t="s">
        <v>1971</v>
      </c>
      <c r="C1019" s="12" t="s">
        <v>1977</v>
      </c>
      <c r="D1019" s="12" t="s">
        <v>1974</v>
      </c>
      <c r="E1019" s="20">
        <v>32495</v>
      </c>
      <c r="F1019" s="20">
        <v>43304</v>
      </c>
      <c r="G1019" s="12">
        <v>7.0000000000000007E-2</v>
      </c>
      <c r="H1019" s="12">
        <v>41.9</v>
      </c>
      <c r="I1019" s="13">
        <v>1.6706443914081099E-3</v>
      </c>
      <c r="J1019" s="12" t="s">
        <v>288</v>
      </c>
      <c r="K1019" s="14">
        <v>1815</v>
      </c>
      <c r="L1019" s="14">
        <v>129</v>
      </c>
      <c r="M1019" s="14">
        <v>1859</v>
      </c>
      <c r="N1019" s="12">
        <v>7.0000000000000007E-2</v>
      </c>
      <c r="O1019" s="12" t="s">
        <v>288</v>
      </c>
      <c r="P1019" s="12">
        <v>1.12604460745281E-5</v>
      </c>
      <c r="Q1019" s="12">
        <v>7.6073247064370703E-6</v>
      </c>
      <c r="R1019" s="12">
        <v>0.63356854838709697</v>
      </c>
      <c r="S1019" s="14">
        <v>34</v>
      </c>
      <c r="T1019" s="12">
        <v>8.9772452194711902E-4</v>
      </c>
      <c r="U1019" s="14">
        <v>1910</v>
      </c>
      <c r="V1019" s="14">
        <v>1</v>
      </c>
      <c r="W1019" s="12">
        <v>5.4999999999999997E-3</v>
      </c>
      <c r="X1019" s="12">
        <v>6.3977245219471197E-3</v>
      </c>
      <c r="Y1019" s="14">
        <v>1911</v>
      </c>
      <c r="Z1019" s="14">
        <v>33</v>
      </c>
      <c r="AA1019" s="12" t="s">
        <v>2367</v>
      </c>
    </row>
    <row r="1020" spans="1:27" ht="14.25" x14ac:dyDescent="0.45">
      <c r="A1020" s="12" t="s">
        <v>312</v>
      </c>
      <c r="B1020" s="12" t="s">
        <v>1971</v>
      </c>
      <c r="C1020" s="12" t="s">
        <v>1977</v>
      </c>
      <c r="D1020" s="12" t="s">
        <v>1975</v>
      </c>
      <c r="E1020" s="20">
        <v>32058</v>
      </c>
      <c r="F1020" s="20">
        <v>44200</v>
      </c>
      <c r="G1020" s="12">
        <v>9.1999999999999993</v>
      </c>
      <c r="H1020" s="12">
        <v>12.033333333333299</v>
      </c>
      <c r="I1020" s="13">
        <v>0.764542936288089</v>
      </c>
      <c r="J1020" s="12" t="s">
        <v>312</v>
      </c>
      <c r="K1020" s="14">
        <v>900</v>
      </c>
      <c r="L1020" s="14">
        <v>767</v>
      </c>
      <c r="M1020" s="14">
        <v>862</v>
      </c>
      <c r="N1020" s="12">
        <v>9.1999999999999993</v>
      </c>
      <c r="O1020" s="12" t="s">
        <v>312</v>
      </c>
      <c r="P1020" s="12">
        <v>1.4799443412236899E-3</v>
      </c>
      <c r="Q1020" s="12">
        <v>3.4813670690589998E-3</v>
      </c>
      <c r="R1020" s="12">
        <v>0.18195564516129001</v>
      </c>
      <c r="S1020" s="14">
        <v>35</v>
      </c>
      <c r="T1020" s="12">
        <v>0.273083354612076</v>
      </c>
      <c r="U1020" s="14">
        <v>943</v>
      </c>
      <c r="V1020" s="14">
        <v>3</v>
      </c>
      <c r="W1020" s="12">
        <v>5.7000000000000002E-3</v>
      </c>
      <c r="X1020" s="12">
        <v>0.27878335461207598</v>
      </c>
      <c r="Y1020" s="14">
        <v>943</v>
      </c>
      <c r="Z1020" s="14">
        <v>34</v>
      </c>
      <c r="AA1020" s="12" t="s">
        <v>2367</v>
      </c>
    </row>
    <row r="1021" spans="1:27" ht="14.25" x14ac:dyDescent="0.45">
      <c r="A1021" s="12" t="s">
        <v>315</v>
      </c>
      <c r="B1021" s="12" t="s">
        <v>1971</v>
      </c>
      <c r="C1021" s="12" t="s">
        <v>1977</v>
      </c>
      <c r="D1021" s="12" t="s">
        <v>1974</v>
      </c>
      <c r="E1021" s="20">
        <v>31989</v>
      </c>
      <c r="F1021" s="20">
        <v>44123</v>
      </c>
      <c r="G1021" s="12">
        <v>3.73</v>
      </c>
      <c r="H1021" s="12">
        <v>14.6</v>
      </c>
      <c r="I1021" s="13">
        <v>0.255479452054794</v>
      </c>
      <c r="J1021" s="12" t="s">
        <v>315</v>
      </c>
      <c r="K1021" s="14">
        <v>1271</v>
      </c>
      <c r="L1021" s="14">
        <v>552</v>
      </c>
      <c r="M1021" s="14">
        <v>1141</v>
      </c>
      <c r="N1021" s="12">
        <v>3.73</v>
      </c>
      <c r="O1021" s="12" t="s">
        <v>315</v>
      </c>
      <c r="P1021" s="12">
        <v>6.0002091225699503E-4</v>
      </c>
      <c r="Q1021" s="12">
        <v>1.1633326383512E-3</v>
      </c>
      <c r="R1021" s="12">
        <v>0.22076612903225801</v>
      </c>
      <c r="S1021" s="14">
        <v>35</v>
      </c>
      <c r="T1021" s="12">
        <v>9.5209074106587493E-2</v>
      </c>
      <c r="U1021" s="14">
        <v>1302</v>
      </c>
      <c r="V1021" s="14">
        <v>2</v>
      </c>
      <c r="W1021" s="12">
        <v>5.5999999999999999E-3</v>
      </c>
      <c r="X1021" s="12">
        <v>0.100809074106588</v>
      </c>
      <c r="Y1021" s="14">
        <v>1302</v>
      </c>
      <c r="Z1021" s="14">
        <v>34</v>
      </c>
      <c r="AA1021" s="12" t="s">
        <v>2367</v>
      </c>
    </row>
    <row r="1022" spans="1:27" ht="14.25" x14ac:dyDescent="0.45">
      <c r="A1022" s="12" t="s">
        <v>329</v>
      </c>
      <c r="B1022" s="12" t="s">
        <v>1971</v>
      </c>
      <c r="C1022" s="12" t="s">
        <v>1977</v>
      </c>
      <c r="D1022" s="12" t="s">
        <v>1993</v>
      </c>
      <c r="E1022" s="20">
        <v>33167</v>
      </c>
      <c r="F1022" s="20">
        <v>43776</v>
      </c>
      <c r="G1022" s="12">
        <v>0.53</v>
      </c>
      <c r="H1022" s="12">
        <v>26.1666666666667</v>
      </c>
      <c r="I1022" s="13">
        <v>2.0254777070063699E-2</v>
      </c>
      <c r="J1022" s="12" t="s">
        <v>329</v>
      </c>
      <c r="K1022" s="14">
        <v>1684</v>
      </c>
      <c r="L1022" s="14">
        <v>363</v>
      </c>
      <c r="M1022" s="14">
        <v>1673</v>
      </c>
      <c r="N1022" s="12">
        <v>0.53</v>
      </c>
      <c r="O1022" s="12" t="s">
        <v>329</v>
      </c>
      <c r="P1022" s="12">
        <v>8.5257663135712494E-5</v>
      </c>
      <c r="Q1022" s="12">
        <v>9.2230678665613104E-5</v>
      </c>
      <c r="R1022" s="12">
        <v>0.39566532258064502</v>
      </c>
      <c r="S1022" s="14">
        <v>32</v>
      </c>
      <c r="T1022" s="12">
        <v>8.9615797841900297E-3</v>
      </c>
      <c r="U1022" s="14">
        <v>1769</v>
      </c>
      <c r="V1022" s="14">
        <v>2</v>
      </c>
      <c r="W1022" s="12">
        <v>5.5999999999999999E-3</v>
      </c>
      <c r="X1022" s="12">
        <v>1.4561579784189999E-2</v>
      </c>
      <c r="Y1022" s="14">
        <v>1769</v>
      </c>
      <c r="Z1022" s="14">
        <v>31</v>
      </c>
      <c r="AA1022" s="12" t="s">
        <v>2367</v>
      </c>
    </row>
    <row r="1023" spans="1:27" ht="14.25" x14ac:dyDescent="0.45">
      <c r="A1023" s="12" t="s">
        <v>347</v>
      </c>
      <c r="B1023" s="12" t="s">
        <v>1971</v>
      </c>
      <c r="C1023" s="12" t="s">
        <v>1977</v>
      </c>
      <c r="D1023" s="12" t="s">
        <v>1974</v>
      </c>
      <c r="E1023" s="20">
        <v>32449</v>
      </c>
      <c r="F1023" s="20">
        <v>43336</v>
      </c>
      <c r="G1023" s="12">
        <v>1027.51</v>
      </c>
      <c r="H1023" s="12">
        <v>40.8333333333333</v>
      </c>
      <c r="I1023" s="13">
        <v>25.1635102040816</v>
      </c>
      <c r="J1023" s="12" t="s">
        <v>347</v>
      </c>
      <c r="K1023" s="14">
        <v>101</v>
      </c>
      <c r="L1023" s="14">
        <v>174</v>
      </c>
      <c r="M1023" s="14">
        <v>51</v>
      </c>
      <c r="N1023" s="12">
        <v>1027.51</v>
      </c>
      <c r="O1023" s="12" t="s">
        <v>347</v>
      </c>
      <c r="P1023" s="12">
        <v>0.16528887065768999</v>
      </c>
      <c r="Q1023" s="12">
        <v>0.114582728593035</v>
      </c>
      <c r="R1023" s="12">
        <v>0.61743951612903203</v>
      </c>
      <c r="S1023" s="14">
        <v>34</v>
      </c>
      <c r="T1023" s="12">
        <v>13.359753186728099</v>
      </c>
      <c r="U1023" s="14">
        <v>78</v>
      </c>
      <c r="V1023" s="14">
        <v>8</v>
      </c>
      <c r="W1023" s="12">
        <v>6.1999999999999998E-3</v>
      </c>
      <c r="X1023" s="12">
        <v>13.365953186728101</v>
      </c>
      <c r="Y1023" s="14">
        <v>78</v>
      </c>
      <c r="Z1023" s="14">
        <v>33</v>
      </c>
      <c r="AA1023" s="12" t="s">
        <v>2367</v>
      </c>
    </row>
    <row r="1024" spans="1:27" ht="14.25" x14ac:dyDescent="0.45">
      <c r="A1024" s="12" t="s">
        <v>384</v>
      </c>
      <c r="B1024" s="12" t="s">
        <v>1971</v>
      </c>
      <c r="C1024" s="12" t="s">
        <v>1977</v>
      </c>
      <c r="D1024" s="12" t="s">
        <v>1975</v>
      </c>
      <c r="E1024" s="20">
        <v>33311</v>
      </c>
      <c r="F1024" s="20">
        <v>44109</v>
      </c>
      <c r="G1024" s="12">
        <v>1.27</v>
      </c>
      <c r="H1024" s="12">
        <v>15.0666666666667</v>
      </c>
      <c r="I1024" s="13">
        <v>8.4292035398230103E-2</v>
      </c>
      <c r="J1024" s="12" t="s">
        <v>384</v>
      </c>
      <c r="K1024" s="14">
        <v>1536</v>
      </c>
      <c r="L1024" s="14">
        <v>501</v>
      </c>
      <c r="M1024" s="14">
        <v>1511</v>
      </c>
      <c r="N1024" s="12">
        <v>1.27</v>
      </c>
      <c r="O1024" s="12" t="s">
        <v>384</v>
      </c>
      <c r="P1024" s="12">
        <v>2.0429666449500901E-4</v>
      </c>
      <c r="Q1024" s="12">
        <v>3.8382607737386402E-4</v>
      </c>
      <c r="R1024" s="12">
        <v>0.227822580645161</v>
      </c>
      <c r="S1024" s="14">
        <v>31</v>
      </c>
      <c r="T1024" s="12">
        <v>3.1650254754429397E-2</v>
      </c>
      <c r="U1024" s="14">
        <v>1607</v>
      </c>
      <c r="V1024" s="14">
        <v>1</v>
      </c>
      <c r="W1024" s="12">
        <v>5.4999999999999997E-3</v>
      </c>
      <c r="X1024" s="12">
        <v>3.7150254754429402E-2</v>
      </c>
      <c r="Y1024" s="14">
        <v>1608</v>
      </c>
      <c r="Z1024" s="14">
        <v>31</v>
      </c>
      <c r="AA1024" s="12" t="s">
        <v>2367</v>
      </c>
    </row>
    <row r="1025" spans="1:27" ht="14.25" x14ac:dyDescent="0.45">
      <c r="A1025" s="12" t="s">
        <v>392</v>
      </c>
      <c r="B1025" s="12" t="s">
        <v>1971</v>
      </c>
      <c r="C1025" s="12" t="s">
        <v>1977</v>
      </c>
      <c r="D1025" s="12" t="s">
        <v>1975</v>
      </c>
      <c r="E1025" s="20">
        <v>34229</v>
      </c>
      <c r="F1025" s="20">
        <v>43738</v>
      </c>
      <c r="G1025" s="12">
        <v>1106.55</v>
      </c>
      <c r="H1025" s="12">
        <v>27.433333333333302</v>
      </c>
      <c r="I1025" s="13">
        <v>40.335965978128797</v>
      </c>
      <c r="J1025" s="12" t="s">
        <v>392</v>
      </c>
      <c r="K1025" s="14">
        <v>61</v>
      </c>
      <c r="L1025" s="14">
        <v>300</v>
      </c>
      <c r="M1025" s="14">
        <v>47</v>
      </c>
      <c r="N1025" s="12">
        <v>1106.55</v>
      </c>
      <c r="O1025" s="12" t="s">
        <v>392</v>
      </c>
      <c r="P1025" s="12">
        <v>0.17800352291098601</v>
      </c>
      <c r="Q1025" s="12">
        <v>0.18367091891099199</v>
      </c>
      <c r="R1025" s="12">
        <v>0.41481854838709697</v>
      </c>
      <c r="S1025" s="14">
        <v>29</v>
      </c>
      <c r="T1025" s="12">
        <v>18.154564541098999</v>
      </c>
      <c r="U1025" s="14">
        <v>60</v>
      </c>
      <c r="V1025" s="14">
        <v>9</v>
      </c>
      <c r="W1025" s="12">
        <v>6.3E-3</v>
      </c>
      <c r="X1025" s="12">
        <v>18.160864541098999</v>
      </c>
      <c r="Y1025" s="14">
        <v>60</v>
      </c>
      <c r="Z1025" s="14">
        <v>28</v>
      </c>
      <c r="AA1025" s="12" t="s">
        <v>2367</v>
      </c>
    </row>
    <row r="1026" spans="1:27" ht="14.25" x14ac:dyDescent="0.45">
      <c r="A1026" s="12" t="s">
        <v>403</v>
      </c>
      <c r="B1026" s="12" t="s">
        <v>1971</v>
      </c>
      <c r="C1026" s="12" t="s">
        <v>1977</v>
      </c>
      <c r="D1026" s="12" t="s">
        <v>1974</v>
      </c>
      <c r="E1026" s="20">
        <v>33876</v>
      </c>
      <c r="F1026" s="20">
        <v>43909</v>
      </c>
      <c r="G1026" s="12">
        <v>0.01</v>
      </c>
      <c r="H1026" s="12">
        <v>21.733333333333299</v>
      </c>
      <c r="I1026" s="13">
        <v>4.6012269938650301E-4</v>
      </c>
      <c r="J1026" s="12" t="s">
        <v>403</v>
      </c>
      <c r="K1026" s="14">
        <v>1844</v>
      </c>
      <c r="L1026" s="14">
        <v>435</v>
      </c>
      <c r="M1026" s="14">
        <v>1944</v>
      </c>
      <c r="N1026" s="12">
        <v>0.01</v>
      </c>
      <c r="O1026" s="12" t="s">
        <v>403</v>
      </c>
      <c r="P1026" s="12">
        <v>1.6086351535040101E-6</v>
      </c>
      <c r="Q1026" s="12">
        <v>2.0951812348798002E-6</v>
      </c>
      <c r="R1026" s="12">
        <v>0.328629032258065</v>
      </c>
      <c r="S1026" s="14">
        <v>30</v>
      </c>
      <c r="T1026" s="12">
        <v>1.9127264543638799E-4</v>
      </c>
      <c r="U1026" s="14">
        <v>1960</v>
      </c>
      <c r="V1026" s="14">
        <v>1</v>
      </c>
      <c r="W1026" s="12">
        <v>5.4999999999999997E-3</v>
      </c>
      <c r="X1026" s="12">
        <v>5.6912726454363899E-3</v>
      </c>
      <c r="Y1026" s="14">
        <v>1960</v>
      </c>
      <c r="Z1026" s="14">
        <v>29</v>
      </c>
      <c r="AA1026" s="12" t="s">
        <v>2367</v>
      </c>
    </row>
    <row r="1027" spans="1:27" ht="14.25" x14ac:dyDescent="0.45">
      <c r="A1027" s="12" t="s">
        <v>482</v>
      </c>
      <c r="B1027" s="12" t="s">
        <v>1971</v>
      </c>
      <c r="C1027" s="12" t="s">
        <v>1977</v>
      </c>
      <c r="D1027" s="12" t="s">
        <v>1975</v>
      </c>
      <c r="E1027" s="20">
        <v>32493</v>
      </c>
      <c r="F1027" s="20">
        <v>42968</v>
      </c>
      <c r="G1027" s="12">
        <v>370.36</v>
      </c>
      <c r="H1027" s="12">
        <v>53.1</v>
      </c>
      <c r="I1027" s="13">
        <v>6.9747645951035802</v>
      </c>
      <c r="J1027" s="12" t="s">
        <v>482</v>
      </c>
      <c r="K1027" s="14">
        <v>380</v>
      </c>
      <c r="L1027" s="14">
        <v>50</v>
      </c>
      <c r="M1027" s="14">
        <v>193</v>
      </c>
      <c r="N1027" s="12">
        <v>370.36</v>
      </c>
      <c r="O1027" s="12" t="s">
        <v>482</v>
      </c>
      <c r="P1027" s="12">
        <v>5.95774115451745E-2</v>
      </c>
      <c r="Q1027" s="12">
        <v>3.1759780416939901E-2</v>
      </c>
      <c r="R1027" s="12">
        <v>0.80292338709677402</v>
      </c>
      <c r="S1027" s="14">
        <v>34</v>
      </c>
      <c r="T1027" s="12">
        <v>4.2191392090027904</v>
      </c>
      <c r="U1027" s="14">
        <v>296</v>
      </c>
      <c r="V1027" s="14">
        <v>4</v>
      </c>
      <c r="W1027" s="12">
        <v>5.7999999999999996E-3</v>
      </c>
      <c r="X1027" s="12">
        <v>4.2249392090027902</v>
      </c>
      <c r="Y1027" s="14">
        <v>296</v>
      </c>
      <c r="Z1027" s="14">
        <v>33</v>
      </c>
      <c r="AA1027" s="12" t="s">
        <v>2367</v>
      </c>
    </row>
    <row r="1028" spans="1:27" ht="14.25" x14ac:dyDescent="0.45">
      <c r="A1028" s="12" t="s">
        <v>506</v>
      </c>
      <c r="B1028" s="12" t="s">
        <v>1971</v>
      </c>
      <c r="C1028" s="12" t="s">
        <v>1977</v>
      </c>
      <c r="D1028" s="12" t="s">
        <v>1975</v>
      </c>
      <c r="E1028" s="20">
        <v>32321</v>
      </c>
      <c r="F1028" s="20">
        <v>43963</v>
      </c>
      <c r="G1028" s="12">
        <v>253.14</v>
      </c>
      <c r="H1028" s="12">
        <v>19.933333333333302</v>
      </c>
      <c r="I1028" s="13">
        <v>12.699331103678899</v>
      </c>
      <c r="J1028" s="12" t="s">
        <v>506</v>
      </c>
      <c r="K1028" s="14">
        <v>232</v>
      </c>
      <c r="L1028" s="14">
        <v>448</v>
      </c>
      <c r="M1028" s="14">
        <v>254</v>
      </c>
      <c r="N1028" s="12">
        <v>253.14</v>
      </c>
      <c r="O1028" s="12" t="s">
        <v>506</v>
      </c>
      <c r="P1028" s="12">
        <v>4.0720990275800499E-2</v>
      </c>
      <c r="Q1028" s="12">
        <v>5.7826749820058802E-2</v>
      </c>
      <c r="R1028" s="12">
        <v>0.30141129032258102</v>
      </c>
      <c r="S1028" s="14">
        <v>34</v>
      </c>
      <c r="T1028" s="12">
        <v>5.1412089990961896</v>
      </c>
      <c r="U1028" s="14">
        <v>256</v>
      </c>
      <c r="V1028" s="14">
        <v>63</v>
      </c>
      <c r="W1028" s="12">
        <v>9.1000000000000004E-3</v>
      </c>
      <c r="X1028" s="12">
        <v>5.1503089990961897</v>
      </c>
      <c r="Y1028" s="14">
        <v>256</v>
      </c>
      <c r="Z1028" s="14">
        <v>34</v>
      </c>
      <c r="AA1028" s="12" t="s">
        <v>2367</v>
      </c>
    </row>
    <row r="1029" spans="1:27" ht="14.25" x14ac:dyDescent="0.45">
      <c r="A1029" s="12" t="s">
        <v>520</v>
      </c>
      <c r="B1029" s="12" t="s">
        <v>1971</v>
      </c>
      <c r="C1029" s="12" t="s">
        <v>1977</v>
      </c>
      <c r="D1029" s="12" t="s">
        <v>1990</v>
      </c>
      <c r="E1029" s="20">
        <v>33572</v>
      </c>
      <c r="F1029" s="20">
        <v>42906</v>
      </c>
      <c r="G1029" s="12">
        <v>607.58000000000004</v>
      </c>
      <c r="H1029" s="12">
        <v>55.1666666666667</v>
      </c>
      <c r="I1029" s="13">
        <v>11.013534743202399</v>
      </c>
      <c r="J1029" s="12" t="s">
        <v>520</v>
      </c>
      <c r="K1029" s="14">
        <v>262</v>
      </c>
      <c r="L1029" s="14">
        <v>32</v>
      </c>
      <c r="M1029" s="14">
        <v>114</v>
      </c>
      <c r="N1029" s="12">
        <v>607.58000000000004</v>
      </c>
      <c r="O1029" s="12" t="s">
        <v>520</v>
      </c>
      <c r="P1029" s="12">
        <v>9.7737454656596598E-2</v>
      </c>
      <c r="Q1029" s="12">
        <v>5.0150430210075501E-2</v>
      </c>
      <c r="R1029" s="12">
        <v>0.83417338709677402</v>
      </c>
      <c r="S1029" s="14">
        <v>31</v>
      </c>
      <c r="T1029" s="12">
        <v>6.7995564377520896</v>
      </c>
      <c r="U1029" s="14">
        <v>195</v>
      </c>
      <c r="V1029" s="14">
        <v>8</v>
      </c>
      <c r="W1029" s="12">
        <v>6.1999999999999998E-3</v>
      </c>
      <c r="X1029" s="12">
        <v>6.8057564377520903</v>
      </c>
      <c r="Y1029" s="14">
        <v>195</v>
      </c>
      <c r="Z1029" s="14">
        <v>30</v>
      </c>
      <c r="AA1029" s="12" t="s">
        <v>2367</v>
      </c>
    </row>
    <row r="1030" spans="1:27" ht="14.25" x14ac:dyDescent="0.45">
      <c r="A1030" s="12" t="s">
        <v>526</v>
      </c>
      <c r="B1030" s="12" t="s">
        <v>1971</v>
      </c>
      <c r="C1030" s="12" t="s">
        <v>1977</v>
      </c>
      <c r="D1030" s="12" t="s">
        <v>1974</v>
      </c>
      <c r="E1030" s="20">
        <v>32097</v>
      </c>
      <c r="F1030" s="20">
        <v>44062</v>
      </c>
      <c r="G1030" s="12">
        <v>4.83</v>
      </c>
      <c r="H1030" s="12">
        <v>16.633333333333301</v>
      </c>
      <c r="I1030" s="13">
        <v>0.29038076152304598</v>
      </c>
      <c r="J1030" s="12" t="s">
        <v>526</v>
      </c>
      <c r="K1030" s="14">
        <v>1234</v>
      </c>
      <c r="L1030" s="14">
        <v>463</v>
      </c>
      <c r="M1030" s="14">
        <v>1044</v>
      </c>
      <c r="N1030" s="12">
        <v>4.83</v>
      </c>
      <c r="O1030" s="12" t="s">
        <v>526</v>
      </c>
      <c r="P1030" s="12">
        <v>7.7697077914243599E-4</v>
      </c>
      <c r="Q1030" s="12">
        <v>1.3222567009286701E-3</v>
      </c>
      <c r="R1030" s="12">
        <v>0.25151209677419401</v>
      </c>
      <c r="S1030" s="14">
        <v>35</v>
      </c>
      <c r="T1030" s="12">
        <v>0.11177744802588301</v>
      </c>
      <c r="U1030" s="14">
        <v>1256</v>
      </c>
      <c r="V1030" s="14">
        <v>4</v>
      </c>
      <c r="W1030" s="12">
        <v>5.7999999999999996E-3</v>
      </c>
      <c r="X1030" s="12">
        <v>0.11757744802588301</v>
      </c>
      <c r="Y1030" s="14">
        <v>1256</v>
      </c>
      <c r="Z1030" s="14">
        <v>34</v>
      </c>
      <c r="AA1030" s="12" t="s">
        <v>2367</v>
      </c>
    </row>
    <row r="1031" spans="1:27" ht="14.25" x14ac:dyDescent="0.45">
      <c r="A1031" s="12" t="s">
        <v>628</v>
      </c>
      <c r="B1031" s="12" t="s">
        <v>1971</v>
      </c>
      <c r="C1031" s="12" t="s">
        <v>1977</v>
      </c>
      <c r="D1031" s="12" t="s">
        <v>2007</v>
      </c>
      <c r="E1031" s="20">
        <v>32760</v>
      </c>
      <c r="F1031" s="20">
        <v>43146</v>
      </c>
      <c r="G1031" s="12">
        <v>275.74</v>
      </c>
      <c r="H1031" s="12">
        <v>47.1666666666667</v>
      </c>
      <c r="I1031" s="13">
        <v>5.8460777385159002</v>
      </c>
      <c r="J1031" s="12" t="s">
        <v>628</v>
      </c>
      <c r="K1031" s="14">
        <v>415</v>
      </c>
      <c r="L1031" s="14">
        <v>71</v>
      </c>
      <c r="M1031" s="14">
        <v>243</v>
      </c>
      <c r="N1031" s="12">
        <v>275.74</v>
      </c>
      <c r="O1031" s="12" t="s">
        <v>628</v>
      </c>
      <c r="P1031" s="12">
        <v>4.43565057227195E-2</v>
      </c>
      <c r="Q1031" s="12">
        <v>2.6620274095841199E-2</v>
      </c>
      <c r="R1031" s="12">
        <v>0.71320564516129004</v>
      </c>
      <c r="S1031" s="14">
        <v>33</v>
      </c>
      <c r="T1031" s="12">
        <v>3.3271360955920599</v>
      </c>
      <c r="U1031" s="14">
        <v>353</v>
      </c>
      <c r="V1031" s="14">
        <v>12</v>
      </c>
      <c r="W1031" s="12">
        <v>6.6E-3</v>
      </c>
      <c r="X1031" s="12">
        <v>3.3337360955920601</v>
      </c>
      <c r="Y1031" s="14">
        <v>353</v>
      </c>
      <c r="Z1031" s="14">
        <v>32</v>
      </c>
      <c r="AA1031" s="12" t="s">
        <v>2367</v>
      </c>
    </row>
    <row r="1032" spans="1:27" ht="14.25" x14ac:dyDescent="0.45">
      <c r="A1032" s="12" t="s">
        <v>642</v>
      </c>
      <c r="B1032" s="12" t="s">
        <v>1971</v>
      </c>
      <c r="C1032" s="12" t="s">
        <v>1977</v>
      </c>
      <c r="D1032" s="12" t="s">
        <v>1975</v>
      </c>
      <c r="E1032" s="20">
        <v>33119</v>
      </c>
      <c r="F1032" s="20">
        <v>44134</v>
      </c>
      <c r="G1032" s="12">
        <v>0.05</v>
      </c>
      <c r="H1032" s="12">
        <v>14.233333333333301</v>
      </c>
      <c r="I1032" s="13">
        <v>3.5128805620608899E-3</v>
      </c>
      <c r="J1032" s="12" t="s">
        <v>642</v>
      </c>
      <c r="K1032" s="14">
        <v>1790</v>
      </c>
      <c r="L1032" s="14">
        <v>593</v>
      </c>
      <c r="M1032" s="14">
        <v>1878</v>
      </c>
      <c r="N1032" s="12">
        <v>0.05</v>
      </c>
      <c r="O1032" s="12" t="s">
        <v>642</v>
      </c>
      <c r="P1032" s="12">
        <v>8.0431757675200496E-6</v>
      </c>
      <c r="Q1032" s="12">
        <v>1.5995997249902E-5</v>
      </c>
      <c r="R1032" s="12">
        <v>0.21522177419354799</v>
      </c>
      <c r="S1032" s="14">
        <v>32</v>
      </c>
      <c r="T1032" s="12">
        <v>1.3013689194008699E-3</v>
      </c>
      <c r="U1032" s="14">
        <v>1896</v>
      </c>
      <c r="V1032" s="14">
        <v>1</v>
      </c>
      <c r="W1032" s="12">
        <v>5.4999999999999997E-3</v>
      </c>
      <c r="X1032" s="12">
        <v>6.8013689194008804E-3</v>
      </c>
      <c r="Y1032" s="14">
        <v>1896</v>
      </c>
      <c r="Z1032" s="14">
        <v>31</v>
      </c>
      <c r="AA1032" s="12" t="s">
        <v>2367</v>
      </c>
    </row>
    <row r="1033" spans="1:27" ht="14.25" x14ac:dyDescent="0.45">
      <c r="A1033" s="12" t="s">
        <v>645</v>
      </c>
      <c r="B1033" s="12" t="s">
        <v>1971</v>
      </c>
      <c r="C1033" s="12" t="s">
        <v>1977</v>
      </c>
      <c r="D1033" s="12" t="s">
        <v>1990</v>
      </c>
      <c r="E1033" s="20">
        <v>33498</v>
      </c>
      <c r="F1033" s="20">
        <v>43361</v>
      </c>
      <c r="G1033" s="12">
        <v>138.93</v>
      </c>
      <c r="H1033" s="12">
        <v>40</v>
      </c>
      <c r="I1033" s="13">
        <v>3.4732500000000002</v>
      </c>
      <c r="J1033" s="12" t="s">
        <v>645</v>
      </c>
      <c r="K1033" s="14">
        <v>524</v>
      </c>
      <c r="L1033" s="14">
        <v>186</v>
      </c>
      <c r="M1033" s="14">
        <v>335</v>
      </c>
      <c r="N1033" s="12">
        <v>138.93</v>
      </c>
      <c r="O1033" s="12" t="s">
        <v>645</v>
      </c>
      <c r="P1033" s="12">
        <v>2.23487681876312E-2</v>
      </c>
      <c r="Q1033" s="12">
        <v>1.5815538406927201E-2</v>
      </c>
      <c r="R1033" s="12">
        <v>0.60483870967741904</v>
      </c>
      <c r="S1033" s="14">
        <v>31</v>
      </c>
      <c r="T1033" s="12">
        <v>1.82654995746912</v>
      </c>
      <c r="U1033" s="14">
        <v>450</v>
      </c>
      <c r="V1033" s="14">
        <v>5</v>
      </c>
      <c r="W1033" s="12">
        <v>5.8999999999999999E-3</v>
      </c>
      <c r="X1033" s="12">
        <v>1.83244995746912</v>
      </c>
      <c r="Y1033" s="14">
        <v>450</v>
      </c>
      <c r="Z1033" s="14">
        <v>30</v>
      </c>
      <c r="AA1033" s="12" t="s">
        <v>2367</v>
      </c>
    </row>
    <row r="1034" spans="1:27" ht="14.25" x14ac:dyDescent="0.45">
      <c r="A1034" s="12" t="s">
        <v>676</v>
      </c>
      <c r="B1034" s="12" t="s">
        <v>1971</v>
      </c>
      <c r="C1034" s="12" t="s">
        <v>1977</v>
      </c>
      <c r="D1034" s="12" t="s">
        <v>1974</v>
      </c>
      <c r="E1034" s="20">
        <v>33072</v>
      </c>
      <c r="F1034" s="20">
        <v>44162</v>
      </c>
      <c r="G1034" s="12">
        <v>29.52</v>
      </c>
      <c r="H1034" s="12">
        <v>13.3</v>
      </c>
      <c r="I1034" s="13">
        <v>2.2195488721804502</v>
      </c>
      <c r="J1034" s="12" t="s">
        <v>676</v>
      </c>
      <c r="K1034" s="14">
        <v>628</v>
      </c>
      <c r="L1034" s="14">
        <v>652</v>
      </c>
      <c r="M1034" s="14">
        <v>571</v>
      </c>
      <c r="N1034" s="12">
        <v>29.52</v>
      </c>
      <c r="O1034" s="12" t="s">
        <v>676</v>
      </c>
      <c r="P1034" s="12">
        <v>4.7486909731438397E-3</v>
      </c>
      <c r="Q1034" s="12">
        <v>1.01067761992433E-2</v>
      </c>
      <c r="R1034" s="12">
        <v>0.20110887096774199</v>
      </c>
      <c r="S1034" s="14">
        <v>32</v>
      </c>
      <c r="T1034" s="12">
        <v>0.80974942394560101</v>
      </c>
      <c r="U1034" s="14">
        <v>663</v>
      </c>
      <c r="V1034" s="14">
        <v>10</v>
      </c>
      <c r="W1034" s="12">
        <v>6.4000000000000003E-3</v>
      </c>
      <c r="X1034" s="12">
        <v>0.81614942394560097</v>
      </c>
      <c r="Y1034" s="14">
        <v>663</v>
      </c>
      <c r="Z1034" s="14">
        <v>31</v>
      </c>
      <c r="AA1034" s="12" t="s">
        <v>2367</v>
      </c>
    </row>
    <row r="1035" spans="1:27" ht="14.25" x14ac:dyDescent="0.45">
      <c r="A1035" s="12" t="s">
        <v>692</v>
      </c>
      <c r="B1035" s="12" t="s">
        <v>1971</v>
      </c>
      <c r="C1035" s="12" t="s">
        <v>1977</v>
      </c>
      <c r="D1035" s="12" t="s">
        <v>2020</v>
      </c>
      <c r="E1035" s="20">
        <v>32698</v>
      </c>
      <c r="F1035" s="20">
        <v>44088</v>
      </c>
      <c r="G1035" s="12">
        <v>66.67</v>
      </c>
      <c r="H1035" s="12">
        <v>15.766666666666699</v>
      </c>
      <c r="I1035" s="13">
        <v>4.2285412262156399</v>
      </c>
      <c r="J1035" s="12" t="s">
        <v>692</v>
      </c>
      <c r="K1035" s="14">
        <v>488</v>
      </c>
      <c r="L1035" s="14">
        <v>487</v>
      </c>
      <c r="M1035" s="14">
        <v>433</v>
      </c>
      <c r="N1035" s="12">
        <v>66.67</v>
      </c>
      <c r="O1035" s="12" t="s">
        <v>692</v>
      </c>
      <c r="P1035" s="12">
        <v>1.07247705684112E-2</v>
      </c>
      <c r="Q1035" s="12">
        <v>1.9254777562366199E-2</v>
      </c>
      <c r="R1035" s="12">
        <v>0.23840725806451599</v>
      </c>
      <c r="S1035" s="14">
        <v>33</v>
      </c>
      <c r="T1035" s="12">
        <v>1.60560249396331</v>
      </c>
      <c r="U1035" s="14">
        <v>475</v>
      </c>
      <c r="V1035" s="14">
        <v>15</v>
      </c>
      <c r="W1035" s="12">
        <v>6.7999999999999996E-3</v>
      </c>
      <c r="X1035" s="12">
        <v>1.6124024939633099</v>
      </c>
      <c r="Y1035" s="14">
        <v>475</v>
      </c>
      <c r="Z1035" s="14">
        <v>33</v>
      </c>
      <c r="AA1035" s="12" t="s">
        <v>2367</v>
      </c>
    </row>
    <row r="1036" spans="1:27" ht="14.25" x14ac:dyDescent="0.45">
      <c r="A1036" s="12" t="s">
        <v>698</v>
      </c>
      <c r="B1036" s="12" t="s">
        <v>1971</v>
      </c>
      <c r="C1036" s="12" t="s">
        <v>1977</v>
      </c>
      <c r="D1036" s="12" t="s">
        <v>1978</v>
      </c>
      <c r="E1036" s="20">
        <v>33276</v>
      </c>
      <c r="F1036" s="20">
        <v>44186</v>
      </c>
      <c r="G1036" s="12">
        <v>0.11</v>
      </c>
      <c r="H1036" s="12">
        <v>12.5</v>
      </c>
      <c r="I1036" s="13">
        <v>8.8000000000000005E-3</v>
      </c>
      <c r="J1036" s="12" t="s">
        <v>698</v>
      </c>
      <c r="K1036" s="14">
        <v>1753</v>
      </c>
      <c r="L1036" s="14">
        <v>723</v>
      </c>
      <c r="M1036" s="14">
        <v>1826</v>
      </c>
      <c r="N1036" s="12">
        <v>0.11</v>
      </c>
      <c r="O1036" s="12" t="s">
        <v>698</v>
      </c>
      <c r="P1036" s="12">
        <v>1.7694986688544098E-5</v>
      </c>
      <c r="Q1036" s="12">
        <v>4.0071039510821098E-5</v>
      </c>
      <c r="R1036" s="12">
        <v>0.18901209677419401</v>
      </c>
      <c r="S1036" s="14">
        <v>31</v>
      </c>
      <c r="T1036" s="12">
        <v>3.1680019702467199E-3</v>
      </c>
      <c r="U1036" s="14">
        <v>1852</v>
      </c>
      <c r="V1036" s="14">
        <v>1</v>
      </c>
      <c r="W1036" s="12">
        <v>5.4999999999999997E-3</v>
      </c>
      <c r="X1036" s="12">
        <v>8.6680019702467196E-3</v>
      </c>
      <c r="Y1036" s="14">
        <v>1852</v>
      </c>
      <c r="Z1036" s="14">
        <v>31</v>
      </c>
      <c r="AA1036" s="12" t="s">
        <v>2367</v>
      </c>
    </row>
    <row r="1037" spans="1:27" ht="14.25" x14ac:dyDescent="0.45">
      <c r="A1037" s="12" t="s">
        <v>699</v>
      </c>
      <c r="B1037" s="12" t="s">
        <v>1971</v>
      </c>
      <c r="C1037" s="12" t="s">
        <v>1977</v>
      </c>
      <c r="D1037" s="12" t="s">
        <v>1974</v>
      </c>
      <c r="E1037" s="20">
        <v>32650</v>
      </c>
      <c r="F1037" s="20">
        <v>44267</v>
      </c>
      <c r="G1037" s="12">
        <v>2.11</v>
      </c>
      <c r="H1037" s="12">
        <v>9.8000000000000007</v>
      </c>
      <c r="I1037" s="13">
        <v>0.21530612244898001</v>
      </c>
      <c r="J1037" s="12" t="s">
        <v>699</v>
      </c>
      <c r="K1037" s="14">
        <v>1328</v>
      </c>
      <c r="L1037" s="14">
        <v>989</v>
      </c>
      <c r="M1037" s="14">
        <v>1338</v>
      </c>
      <c r="N1037" s="12">
        <v>2.11</v>
      </c>
      <c r="O1037" s="12" t="s">
        <v>699</v>
      </c>
      <c r="P1037" s="12">
        <v>3.3942201738934602E-4</v>
      </c>
      <c r="Q1037" s="12">
        <v>9.8040228858803889E-4</v>
      </c>
      <c r="R1037" s="12">
        <v>0.148185483870968</v>
      </c>
      <c r="S1037" s="14">
        <v>33</v>
      </c>
      <c r="T1037" s="12">
        <v>7.4003468688852894E-2</v>
      </c>
      <c r="U1037" s="14">
        <v>1414</v>
      </c>
      <c r="V1037" s="14">
        <v>2</v>
      </c>
      <c r="W1037" s="12">
        <v>5.5999999999999999E-3</v>
      </c>
      <c r="X1037" s="12">
        <v>7.9603468688852902E-2</v>
      </c>
      <c r="Y1037" s="14">
        <v>1414</v>
      </c>
      <c r="Z1037" s="14">
        <v>33</v>
      </c>
      <c r="AA1037" s="12" t="s">
        <v>2367</v>
      </c>
    </row>
    <row r="1038" spans="1:27" ht="14.25" x14ac:dyDescent="0.45">
      <c r="A1038" s="12" t="s">
        <v>797</v>
      </c>
      <c r="B1038" s="12" t="s">
        <v>1971</v>
      </c>
      <c r="C1038" s="12" t="s">
        <v>1977</v>
      </c>
      <c r="D1038" s="12" t="s">
        <v>1974</v>
      </c>
      <c r="E1038" s="20">
        <v>33133</v>
      </c>
      <c r="F1038" s="20">
        <v>44263</v>
      </c>
      <c r="G1038" s="12">
        <v>8.35</v>
      </c>
      <c r="H1038" s="12">
        <v>9.93333333333333</v>
      </c>
      <c r="I1038" s="13">
        <v>0.84060402684563795</v>
      </c>
      <c r="J1038" s="12" t="s">
        <v>797</v>
      </c>
      <c r="K1038" s="14">
        <v>877</v>
      </c>
      <c r="L1038" s="14">
        <v>962</v>
      </c>
      <c r="M1038" s="14">
        <v>883</v>
      </c>
      <c r="N1038" s="12">
        <v>8.35</v>
      </c>
      <c r="O1038" s="12" t="s">
        <v>797</v>
      </c>
      <c r="P1038" s="12">
        <v>1.34321035317585E-3</v>
      </c>
      <c r="Q1038" s="12">
        <v>3.82771331507805E-3</v>
      </c>
      <c r="R1038" s="12">
        <v>0.15020161290322601</v>
      </c>
      <c r="S1038" s="14">
        <v>32</v>
      </c>
      <c r="T1038" s="12">
        <v>0.28960247043647203</v>
      </c>
      <c r="U1038" s="14">
        <v>930</v>
      </c>
      <c r="V1038" s="14">
        <v>2</v>
      </c>
      <c r="W1038" s="12">
        <v>5.5999999999999999E-3</v>
      </c>
      <c r="X1038" s="12">
        <v>0.29520247043647202</v>
      </c>
      <c r="Y1038" s="14">
        <v>930</v>
      </c>
      <c r="Z1038" s="14">
        <v>31</v>
      </c>
      <c r="AA1038" s="12" t="s">
        <v>2367</v>
      </c>
    </row>
    <row r="1039" spans="1:27" ht="14.25" x14ac:dyDescent="0.45">
      <c r="A1039" s="12" t="s">
        <v>819</v>
      </c>
      <c r="B1039" s="12" t="s">
        <v>1971</v>
      </c>
      <c r="C1039" s="12" t="s">
        <v>1977</v>
      </c>
      <c r="D1039" s="12" t="s">
        <v>2072</v>
      </c>
      <c r="E1039" s="20">
        <v>32563</v>
      </c>
      <c r="F1039" s="20">
        <v>44273</v>
      </c>
      <c r="G1039" s="12">
        <v>0.62</v>
      </c>
      <c r="H1039" s="12">
        <v>9.6</v>
      </c>
      <c r="I1039" s="13">
        <v>6.4583333333333298E-2</v>
      </c>
      <c r="J1039" s="12" t="s">
        <v>819</v>
      </c>
      <c r="K1039" s="14">
        <v>1574</v>
      </c>
      <c r="L1039" s="14">
        <v>1029</v>
      </c>
      <c r="M1039" s="14">
        <v>1653</v>
      </c>
      <c r="N1039" s="12">
        <v>0.62</v>
      </c>
      <c r="O1039" s="12" t="s">
        <v>819</v>
      </c>
      <c r="P1039" s="12">
        <v>9.9735379517248594E-5</v>
      </c>
      <c r="Q1039" s="12">
        <v>2.94081966106878E-4</v>
      </c>
      <c r="R1039" s="12">
        <v>0.14516129032258099</v>
      </c>
      <c r="S1039" s="14">
        <v>33</v>
      </c>
      <c r="T1039" s="12">
        <v>2.21201996135767E-2</v>
      </c>
      <c r="U1039" s="14">
        <v>1676</v>
      </c>
      <c r="V1039" s="14">
        <v>1</v>
      </c>
      <c r="W1039" s="12">
        <v>5.4999999999999997E-3</v>
      </c>
      <c r="X1039" s="12">
        <v>2.7620199613576701E-2</v>
      </c>
      <c r="Y1039" s="14">
        <v>1676</v>
      </c>
      <c r="Z1039" s="14">
        <v>33</v>
      </c>
      <c r="AA1039" s="12" t="s">
        <v>2367</v>
      </c>
    </row>
    <row r="1040" spans="1:27" ht="14.25" x14ac:dyDescent="0.45">
      <c r="A1040" s="12" t="s">
        <v>833</v>
      </c>
      <c r="B1040" s="12" t="s">
        <v>1971</v>
      </c>
      <c r="C1040" s="12" t="s">
        <v>1977</v>
      </c>
      <c r="D1040" s="12" t="s">
        <v>1974</v>
      </c>
      <c r="E1040" s="20">
        <v>34258</v>
      </c>
      <c r="F1040" s="20">
        <v>44271</v>
      </c>
      <c r="G1040" s="12">
        <v>85.72</v>
      </c>
      <c r="H1040" s="12">
        <v>9.6666666666666696</v>
      </c>
      <c r="I1040" s="13">
        <v>8.8675862068965507</v>
      </c>
      <c r="J1040" s="12" t="s">
        <v>833</v>
      </c>
      <c r="K1040" s="14">
        <v>326</v>
      </c>
      <c r="L1040" s="14">
        <v>1004</v>
      </c>
      <c r="M1040" s="14">
        <v>401</v>
      </c>
      <c r="N1040" s="12">
        <v>85.72</v>
      </c>
      <c r="O1040" s="12" t="s">
        <v>833</v>
      </c>
      <c r="P1040" s="12">
        <v>1.3789220535836399E-2</v>
      </c>
      <c r="Q1040" s="12">
        <v>4.0378795143427702E-2</v>
      </c>
      <c r="R1040" s="12">
        <v>0.14616935483870999</v>
      </c>
      <c r="S1040" s="14">
        <v>29</v>
      </c>
      <c r="T1040" s="12">
        <v>3.0407704665580901</v>
      </c>
      <c r="U1040" s="14">
        <v>372</v>
      </c>
      <c r="V1040" s="14">
        <v>3</v>
      </c>
      <c r="W1040" s="12">
        <v>5.7000000000000002E-3</v>
      </c>
      <c r="X1040" s="12">
        <v>3.0464704665580902</v>
      </c>
      <c r="Y1040" s="14">
        <v>372</v>
      </c>
      <c r="Z1040" s="14">
        <v>28</v>
      </c>
      <c r="AA1040" s="12" t="s">
        <v>2367</v>
      </c>
    </row>
    <row r="1041" spans="1:27" ht="14.25" x14ac:dyDescent="0.45">
      <c r="A1041" s="12" t="s">
        <v>844</v>
      </c>
      <c r="B1041" s="12" t="s">
        <v>1971</v>
      </c>
      <c r="C1041" s="12" t="s">
        <v>1977</v>
      </c>
      <c r="D1041" s="12" t="s">
        <v>1993</v>
      </c>
      <c r="E1041" s="20">
        <v>33795</v>
      </c>
      <c r="F1041" s="20">
        <v>44277</v>
      </c>
      <c r="G1041" s="12">
        <v>2</v>
      </c>
      <c r="H1041" s="12">
        <v>9.4666666666666703</v>
      </c>
      <c r="I1041" s="13">
        <v>0.21126760563380301</v>
      </c>
      <c r="J1041" s="12" t="s">
        <v>844</v>
      </c>
      <c r="K1041" s="14">
        <v>1333</v>
      </c>
      <c r="L1041" s="14">
        <v>1046</v>
      </c>
      <c r="M1041" s="14">
        <v>1359</v>
      </c>
      <c r="N1041" s="12">
        <v>2</v>
      </c>
      <c r="O1041" s="12" t="s">
        <v>844</v>
      </c>
      <c r="P1041" s="12">
        <v>3.2172703070080199E-4</v>
      </c>
      <c r="Q1041" s="12">
        <v>9.62012792353259E-4</v>
      </c>
      <c r="R1041" s="12">
        <v>0.14314516129032301</v>
      </c>
      <c r="S1041" s="14">
        <v>30</v>
      </c>
      <c r="T1041" s="12">
        <v>7.2190563173358702E-2</v>
      </c>
      <c r="U1041" s="14">
        <v>1430</v>
      </c>
      <c r="V1041" s="14">
        <v>1</v>
      </c>
      <c r="W1041" s="12">
        <v>5.4999999999999997E-3</v>
      </c>
      <c r="X1041" s="12">
        <v>7.7690563173358707E-2</v>
      </c>
      <c r="Y1041" s="14">
        <v>1430</v>
      </c>
      <c r="Z1041" s="14">
        <v>30</v>
      </c>
      <c r="AA1041" s="12" t="s">
        <v>2367</v>
      </c>
    </row>
    <row r="1042" spans="1:27" ht="14.25" x14ac:dyDescent="0.45">
      <c r="A1042" s="12" t="s">
        <v>856</v>
      </c>
      <c r="B1042" s="12" t="s">
        <v>1971</v>
      </c>
      <c r="C1042" s="12" t="s">
        <v>1977</v>
      </c>
      <c r="D1042" s="12" t="s">
        <v>1978</v>
      </c>
      <c r="E1042" s="20">
        <v>32536</v>
      </c>
      <c r="F1042" s="20">
        <v>44273</v>
      </c>
      <c r="G1042" s="12">
        <v>5.71</v>
      </c>
      <c r="H1042" s="12">
        <v>9.6</v>
      </c>
      <c r="I1042" s="13">
        <v>0.59479166666666705</v>
      </c>
      <c r="J1042" s="12" t="s">
        <v>856</v>
      </c>
      <c r="K1042" s="14">
        <v>999</v>
      </c>
      <c r="L1042" s="14">
        <v>1029</v>
      </c>
      <c r="M1042" s="14">
        <v>988</v>
      </c>
      <c r="N1042" s="12">
        <v>5.71</v>
      </c>
      <c r="O1042" s="12" t="s">
        <v>856</v>
      </c>
      <c r="P1042" s="12">
        <v>9.1853067265078899E-4</v>
      </c>
      <c r="Q1042" s="12">
        <v>2.70840004269399E-3</v>
      </c>
      <c r="R1042" s="12">
        <v>0.14516129032258099</v>
      </c>
      <c r="S1042" s="14">
        <v>33</v>
      </c>
      <c r="T1042" s="12">
        <v>0.203719902892779</v>
      </c>
      <c r="U1042" s="14">
        <v>1039</v>
      </c>
      <c r="V1042" s="14">
        <v>2</v>
      </c>
      <c r="W1042" s="12">
        <v>5.5999999999999999E-3</v>
      </c>
      <c r="X1042" s="12">
        <v>0.20931990289277899</v>
      </c>
      <c r="Y1042" s="14">
        <v>1039</v>
      </c>
      <c r="Z1042" s="14">
        <v>33</v>
      </c>
      <c r="AA1042" s="12" t="s">
        <v>2367</v>
      </c>
    </row>
    <row r="1043" spans="1:27" ht="14.25" x14ac:dyDescent="0.45">
      <c r="A1043" s="12" t="s">
        <v>871</v>
      </c>
      <c r="B1043" s="12" t="s">
        <v>1971</v>
      </c>
      <c r="C1043" s="12" t="s">
        <v>1977</v>
      </c>
      <c r="D1043" s="12" t="s">
        <v>1993</v>
      </c>
      <c r="E1043" s="20">
        <v>33373</v>
      </c>
      <c r="F1043" s="20">
        <v>44280</v>
      </c>
      <c r="G1043" s="12">
        <v>2.58</v>
      </c>
      <c r="H1043" s="12">
        <v>9.3666666666666707</v>
      </c>
      <c r="I1043" s="13">
        <v>0.275444839857651</v>
      </c>
      <c r="J1043" s="12" t="s">
        <v>871</v>
      </c>
      <c r="K1043" s="14">
        <v>1245</v>
      </c>
      <c r="L1043" s="14">
        <v>1063</v>
      </c>
      <c r="M1043" s="14">
        <v>1266</v>
      </c>
      <c r="N1043" s="12">
        <v>2.58</v>
      </c>
      <c r="O1043" s="12" t="s">
        <v>871</v>
      </c>
      <c r="P1043" s="12">
        <v>4.1502786960403401E-4</v>
      </c>
      <c r="Q1043" s="12">
        <v>1.2542455751122399E-3</v>
      </c>
      <c r="R1043" s="12">
        <v>0.141633064516129</v>
      </c>
      <c r="S1043" s="14">
        <v>31</v>
      </c>
      <c r="T1043" s="12">
        <v>9.3953893554666407E-2</v>
      </c>
      <c r="U1043" s="14">
        <v>1306</v>
      </c>
      <c r="V1043" s="14">
        <v>2</v>
      </c>
      <c r="W1043" s="12">
        <v>5.5999999999999999E-3</v>
      </c>
      <c r="X1043" s="12">
        <v>9.9553893554666401E-2</v>
      </c>
      <c r="Y1043" s="14">
        <v>1306</v>
      </c>
      <c r="Z1043" s="14">
        <v>31</v>
      </c>
      <c r="AA1043" s="12" t="s">
        <v>2367</v>
      </c>
    </row>
    <row r="1044" spans="1:27" ht="14.25" x14ac:dyDescent="0.45">
      <c r="A1044" s="12" t="s">
        <v>876</v>
      </c>
      <c r="B1044" s="12" t="s">
        <v>1971</v>
      </c>
      <c r="C1044" s="12" t="s">
        <v>1977</v>
      </c>
      <c r="D1044" s="12" t="s">
        <v>1990</v>
      </c>
      <c r="E1044" s="20">
        <v>33273</v>
      </c>
      <c r="F1044" s="20">
        <v>44285</v>
      </c>
      <c r="G1044" s="12">
        <v>0.18</v>
      </c>
      <c r="H1044" s="12">
        <v>9.1999999999999993</v>
      </c>
      <c r="I1044" s="13">
        <v>1.9565217391304301E-2</v>
      </c>
      <c r="J1044" s="12" t="s">
        <v>876</v>
      </c>
      <c r="K1044" s="14">
        <v>1689</v>
      </c>
      <c r="L1044" s="14">
        <v>1105</v>
      </c>
      <c r="M1044" s="14">
        <v>1788</v>
      </c>
      <c r="N1044" s="12">
        <v>0.18</v>
      </c>
      <c r="O1044" s="12" t="s">
        <v>876</v>
      </c>
      <c r="P1044" s="12">
        <v>2.89554327630722E-5</v>
      </c>
      <c r="Q1044" s="12">
        <v>8.9090749900540904E-5</v>
      </c>
      <c r="R1044" s="12">
        <v>0.13911290322580599</v>
      </c>
      <c r="S1044" s="14">
        <v>31</v>
      </c>
      <c r="T1044" s="12">
        <v>6.6540005973990098E-3</v>
      </c>
      <c r="U1044" s="14">
        <v>1795</v>
      </c>
      <c r="V1044" s="14">
        <v>1</v>
      </c>
      <c r="W1044" s="12">
        <v>5.4999999999999997E-3</v>
      </c>
      <c r="X1044" s="12">
        <v>1.2154000597399E-2</v>
      </c>
      <c r="Y1044" s="14">
        <v>1796</v>
      </c>
      <c r="Z1044" s="14">
        <v>31</v>
      </c>
      <c r="AA1044" s="12" t="s">
        <v>2367</v>
      </c>
    </row>
    <row r="1045" spans="1:27" ht="14.25" x14ac:dyDescent="0.45">
      <c r="A1045" s="12" t="s">
        <v>879</v>
      </c>
      <c r="B1045" s="12" t="s">
        <v>1971</v>
      </c>
      <c r="C1045" s="12" t="s">
        <v>1977</v>
      </c>
      <c r="D1045" s="12" t="s">
        <v>1973</v>
      </c>
      <c r="E1045" s="20">
        <v>34650</v>
      </c>
      <c r="F1045" s="20">
        <v>44280</v>
      </c>
      <c r="G1045" s="12">
        <v>2</v>
      </c>
      <c r="H1045" s="12">
        <v>9.3666666666666707</v>
      </c>
      <c r="I1045" s="13">
        <v>0.21352313167259801</v>
      </c>
      <c r="J1045" s="12" t="s">
        <v>879</v>
      </c>
      <c r="K1045" s="14">
        <v>1330</v>
      </c>
      <c r="L1045" s="14">
        <v>1063</v>
      </c>
      <c r="M1045" s="14">
        <v>1359</v>
      </c>
      <c r="N1045" s="12">
        <v>2</v>
      </c>
      <c r="O1045" s="12" t="s">
        <v>879</v>
      </c>
      <c r="P1045" s="12">
        <v>3.2172703070080199E-4</v>
      </c>
      <c r="Q1045" s="12">
        <v>9.7228339155987697E-4</v>
      </c>
      <c r="R1045" s="12">
        <v>0.141633064516129</v>
      </c>
      <c r="S1045" s="14">
        <v>28</v>
      </c>
      <c r="T1045" s="12">
        <v>7.2832475623772402E-2</v>
      </c>
      <c r="U1045" s="14">
        <v>1424</v>
      </c>
      <c r="V1045" s="14">
        <v>1</v>
      </c>
      <c r="W1045" s="12">
        <v>5.4999999999999997E-3</v>
      </c>
      <c r="X1045" s="12">
        <v>7.8332475623772393E-2</v>
      </c>
      <c r="Y1045" s="14">
        <v>1424</v>
      </c>
      <c r="Z1045" s="14">
        <v>27</v>
      </c>
      <c r="AA1045" s="12" t="s">
        <v>2367</v>
      </c>
    </row>
    <row r="1046" spans="1:27" ht="14.25" x14ac:dyDescent="0.45">
      <c r="A1046" s="12" t="s">
        <v>893</v>
      </c>
      <c r="B1046" s="12" t="s">
        <v>1971</v>
      </c>
      <c r="C1046" s="12" t="s">
        <v>1977</v>
      </c>
      <c r="D1046" s="12" t="s">
        <v>1974</v>
      </c>
      <c r="E1046" s="20">
        <v>33626</v>
      </c>
      <c r="F1046" s="20">
        <v>44293</v>
      </c>
      <c r="G1046" s="12">
        <v>38.299999999999997</v>
      </c>
      <c r="H1046" s="12">
        <v>8.93333333333333</v>
      </c>
      <c r="I1046" s="13">
        <v>4.2873134328358198</v>
      </c>
      <c r="J1046" s="12" t="s">
        <v>893</v>
      </c>
      <c r="K1046" s="14">
        <v>484</v>
      </c>
      <c r="L1046" s="14">
        <v>1151</v>
      </c>
      <c r="M1046" s="14">
        <v>531</v>
      </c>
      <c r="N1046" s="12">
        <v>38.299999999999997</v>
      </c>
      <c r="O1046" s="12" t="s">
        <v>893</v>
      </c>
      <c r="P1046" s="12">
        <v>6.1610726379203503E-3</v>
      </c>
      <c r="Q1046" s="12">
        <v>1.9522398404822498E-2</v>
      </c>
      <c r="R1046" s="12">
        <v>0.13508064516129001</v>
      </c>
      <c r="S1046" s="14">
        <v>30</v>
      </c>
      <c r="T1046" s="12">
        <v>1.45119012422342</v>
      </c>
      <c r="U1046" s="14">
        <v>499</v>
      </c>
      <c r="V1046" s="14">
        <v>3</v>
      </c>
      <c r="W1046" s="12">
        <v>5.7000000000000002E-3</v>
      </c>
      <c r="X1046" s="12">
        <v>1.45689012422342</v>
      </c>
      <c r="Y1046" s="14">
        <v>499</v>
      </c>
      <c r="Z1046" s="14">
        <v>30</v>
      </c>
      <c r="AA1046" s="12" t="s">
        <v>2367</v>
      </c>
    </row>
    <row r="1047" spans="1:27" ht="14.25" x14ac:dyDescent="0.45">
      <c r="A1047" s="12" t="s">
        <v>920</v>
      </c>
      <c r="B1047" s="12" t="s">
        <v>1971</v>
      </c>
      <c r="C1047" s="12" t="s">
        <v>1977</v>
      </c>
      <c r="D1047" s="12" t="s">
        <v>1974</v>
      </c>
      <c r="E1047" s="20">
        <v>34569</v>
      </c>
      <c r="F1047" s="20">
        <v>43768</v>
      </c>
      <c r="G1047" s="12">
        <v>3.28</v>
      </c>
      <c r="H1047" s="12">
        <v>26.433333333333302</v>
      </c>
      <c r="I1047" s="13">
        <v>0.12408575031525899</v>
      </c>
      <c r="J1047" s="12" t="s">
        <v>920</v>
      </c>
      <c r="K1047" s="14">
        <v>1449</v>
      </c>
      <c r="L1047" s="14">
        <v>351</v>
      </c>
      <c r="M1047" s="14">
        <v>1195</v>
      </c>
      <c r="N1047" s="12">
        <v>3.28</v>
      </c>
      <c r="O1047" s="12" t="s">
        <v>920</v>
      </c>
      <c r="P1047" s="12">
        <v>5.2763233034931495E-4</v>
      </c>
      <c r="Q1047" s="12">
        <v>5.6502784131961397E-4</v>
      </c>
      <c r="R1047" s="12">
        <v>0.39969758064516098</v>
      </c>
      <c r="S1047" s="14">
        <v>28</v>
      </c>
      <c r="T1047" s="12">
        <v>5.5100452470575198E-2</v>
      </c>
      <c r="U1047" s="14">
        <v>1497</v>
      </c>
      <c r="V1047" s="14">
        <v>1</v>
      </c>
      <c r="W1047" s="12">
        <v>5.4999999999999997E-3</v>
      </c>
      <c r="X1047" s="12">
        <v>6.0600452470575203E-2</v>
      </c>
      <c r="Y1047" s="14">
        <v>1498</v>
      </c>
      <c r="Z1047" s="14">
        <v>27</v>
      </c>
      <c r="AA1047" s="12" t="s">
        <v>2367</v>
      </c>
    </row>
    <row r="1048" spans="1:27" ht="14.25" x14ac:dyDescent="0.45">
      <c r="A1048" s="12" t="s">
        <v>945</v>
      </c>
      <c r="B1048" s="12" t="s">
        <v>1971</v>
      </c>
      <c r="C1048" s="12" t="s">
        <v>1977</v>
      </c>
      <c r="D1048" s="12" t="s">
        <v>1974</v>
      </c>
      <c r="E1048" s="20">
        <v>34525</v>
      </c>
      <c r="F1048" s="20">
        <v>43736</v>
      </c>
      <c r="G1048" s="12">
        <v>2</v>
      </c>
      <c r="H1048" s="12">
        <v>27.5</v>
      </c>
      <c r="I1048" s="13">
        <v>7.2727272727272696E-2</v>
      </c>
      <c r="J1048" s="12" t="s">
        <v>945</v>
      </c>
      <c r="K1048" s="14">
        <v>1557</v>
      </c>
      <c r="L1048" s="14">
        <v>298</v>
      </c>
      <c r="M1048" s="14">
        <v>1359</v>
      </c>
      <c r="N1048" s="12">
        <v>2</v>
      </c>
      <c r="O1048" s="12" t="s">
        <v>945</v>
      </c>
      <c r="P1048" s="12">
        <v>3.2172703070080199E-4</v>
      </c>
      <c r="Q1048" s="12">
        <v>3.3116561579191E-4</v>
      </c>
      <c r="R1048" s="12">
        <v>0.41582661290322598</v>
      </c>
      <c r="S1048" s="14">
        <v>28</v>
      </c>
      <c r="T1048" s="12">
        <v>3.2762614638274401E-2</v>
      </c>
      <c r="U1048" s="14">
        <v>1605</v>
      </c>
      <c r="V1048" s="14">
        <v>1</v>
      </c>
      <c r="W1048" s="12">
        <v>5.4999999999999997E-3</v>
      </c>
      <c r="X1048" s="12">
        <v>3.8262614638274399E-2</v>
      </c>
      <c r="Y1048" s="14">
        <v>1605</v>
      </c>
      <c r="Z1048" s="14">
        <v>28</v>
      </c>
      <c r="AA1048" s="12" t="s">
        <v>2367</v>
      </c>
    </row>
    <row r="1049" spans="1:27" ht="14.25" x14ac:dyDescent="0.45">
      <c r="A1049" s="12" t="s">
        <v>961</v>
      </c>
      <c r="B1049" s="12" t="s">
        <v>1971</v>
      </c>
      <c r="C1049" s="12" t="s">
        <v>1977</v>
      </c>
      <c r="D1049" s="12" t="s">
        <v>1974</v>
      </c>
      <c r="E1049" s="20">
        <v>33131</v>
      </c>
      <c r="F1049" s="20">
        <v>44113</v>
      </c>
      <c r="G1049" s="12">
        <v>53.68</v>
      </c>
      <c r="H1049" s="12">
        <v>14.9333333333333</v>
      </c>
      <c r="I1049" s="13">
        <v>3.5946428571428601</v>
      </c>
      <c r="J1049" s="12" t="s">
        <v>961</v>
      </c>
      <c r="K1049" s="14">
        <v>514</v>
      </c>
      <c r="L1049" s="14">
        <v>528</v>
      </c>
      <c r="M1049" s="14">
        <v>471</v>
      </c>
      <c r="N1049" s="12">
        <v>53.68</v>
      </c>
      <c r="O1049" s="12" t="s">
        <v>961</v>
      </c>
      <c r="P1049" s="12">
        <v>8.6351535040095195E-3</v>
      </c>
      <c r="Q1049" s="12">
        <v>1.63683040858934E-2</v>
      </c>
      <c r="R1049" s="12">
        <v>0.225806451612903</v>
      </c>
      <c r="S1049" s="14">
        <v>32</v>
      </c>
      <c r="T1049" s="12">
        <v>1.3468372617686999</v>
      </c>
      <c r="U1049" s="14">
        <v>522</v>
      </c>
      <c r="V1049" s="14">
        <v>8</v>
      </c>
      <c r="W1049" s="12">
        <v>6.1999999999999998E-3</v>
      </c>
      <c r="X1049" s="12">
        <v>1.3530372617687001</v>
      </c>
      <c r="Y1049" s="14">
        <v>521</v>
      </c>
      <c r="Z1049" s="14">
        <v>31</v>
      </c>
      <c r="AA1049" s="12" t="s">
        <v>2367</v>
      </c>
    </row>
    <row r="1050" spans="1:27" ht="14.25" x14ac:dyDescent="0.45">
      <c r="A1050" s="12" t="s">
        <v>970</v>
      </c>
      <c r="B1050" s="12" t="s">
        <v>1971</v>
      </c>
      <c r="C1050" s="12" t="s">
        <v>1977</v>
      </c>
      <c r="D1050" s="12" t="s">
        <v>1975</v>
      </c>
      <c r="E1050" s="20">
        <v>35605</v>
      </c>
      <c r="F1050" s="20">
        <v>44285</v>
      </c>
      <c r="G1050" s="12">
        <v>2.04</v>
      </c>
      <c r="H1050" s="12">
        <v>9.1999999999999993</v>
      </c>
      <c r="I1050" s="13">
        <v>0.22173913043478299</v>
      </c>
      <c r="J1050" s="12" t="s">
        <v>970</v>
      </c>
      <c r="K1050" s="14">
        <v>1318</v>
      </c>
      <c r="L1050" s="14">
        <v>1105</v>
      </c>
      <c r="M1050" s="14">
        <v>1353</v>
      </c>
      <c r="N1050" s="12">
        <v>2.04</v>
      </c>
      <c r="O1050" s="12" t="s">
        <v>970</v>
      </c>
      <c r="P1050" s="12">
        <v>3.2816157131481798E-4</v>
      </c>
      <c r="Q1050" s="12">
        <v>1.0096951655394601E-3</v>
      </c>
      <c r="R1050" s="12">
        <v>0.13911290322580599</v>
      </c>
      <c r="S1050" s="14">
        <v>25</v>
      </c>
      <c r="T1050" s="12">
        <v>7.5412006770522205E-2</v>
      </c>
      <c r="U1050" s="14">
        <v>1398</v>
      </c>
      <c r="V1050" s="14">
        <v>2</v>
      </c>
      <c r="W1050" s="12">
        <v>5.5999999999999999E-3</v>
      </c>
      <c r="X1050" s="12">
        <v>8.1012006770522199E-2</v>
      </c>
      <c r="Y1050" s="14">
        <v>1398</v>
      </c>
      <c r="Z1050" s="14">
        <v>25</v>
      </c>
      <c r="AA1050" s="12" t="s">
        <v>2367</v>
      </c>
    </row>
    <row r="1051" spans="1:27" ht="14.25" x14ac:dyDescent="0.45">
      <c r="A1051" s="12" t="s">
        <v>1011</v>
      </c>
      <c r="B1051" s="12" t="s">
        <v>1971</v>
      </c>
      <c r="C1051" s="12" t="s">
        <v>1977</v>
      </c>
      <c r="D1051" s="12" t="s">
        <v>1974</v>
      </c>
      <c r="E1051" s="20">
        <v>32413</v>
      </c>
      <c r="F1051" s="20">
        <v>44313</v>
      </c>
      <c r="G1051" s="12">
        <v>5.84</v>
      </c>
      <c r="H1051" s="12">
        <v>8.2666666666666693</v>
      </c>
      <c r="I1051" s="13">
        <v>0.706451612903226</v>
      </c>
      <c r="J1051" s="12" t="s">
        <v>1011</v>
      </c>
      <c r="K1051" s="14">
        <v>932</v>
      </c>
      <c r="L1051" s="14">
        <v>1231</v>
      </c>
      <c r="M1051" s="14">
        <v>978</v>
      </c>
      <c r="N1051" s="12">
        <v>5.84</v>
      </c>
      <c r="O1051" s="12" t="s">
        <v>1011</v>
      </c>
      <c r="P1051" s="12">
        <v>9.39442929646341E-4</v>
      </c>
      <c r="Q1051" s="12">
        <v>3.2168466469464098E-3</v>
      </c>
      <c r="R1051" s="12">
        <v>0.125</v>
      </c>
      <c r="S1051" s="14">
        <v>34</v>
      </c>
      <c r="T1051" s="12">
        <v>0.23628202529588899</v>
      </c>
      <c r="U1051" s="14">
        <v>988</v>
      </c>
      <c r="V1051" s="14">
        <v>1</v>
      </c>
      <c r="W1051" s="12">
        <v>5.4999999999999997E-3</v>
      </c>
      <c r="X1051" s="12">
        <v>0.24178202529588899</v>
      </c>
      <c r="Y1051" s="14">
        <v>989</v>
      </c>
      <c r="Z1051" s="14">
        <v>33</v>
      </c>
      <c r="AA1051" s="12" t="s">
        <v>2367</v>
      </c>
    </row>
    <row r="1052" spans="1:27" ht="14.25" x14ac:dyDescent="0.45">
      <c r="A1052" s="12" t="s">
        <v>1030</v>
      </c>
      <c r="B1052" s="12" t="s">
        <v>1971</v>
      </c>
      <c r="C1052" s="12" t="s">
        <v>1977</v>
      </c>
      <c r="D1052" s="12" t="s">
        <v>1978</v>
      </c>
      <c r="E1052" s="20">
        <v>32850</v>
      </c>
      <c r="F1052" s="20">
        <v>44295</v>
      </c>
      <c r="G1052" s="12">
        <v>2.31</v>
      </c>
      <c r="H1052" s="12">
        <v>8.8666666666666707</v>
      </c>
      <c r="I1052" s="13">
        <v>0.26052631578947399</v>
      </c>
      <c r="J1052" s="12" t="s">
        <v>1030</v>
      </c>
      <c r="K1052" s="14">
        <v>1265</v>
      </c>
      <c r="L1052" s="14">
        <v>1156</v>
      </c>
      <c r="M1052" s="14">
        <v>1301</v>
      </c>
      <c r="N1052" s="12">
        <v>2.31</v>
      </c>
      <c r="O1052" s="12" t="s">
        <v>1030</v>
      </c>
      <c r="P1052" s="12">
        <v>3.71594720459426E-4</v>
      </c>
      <c r="Q1052" s="12">
        <v>1.1863136697282601E-3</v>
      </c>
      <c r="R1052" s="12">
        <v>0.134072580645161</v>
      </c>
      <c r="S1052" s="14">
        <v>33</v>
      </c>
      <c r="T1052" s="12">
        <v>8.8079406375244404E-2</v>
      </c>
      <c r="U1052" s="14">
        <v>1325</v>
      </c>
      <c r="V1052" s="14">
        <v>1</v>
      </c>
      <c r="W1052" s="12">
        <v>5.4999999999999997E-3</v>
      </c>
      <c r="X1052" s="12">
        <v>9.3579406375244395E-2</v>
      </c>
      <c r="Y1052" s="14">
        <v>1325</v>
      </c>
      <c r="Z1052" s="14">
        <v>32</v>
      </c>
      <c r="AA1052" s="12" t="s">
        <v>2367</v>
      </c>
    </row>
    <row r="1053" spans="1:27" ht="14.25" x14ac:dyDescent="0.45">
      <c r="A1053" s="12" t="s">
        <v>1032</v>
      </c>
      <c r="B1053" s="12" t="s">
        <v>1971</v>
      </c>
      <c r="C1053" s="12" t="s">
        <v>1977</v>
      </c>
      <c r="D1053" s="12" t="s">
        <v>1974</v>
      </c>
      <c r="E1053" s="20">
        <v>32544</v>
      </c>
      <c r="F1053" s="20">
        <v>44280</v>
      </c>
      <c r="G1053" s="12">
        <v>0.17</v>
      </c>
      <c r="H1053" s="12">
        <v>9.3666666666666707</v>
      </c>
      <c r="I1053" s="13">
        <v>1.81494661921708E-2</v>
      </c>
      <c r="J1053" s="12" t="s">
        <v>1032</v>
      </c>
      <c r="K1053" s="14">
        <v>1698</v>
      </c>
      <c r="L1053" s="14">
        <v>1063</v>
      </c>
      <c r="M1053" s="14">
        <v>1797</v>
      </c>
      <c r="N1053" s="12">
        <v>0.17</v>
      </c>
      <c r="O1053" s="12" t="s">
        <v>1032</v>
      </c>
      <c r="P1053" s="12">
        <v>2.7346797609568201E-5</v>
      </c>
      <c r="Q1053" s="12">
        <v>8.2644088282589603E-5</v>
      </c>
      <c r="R1053" s="12">
        <v>0.141633064516129</v>
      </c>
      <c r="S1053" s="14">
        <v>33</v>
      </c>
      <c r="T1053" s="12">
        <v>6.1907604280206502E-3</v>
      </c>
      <c r="U1053" s="14">
        <v>1803</v>
      </c>
      <c r="V1053" s="14">
        <v>2</v>
      </c>
      <c r="W1053" s="12">
        <v>5.5999999999999999E-3</v>
      </c>
      <c r="X1053" s="12">
        <v>1.17907604280207E-2</v>
      </c>
      <c r="Y1053" s="14">
        <v>1800</v>
      </c>
      <c r="Z1053" s="14">
        <v>33</v>
      </c>
      <c r="AA1053" s="12" t="s">
        <v>2367</v>
      </c>
    </row>
    <row r="1054" spans="1:27" ht="14.25" x14ac:dyDescent="0.45">
      <c r="A1054" s="12" t="s">
        <v>1033</v>
      </c>
      <c r="B1054" s="12" t="s">
        <v>1971</v>
      </c>
      <c r="C1054" s="12" t="s">
        <v>1977</v>
      </c>
      <c r="D1054" s="12" t="s">
        <v>1975</v>
      </c>
      <c r="E1054" s="20">
        <v>35603</v>
      </c>
      <c r="F1054" s="20">
        <v>44295</v>
      </c>
      <c r="G1054" s="12">
        <v>0.8</v>
      </c>
      <c r="H1054" s="12">
        <v>8.8666666666666707</v>
      </c>
      <c r="I1054" s="13">
        <v>9.0225563909774403E-2</v>
      </c>
      <c r="J1054" s="12" t="s">
        <v>1033</v>
      </c>
      <c r="K1054" s="14">
        <v>1521</v>
      </c>
      <c r="L1054" s="14">
        <v>1156</v>
      </c>
      <c r="M1054" s="14">
        <v>1596</v>
      </c>
      <c r="N1054" s="12">
        <v>0.8</v>
      </c>
      <c r="O1054" s="12" t="s">
        <v>1033</v>
      </c>
      <c r="P1054" s="12">
        <v>1.2869081228032101E-4</v>
      </c>
      <c r="Q1054" s="12">
        <v>4.1084456094484998E-4</v>
      </c>
      <c r="R1054" s="12">
        <v>0.134072580645161</v>
      </c>
      <c r="S1054" s="14">
        <v>25</v>
      </c>
      <c r="T1054" s="12">
        <v>3.05036905195652E-2</v>
      </c>
      <c r="U1054" s="14">
        <v>1617</v>
      </c>
      <c r="V1054" s="14">
        <v>1</v>
      </c>
      <c r="W1054" s="12">
        <v>5.4999999999999997E-3</v>
      </c>
      <c r="X1054" s="12">
        <v>3.6003690519565201E-2</v>
      </c>
      <c r="Y1054" s="14">
        <v>1617</v>
      </c>
      <c r="Z1054" s="14">
        <v>25</v>
      </c>
      <c r="AA1054" s="12" t="s">
        <v>2367</v>
      </c>
    </row>
    <row r="1055" spans="1:27" ht="14.25" x14ac:dyDescent="0.45">
      <c r="A1055" s="12" t="s">
        <v>1042</v>
      </c>
      <c r="B1055" s="12" t="s">
        <v>1971</v>
      </c>
      <c r="C1055" s="12" t="s">
        <v>1977</v>
      </c>
      <c r="D1055" s="12" t="s">
        <v>1993</v>
      </c>
      <c r="E1055" s="20">
        <v>34850</v>
      </c>
      <c r="F1055" s="20">
        <v>44328</v>
      </c>
      <c r="G1055" s="12">
        <v>13.25</v>
      </c>
      <c r="H1055" s="12">
        <v>7.7666666666666702</v>
      </c>
      <c r="I1055" s="13">
        <v>1.70600858369099</v>
      </c>
      <c r="J1055" s="12" t="s">
        <v>1042</v>
      </c>
      <c r="K1055" s="14">
        <v>704</v>
      </c>
      <c r="L1055" s="14">
        <v>1260</v>
      </c>
      <c r="M1055" s="14">
        <v>787</v>
      </c>
      <c r="N1055" s="12">
        <v>13.25</v>
      </c>
      <c r="O1055" s="12" t="s">
        <v>1042</v>
      </c>
      <c r="P1055" s="12">
        <v>2.1314415783928102E-3</v>
      </c>
      <c r="Q1055" s="12">
        <v>7.7683565185092604E-3</v>
      </c>
      <c r="R1055" s="12">
        <v>0.117439516129032</v>
      </c>
      <c r="S1055" s="14">
        <v>27</v>
      </c>
      <c r="T1055" s="12">
        <v>0.56545134159655897</v>
      </c>
      <c r="U1055" s="14">
        <v>761</v>
      </c>
      <c r="V1055" s="14">
        <v>2</v>
      </c>
      <c r="W1055" s="12">
        <v>5.5999999999999999E-3</v>
      </c>
      <c r="X1055" s="12">
        <v>0.57105134159655901</v>
      </c>
      <c r="Y1055" s="14">
        <v>761</v>
      </c>
      <c r="Z1055" s="14">
        <v>27</v>
      </c>
      <c r="AA1055" s="12" t="s">
        <v>2367</v>
      </c>
    </row>
    <row r="1056" spans="1:27" ht="14.25" x14ac:dyDescent="0.45">
      <c r="A1056" s="12" t="s">
        <v>1044</v>
      </c>
      <c r="B1056" s="12" t="s">
        <v>1971</v>
      </c>
      <c r="C1056" s="12" t="s">
        <v>1977</v>
      </c>
      <c r="D1056" s="12" t="s">
        <v>1974</v>
      </c>
      <c r="E1056" s="20">
        <v>33974</v>
      </c>
      <c r="F1056" s="20">
        <v>44327</v>
      </c>
      <c r="G1056" s="12">
        <v>13.2</v>
      </c>
      <c r="H1056" s="12">
        <v>7.8</v>
      </c>
      <c r="I1056" s="13">
        <v>1.6923076923076901</v>
      </c>
      <c r="J1056" s="12" t="s">
        <v>1044</v>
      </c>
      <c r="K1056" s="14">
        <v>705</v>
      </c>
      <c r="L1056" s="14">
        <v>1252</v>
      </c>
      <c r="M1056" s="14">
        <v>788</v>
      </c>
      <c r="N1056" s="12">
        <v>13.2</v>
      </c>
      <c r="O1056" s="12" t="s">
        <v>1044</v>
      </c>
      <c r="P1056" s="12">
        <v>2.1233984026252902E-3</v>
      </c>
      <c r="Q1056" s="12">
        <v>7.70596913669636E-3</v>
      </c>
      <c r="R1056" s="12">
        <v>0.117943548387097</v>
      </c>
      <c r="S1056" s="14">
        <v>29</v>
      </c>
      <c r="T1056" s="12">
        <v>0.561250511141971</v>
      </c>
      <c r="U1056" s="14">
        <v>762</v>
      </c>
      <c r="V1056" s="14">
        <v>3</v>
      </c>
      <c r="W1056" s="12">
        <v>5.7000000000000002E-3</v>
      </c>
      <c r="X1056" s="12">
        <v>0.56695051114197104</v>
      </c>
      <c r="Y1056" s="14">
        <v>762</v>
      </c>
      <c r="Z1056" s="14">
        <v>29</v>
      </c>
      <c r="AA1056" s="12" t="s">
        <v>2367</v>
      </c>
    </row>
    <row r="1057" spans="1:27" ht="14.25" x14ac:dyDescent="0.45">
      <c r="A1057" s="12" t="s">
        <v>1046</v>
      </c>
      <c r="B1057" s="12" t="s">
        <v>1971</v>
      </c>
      <c r="C1057" s="12" t="s">
        <v>1977</v>
      </c>
      <c r="D1057" s="12" t="s">
        <v>1975</v>
      </c>
      <c r="E1057" s="20">
        <v>32631</v>
      </c>
      <c r="F1057" s="20">
        <v>44328</v>
      </c>
      <c r="G1057" s="12">
        <v>4.24</v>
      </c>
      <c r="H1057" s="12">
        <v>7.7666666666666702</v>
      </c>
      <c r="I1057" s="13">
        <v>0.54592274678111596</v>
      </c>
      <c r="J1057" s="12" t="s">
        <v>1046</v>
      </c>
      <c r="K1057" s="14">
        <v>1023</v>
      </c>
      <c r="L1057" s="14">
        <v>1260</v>
      </c>
      <c r="M1057" s="14">
        <v>1093</v>
      </c>
      <c r="N1057" s="12">
        <v>4.24</v>
      </c>
      <c r="O1057" s="12" t="s">
        <v>1046</v>
      </c>
      <c r="P1057" s="12">
        <v>6.8206130508569995E-4</v>
      </c>
      <c r="Q1057" s="12">
        <v>2.48587408592296E-3</v>
      </c>
      <c r="R1057" s="12">
        <v>0.117439516129032</v>
      </c>
      <c r="S1057" s="14">
        <v>33</v>
      </c>
      <c r="T1057" s="12">
        <v>0.18094442931089899</v>
      </c>
      <c r="U1057" s="14">
        <v>1079</v>
      </c>
      <c r="V1057" s="14">
        <v>1</v>
      </c>
      <c r="W1057" s="12">
        <v>5.4999999999999997E-3</v>
      </c>
      <c r="X1057" s="12">
        <v>0.186444429310899</v>
      </c>
      <c r="Y1057" s="14">
        <v>1079</v>
      </c>
      <c r="Z1057" s="14">
        <v>33</v>
      </c>
      <c r="AA1057" s="12" t="s">
        <v>2367</v>
      </c>
    </row>
    <row r="1058" spans="1:27" ht="14.25" x14ac:dyDescent="0.45">
      <c r="A1058" s="12" t="s">
        <v>1056</v>
      </c>
      <c r="B1058" s="12" t="s">
        <v>1971</v>
      </c>
      <c r="C1058" s="12" t="s">
        <v>1977</v>
      </c>
      <c r="D1058" s="12" t="s">
        <v>1990</v>
      </c>
      <c r="E1058" s="20">
        <v>33153</v>
      </c>
      <c r="F1058" s="20">
        <v>44307</v>
      </c>
      <c r="G1058" s="12">
        <v>262.74</v>
      </c>
      <c r="H1058" s="12">
        <v>8.4666666666666703</v>
      </c>
      <c r="I1058" s="13">
        <v>31.032283464566898</v>
      </c>
      <c r="J1058" s="12" t="s">
        <v>1056</v>
      </c>
      <c r="K1058" s="14">
        <v>77</v>
      </c>
      <c r="L1058" s="14">
        <v>1215</v>
      </c>
      <c r="M1058" s="14">
        <v>249</v>
      </c>
      <c r="N1058" s="12">
        <v>262.74</v>
      </c>
      <c r="O1058" s="12" t="s">
        <v>1056</v>
      </c>
      <c r="P1058" s="12">
        <v>4.2265280023164299E-2</v>
      </c>
      <c r="Q1058" s="12">
        <v>0.141306347365871</v>
      </c>
      <c r="R1058" s="12">
        <v>0.12802419354838701</v>
      </c>
      <c r="S1058" s="14">
        <v>32</v>
      </c>
      <c r="T1058" s="12">
        <v>10.4165947112356</v>
      </c>
      <c r="U1058" s="14">
        <v>105</v>
      </c>
      <c r="V1058" s="14">
        <v>2</v>
      </c>
      <c r="W1058" s="12">
        <v>5.5999999999999999E-3</v>
      </c>
      <c r="X1058" s="12">
        <v>10.422194711235599</v>
      </c>
      <c r="Y1058" s="14">
        <v>105</v>
      </c>
      <c r="Z1058" s="14">
        <v>31</v>
      </c>
      <c r="AA1058" s="12" t="s">
        <v>2367</v>
      </c>
    </row>
    <row r="1059" spans="1:27" ht="14.25" x14ac:dyDescent="0.45">
      <c r="A1059" s="12" t="s">
        <v>1072</v>
      </c>
      <c r="B1059" s="12" t="s">
        <v>1971</v>
      </c>
      <c r="C1059" s="12" t="s">
        <v>1977</v>
      </c>
      <c r="D1059" s="12" t="s">
        <v>1990</v>
      </c>
      <c r="E1059" s="20">
        <v>33922</v>
      </c>
      <c r="F1059" s="20">
        <v>44291</v>
      </c>
      <c r="G1059" s="12">
        <v>2</v>
      </c>
      <c r="H1059" s="12">
        <v>9</v>
      </c>
      <c r="I1059" s="13">
        <v>0.22222222222222199</v>
      </c>
      <c r="J1059" s="12" t="s">
        <v>1072</v>
      </c>
      <c r="K1059" s="14">
        <v>1317</v>
      </c>
      <c r="L1059" s="14">
        <v>1137</v>
      </c>
      <c r="M1059" s="14">
        <v>1359</v>
      </c>
      <c r="N1059" s="12">
        <v>2</v>
      </c>
      <c r="O1059" s="12" t="s">
        <v>1072</v>
      </c>
      <c r="P1059" s="12">
        <v>3.2172703070080199E-4</v>
      </c>
      <c r="Q1059" s="12">
        <v>1.0118949371419499E-3</v>
      </c>
      <c r="R1059" s="12">
        <v>0.13608870967741901</v>
      </c>
      <c r="S1059" s="14">
        <v>30</v>
      </c>
      <c r="T1059" s="12">
        <v>7.5308197222651696E-2</v>
      </c>
      <c r="U1059" s="14">
        <v>1399</v>
      </c>
      <c r="V1059" s="14">
        <v>1</v>
      </c>
      <c r="W1059" s="12">
        <v>5.4999999999999997E-3</v>
      </c>
      <c r="X1059" s="12">
        <v>8.0808197222651701E-2</v>
      </c>
      <c r="Y1059" s="14">
        <v>1399</v>
      </c>
      <c r="Z1059" s="14">
        <v>29</v>
      </c>
      <c r="AA1059" s="12" t="s">
        <v>2367</v>
      </c>
    </row>
    <row r="1060" spans="1:27" ht="14.25" x14ac:dyDescent="0.45">
      <c r="A1060" s="12" t="s">
        <v>1081</v>
      </c>
      <c r="B1060" s="12" t="s">
        <v>1971</v>
      </c>
      <c r="C1060" s="12" t="s">
        <v>1977</v>
      </c>
      <c r="D1060" s="12" t="s">
        <v>1974</v>
      </c>
      <c r="E1060" s="20">
        <v>33121</v>
      </c>
      <c r="F1060" s="20">
        <v>44334</v>
      </c>
      <c r="G1060" s="12">
        <v>7.68</v>
      </c>
      <c r="H1060" s="12">
        <v>7.56666666666667</v>
      </c>
      <c r="I1060" s="13">
        <v>1.01497797356828</v>
      </c>
      <c r="J1060" s="12" t="s">
        <v>1081</v>
      </c>
      <c r="K1060" s="14">
        <v>817</v>
      </c>
      <c r="L1060" s="14">
        <v>1269</v>
      </c>
      <c r="M1060" s="14">
        <v>898</v>
      </c>
      <c r="N1060" s="12">
        <v>7.68</v>
      </c>
      <c r="O1060" s="12" t="s">
        <v>1081</v>
      </c>
      <c r="P1060" s="12">
        <v>1.23543179789108E-3</v>
      </c>
      <c r="Q1060" s="12">
        <v>4.6217298274395203E-3</v>
      </c>
      <c r="R1060" s="12">
        <v>0.114415322580645</v>
      </c>
      <c r="S1060" s="14">
        <v>32</v>
      </c>
      <c r="T1060" s="12">
        <v>0.33518680663588502</v>
      </c>
      <c r="U1060" s="14">
        <v>888</v>
      </c>
      <c r="V1060" s="14">
        <v>2</v>
      </c>
      <c r="W1060" s="12">
        <v>5.5999999999999999E-3</v>
      </c>
      <c r="X1060" s="12">
        <v>0.34078680663588501</v>
      </c>
      <c r="Y1060" s="14">
        <v>888</v>
      </c>
      <c r="Z1060" s="14">
        <v>31</v>
      </c>
      <c r="AA1060" s="12" t="s">
        <v>2367</v>
      </c>
    </row>
    <row r="1061" spans="1:27" ht="14.25" x14ac:dyDescent="0.45">
      <c r="A1061" s="12" t="s">
        <v>1093</v>
      </c>
      <c r="B1061" s="12" t="s">
        <v>1971</v>
      </c>
      <c r="C1061" s="12" t="s">
        <v>1977</v>
      </c>
      <c r="D1061" s="12" t="s">
        <v>1995</v>
      </c>
      <c r="E1061" s="20">
        <v>33223</v>
      </c>
      <c r="F1061" s="20">
        <v>44291</v>
      </c>
      <c r="G1061" s="12">
        <v>3.17</v>
      </c>
      <c r="H1061" s="12">
        <v>9</v>
      </c>
      <c r="I1061" s="13">
        <v>0.35222222222222199</v>
      </c>
      <c r="J1061" s="12" t="s">
        <v>1093</v>
      </c>
      <c r="K1061" s="14">
        <v>1186</v>
      </c>
      <c r="L1061" s="14">
        <v>1137</v>
      </c>
      <c r="M1061" s="14">
        <v>1207</v>
      </c>
      <c r="N1061" s="12">
        <v>3.17</v>
      </c>
      <c r="O1061" s="12" t="s">
        <v>1093</v>
      </c>
      <c r="P1061" s="12">
        <v>5.0993734366077098E-4</v>
      </c>
      <c r="Q1061" s="12">
        <v>1.6038534753699801E-3</v>
      </c>
      <c r="R1061" s="12">
        <v>0.13608870967741901</v>
      </c>
      <c r="S1061" s="14">
        <v>32</v>
      </c>
      <c r="T1061" s="12">
        <v>0.11936349259790301</v>
      </c>
      <c r="U1061" s="14">
        <v>1232</v>
      </c>
      <c r="V1061" s="14">
        <v>1</v>
      </c>
      <c r="W1061" s="12">
        <v>5.4999999999999997E-3</v>
      </c>
      <c r="X1061" s="12">
        <v>0.124863492597903</v>
      </c>
      <c r="Y1061" s="14">
        <v>1232</v>
      </c>
      <c r="Z1061" s="14">
        <v>31</v>
      </c>
      <c r="AA1061" s="12" t="s">
        <v>2367</v>
      </c>
    </row>
    <row r="1062" spans="1:27" ht="14.25" x14ac:dyDescent="0.45">
      <c r="A1062" s="12" t="s">
        <v>1140</v>
      </c>
      <c r="B1062" s="12" t="s">
        <v>1971</v>
      </c>
      <c r="C1062" s="12" t="s">
        <v>1977</v>
      </c>
      <c r="D1062" s="12" t="s">
        <v>1990</v>
      </c>
      <c r="E1062" s="20">
        <v>33102</v>
      </c>
      <c r="F1062" s="20">
        <v>43367</v>
      </c>
      <c r="G1062" s="12">
        <v>3.02</v>
      </c>
      <c r="H1062" s="12">
        <v>39.799999999999997</v>
      </c>
      <c r="I1062" s="13">
        <v>7.5879396984924602E-2</v>
      </c>
      <c r="J1062" s="12" t="s">
        <v>1140</v>
      </c>
      <c r="K1062" s="14">
        <v>1549</v>
      </c>
      <c r="L1062" s="14">
        <v>189</v>
      </c>
      <c r="M1062" s="14">
        <v>1219</v>
      </c>
      <c r="N1062" s="12">
        <v>3.02</v>
      </c>
      <c r="O1062" s="12" t="s">
        <v>1140</v>
      </c>
      <c r="P1062" s="12">
        <v>4.85807816358211E-4</v>
      </c>
      <c r="Q1062" s="12">
        <v>3.4551889939093099E-4</v>
      </c>
      <c r="R1062" s="12">
        <v>0.60181451612903203</v>
      </c>
      <c r="S1062" s="14">
        <v>32</v>
      </c>
      <c r="T1062" s="12">
        <v>3.9812724325366103E-2</v>
      </c>
      <c r="U1062" s="14">
        <v>1560</v>
      </c>
      <c r="V1062" s="14">
        <v>4</v>
      </c>
      <c r="W1062" s="12">
        <v>5.7999999999999996E-3</v>
      </c>
      <c r="X1062" s="12">
        <v>4.5612724325366102E-2</v>
      </c>
      <c r="Y1062" s="14">
        <v>1560</v>
      </c>
      <c r="Z1062" s="14">
        <v>31</v>
      </c>
      <c r="AA1062" s="12" t="s">
        <v>2367</v>
      </c>
    </row>
    <row r="1063" spans="1:27" ht="14.25" x14ac:dyDescent="0.45">
      <c r="A1063" s="12" t="s">
        <v>1148</v>
      </c>
      <c r="B1063" s="12" t="s">
        <v>1971</v>
      </c>
      <c r="C1063" s="12" t="s">
        <v>1977</v>
      </c>
      <c r="D1063" s="12" t="s">
        <v>1975</v>
      </c>
      <c r="E1063" s="20">
        <v>34769</v>
      </c>
      <c r="F1063" s="20">
        <v>44334</v>
      </c>
      <c r="G1063" s="12">
        <v>2</v>
      </c>
      <c r="H1063" s="12">
        <v>7.56666666666667</v>
      </c>
      <c r="I1063" s="13">
        <v>0.26431718061673998</v>
      </c>
      <c r="J1063" s="12" t="s">
        <v>1148</v>
      </c>
      <c r="K1063" s="14">
        <v>1261</v>
      </c>
      <c r="L1063" s="14">
        <v>1269</v>
      </c>
      <c r="M1063" s="14">
        <v>1359</v>
      </c>
      <c r="N1063" s="12">
        <v>2</v>
      </c>
      <c r="O1063" s="12" t="s">
        <v>1148</v>
      </c>
      <c r="P1063" s="12">
        <v>3.2172703070080199E-4</v>
      </c>
      <c r="Q1063" s="12">
        <v>1.2035754758957099E-3</v>
      </c>
      <c r="R1063" s="12">
        <v>0.114415322580645</v>
      </c>
      <c r="S1063" s="14">
        <v>27</v>
      </c>
      <c r="T1063" s="12">
        <v>8.7288230894761801E-2</v>
      </c>
      <c r="U1063" s="14">
        <v>1326</v>
      </c>
      <c r="V1063" s="14">
        <v>1</v>
      </c>
      <c r="W1063" s="12">
        <v>5.4999999999999997E-3</v>
      </c>
      <c r="X1063" s="12">
        <v>9.2788230894761806E-2</v>
      </c>
      <c r="Y1063" s="14">
        <v>1326</v>
      </c>
      <c r="Z1063" s="14">
        <v>27</v>
      </c>
      <c r="AA1063" s="12" t="s">
        <v>2367</v>
      </c>
    </row>
    <row r="1064" spans="1:27" ht="14.25" x14ac:dyDescent="0.45">
      <c r="A1064" s="12" t="s">
        <v>1157</v>
      </c>
      <c r="B1064" s="12" t="s">
        <v>1971</v>
      </c>
      <c r="C1064" s="12" t="s">
        <v>1977</v>
      </c>
      <c r="D1064" s="12" t="s">
        <v>1978</v>
      </c>
      <c r="E1064" s="20">
        <v>34281</v>
      </c>
      <c r="F1064" s="20">
        <v>44334</v>
      </c>
      <c r="G1064" s="12">
        <v>2.42</v>
      </c>
      <c r="H1064" s="12">
        <v>7.56666666666667</v>
      </c>
      <c r="I1064" s="13">
        <v>0.31982378854625498</v>
      </c>
      <c r="J1064" s="12" t="s">
        <v>1157</v>
      </c>
      <c r="K1064" s="14">
        <v>1208</v>
      </c>
      <c r="L1064" s="14">
        <v>1269</v>
      </c>
      <c r="M1064" s="14">
        <v>1290</v>
      </c>
      <c r="N1064" s="12">
        <v>2.42</v>
      </c>
      <c r="O1064" s="12" t="s">
        <v>1157</v>
      </c>
      <c r="P1064" s="12">
        <v>3.8928970714796997E-4</v>
      </c>
      <c r="Q1064" s="12">
        <v>1.45632632583381E-3</v>
      </c>
      <c r="R1064" s="12">
        <v>0.114415322580645</v>
      </c>
      <c r="S1064" s="14">
        <v>29</v>
      </c>
      <c r="T1064" s="12">
        <v>0.10561875938266201</v>
      </c>
      <c r="U1064" s="14">
        <v>1275</v>
      </c>
      <c r="V1064" s="14">
        <v>3</v>
      </c>
      <c r="W1064" s="12">
        <v>5.7000000000000002E-3</v>
      </c>
      <c r="X1064" s="12">
        <v>0.111318759382662</v>
      </c>
      <c r="Y1064" s="14">
        <v>1274</v>
      </c>
      <c r="Z1064" s="14">
        <v>28</v>
      </c>
      <c r="AA1064" s="12" t="s">
        <v>2367</v>
      </c>
    </row>
    <row r="1065" spans="1:27" ht="14.25" x14ac:dyDescent="0.45">
      <c r="A1065" s="12" t="s">
        <v>1165</v>
      </c>
      <c r="B1065" s="12" t="s">
        <v>1971</v>
      </c>
      <c r="C1065" s="12" t="s">
        <v>1977</v>
      </c>
      <c r="D1065" s="12" t="s">
        <v>1995</v>
      </c>
      <c r="E1065" s="20">
        <v>34916</v>
      </c>
      <c r="F1065" s="20">
        <v>44335</v>
      </c>
      <c r="G1065" s="12">
        <v>3.51</v>
      </c>
      <c r="H1065" s="12">
        <v>7.5333333333333297</v>
      </c>
      <c r="I1065" s="13">
        <v>0.46592920353982298</v>
      </c>
      <c r="J1065" s="12" t="s">
        <v>1165</v>
      </c>
      <c r="K1065" s="14">
        <v>1087</v>
      </c>
      <c r="L1065" s="14">
        <v>1332</v>
      </c>
      <c r="M1065" s="14">
        <v>1176</v>
      </c>
      <c r="N1065" s="12">
        <v>3.51</v>
      </c>
      <c r="O1065" s="12" t="s">
        <v>1165</v>
      </c>
      <c r="P1065" s="12">
        <v>5.6463093887990697E-4</v>
      </c>
      <c r="Q1065" s="12">
        <v>2.1216213095783701E-3</v>
      </c>
      <c r="R1065" s="12">
        <v>0.113911290322581</v>
      </c>
      <c r="S1065" s="14">
        <v>27</v>
      </c>
      <c r="T1065" s="12">
        <v>0.15377499205664499</v>
      </c>
      <c r="U1065" s="14">
        <v>1147</v>
      </c>
      <c r="V1065" s="14">
        <v>1</v>
      </c>
      <c r="W1065" s="12">
        <v>5.4999999999999997E-3</v>
      </c>
      <c r="X1065" s="12">
        <v>0.159274992056645</v>
      </c>
      <c r="Y1065" s="14">
        <v>1147</v>
      </c>
      <c r="Z1065" s="14">
        <v>26</v>
      </c>
      <c r="AA1065" s="12" t="s">
        <v>2367</v>
      </c>
    </row>
    <row r="1066" spans="1:27" ht="14.25" x14ac:dyDescent="0.45">
      <c r="A1066" s="12" t="s">
        <v>1180</v>
      </c>
      <c r="B1066" s="12" t="s">
        <v>1971</v>
      </c>
      <c r="C1066" s="12" t="s">
        <v>1977</v>
      </c>
      <c r="D1066" s="12" t="s">
        <v>1978</v>
      </c>
      <c r="E1066" s="20">
        <v>33090</v>
      </c>
      <c r="F1066" s="20">
        <v>44337</v>
      </c>
      <c r="G1066" s="12">
        <v>0.63</v>
      </c>
      <c r="H1066" s="12">
        <v>7.4666666666666703</v>
      </c>
      <c r="I1066" s="13">
        <v>8.4375000000000006E-2</v>
      </c>
      <c r="J1066" s="12" t="s">
        <v>1180</v>
      </c>
      <c r="K1066" s="14">
        <v>1535</v>
      </c>
      <c r="L1066" s="14">
        <v>1428</v>
      </c>
      <c r="M1066" s="14">
        <v>1646</v>
      </c>
      <c r="N1066" s="12">
        <v>0.63</v>
      </c>
      <c r="O1066" s="12" t="s">
        <v>1180</v>
      </c>
      <c r="P1066" s="12">
        <v>1.01344014670753E-4</v>
      </c>
      <c r="Q1066" s="12">
        <v>3.84203858946083E-4</v>
      </c>
      <c r="R1066" s="12">
        <v>0.112903225806452</v>
      </c>
      <c r="S1066" s="14">
        <v>32</v>
      </c>
      <c r="T1066" s="12">
        <v>2.7813141734283401E-2</v>
      </c>
      <c r="U1066" s="14">
        <v>1640</v>
      </c>
      <c r="V1066" s="14">
        <v>3</v>
      </c>
      <c r="W1066" s="12">
        <v>5.7000000000000002E-3</v>
      </c>
      <c r="X1066" s="12">
        <v>3.3513141734283401E-2</v>
      </c>
      <c r="Y1066" s="14">
        <v>1639</v>
      </c>
      <c r="Z1066" s="14">
        <v>31</v>
      </c>
      <c r="AA1066" s="12" t="s">
        <v>2367</v>
      </c>
    </row>
    <row r="1067" spans="1:27" ht="14.25" x14ac:dyDescent="0.45">
      <c r="A1067" s="12" t="s">
        <v>1186</v>
      </c>
      <c r="B1067" s="12" t="s">
        <v>1971</v>
      </c>
      <c r="C1067" s="12" t="s">
        <v>1977</v>
      </c>
      <c r="D1067" s="12" t="s">
        <v>1974</v>
      </c>
      <c r="E1067" s="20">
        <v>32683</v>
      </c>
      <c r="F1067" s="20">
        <v>43755</v>
      </c>
      <c r="G1067" s="12">
        <v>9.68</v>
      </c>
      <c r="H1067" s="12">
        <v>26.866666666666699</v>
      </c>
      <c r="I1067" s="13">
        <v>0.36029776674938002</v>
      </c>
      <c r="J1067" s="12" t="s">
        <v>1186</v>
      </c>
      <c r="K1067" s="14">
        <v>1176</v>
      </c>
      <c r="L1067" s="14">
        <v>332</v>
      </c>
      <c r="M1067" s="14">
        <v>851</v>
      </c>
      <c r="N1067" s="12">
        <v>9.68</v>
      </c>
      <c r="O1067" s="12" t="s">
        <v>1186</v>
      </c>
      <c r="P1067" s="12">
        <v>1.5571588285918799E-3</v>
      </c>
      <c r="Q1067" s="12">
        <v>1.6406256871676101E-3</v>
      </c>
      <c r="R1067" s="12">
        <v>0.40625</v>
      </c>
      <c r="S1067" s="14">
        <v>33</v>
      </c>
      <c r="T1067" s="12">
        <v>0.16093256152017099</v>
      </c>
      <c r="U1067" s="14">
        <v>1129</v>
      </c>
      <c r="V1067" s="14">
        <v>3</v>
      </c>
      <c r="W1067" s="12">
        <v>5.7000000000000002E-3</v>
      </c>
      <c r="X1067" s="12">
        <v>0.166632561520171</v>
      </c>
      <c r="Y1067" s="14">
        <v>1128</v>
      </c>
      <c r="Z1067" s="14">
        <v>33</v>
      </c>
      <c r="AA1067" s="12" t="s">
        <v>2367</v>
      </c>
    </row>
    <row r="1068" spans="1:27" ht="14.25" x14ac:dyDescent="0.45">
      <c r="A1068" s="12" t="s">
        <v>1195</v>
      </c>
      <c r="B1068" s="12" t="s">
        <v>1971</v>
      </c>
      <c r="C1068" s="12" t="s">
        <v>1977</v>
      </c>
      <c r="D1068" s="12" t="s">
        <v>1974</v>
      </c>
      <c r="E1068" s="20">
        <v>32133</v>
      </c>
      <c r="F1068" s="20">
        <v>44085</v>
      </c>
      <c r="G1068" s="12">
        <v>38.6</v>
      </c>
      <c r="H1068" s="12">
        <v>15.866666666666699</v>
      </c>
      <c r="I1068" s="13">
        <v>2.4327731092436999</v>
      </c>
      <c r="J1068" s="12" t="s">
        <v>1195</v>
      </c>
      <c r="K1068" s="14">
        <v>600</v>
      </c>
      <c r="L1068" s="14">
        <v>485</v>
      </c>
      <c r="M1068" s="14">
        <v>527</v>
      </c>
      <c r="N1068" s="12">
        <v>38.6</v>
      </c>
      <c r="O1068" s="12" t="s">
        <v>1195</v>
      </c>
      <c r="P1068" s="12">
        <v>6.2093316925254799E-3</v>
      </c>
      <c r="Q1068" s="12">
        <v>1.1077698566064499E-2</v>
      </c>
      <c r="R1068" s="12">
        <v>0.23991935483870999</v>
      </c>
      <c r="S1068" s="14">
        <v>35</v>
      </c>
      <c r="T1068" s="12">
        <v>0.92520609884873395</v>
      </c>
      <c r="U1068" s="14">
        <v>587</v>
      </c>
      <c r="V1068" s="14">
        <v>3</v>
      </c>
      <c r="W1068" s="12">
        <v>5.7000000000000002E-3</v>
      </c>
      <c r="X1068" s="12">
        <v>0.93090609884873399</v>
      </c>
      <c r="Y1068" s="14">
        <v>587</v>
      </c>
      <c r="Z1068" s="14">
        <v>34</v>
      </c>
      <c r="AA1068" s="12" t="s">
        <v>2367</v>
      </c>
    </row>
    <row r="1069" spans="1:27" ht="14.25" x14ac:dyDescent="0.45">
      <c r="A1069" s="12" t="s">
        <v>1201</v>
      </c>
      <c r="B1069" s="12" t="s">
        <v>1971</v>
      </c>
      <c r="C1069" s="12" t="s">
        <v>1977</v>
      </c>
      <c r="D1069" s="12" t="s">
        <v>2020</v>
      </c>
      <c r="E1069" s="20">
        <v>32523</v>
      </c>
      <c r="F1069" s="20">
        <v>44334</v>
      </c>
      <c r="G1069" s="12">
        <v>5.88</v>
      </c>
      <c r="H1069" s="12">
        <v>7.56666666666667</v>
      </c>
      <c r="I1069" s="13">
        <v>0.77709251101321597</v>
      </c>
      <c r="J1069" s="12" t="s">
        <v>1201</v>
      </c>
      <c r="K1069" s="14">
        <v>897</v>
      </c>
      <c r="L1069" s="14">
        <v>1269</v>
      </c>
      <c r="M1069" s="14">
        <v>977</v>
      </c>
      <c r="N1069" s="12">
        <v>5.88</v>
      </c>
      <c r="O1069" s="12" t="s">
        <v>1201</v>
      </c>
      <c r="P1069" s="12">
        <v>9.4587747026035705E-4</v>
      </c>
      <c r="Q1069" s="12">
        <v>3.53851189913338E-3</v>
      </c>
      <c r="R1069" s="12">
        <v>0.114415322580645</v>
      </c>
      <c r="S1069" s="14">
        <v>33</v>
      </c>
      <c r="T1069" s="12">
        <v>0.25662739883059998</v>
      </c>
      <c r="U1069" s="14">
        <v>962</v>
      </c>
      <c r="V1069" s="14">
        <v>3</v>
      </c>
      <c r="W1069" s="12">
        <v>5.7000000000000002E-3</v>
      </c>
      <c r="X1069" s="12">
        <v>0.26232739883060002</v>
      </c>
      <c r="Y1069" s="14">
        <v>962</v>
      </c>
      <c r="Z1069" s="14">
        <v>33</v>
      </c>
      <c r="AA1069" s="12" t="s">
        <v>2367</v>
      </c>
    </row>
    <row r="1070" spans="1:27" ht="14.25" x14ac:dyDescent="0.45">
      <c r="A1070" s="12" t="s">
        <v>1248</v>
      </c>
      <c r="B1070" s="12" t="s">
        <v>1971</v>
      </c>
      <c r="C1070" s="12" t="s">
        <v>1977</v>
      </c>
      <c r="D1070" s="12" t="s">
        <v>1974</v>
      </c>
      <c r="E1070" s="20">
        <v>32167</v>
      </c>
      <c r="F1070" s="20">
        <v>43900</v>
      </c>
      <c r="G1070" s="12">
        <v>5.36</v>
      </c>
      <c r="H1070" s="12">
        <v>22.033333333333299</v>
      </c>
      <c r="I1070" s="13">
        <v>0.24326777609682301</v>
      </c>
      <c r="J1070" s="12" t="s">
        <v>1248</v>
      </c>
      <c r="K1070" s="14">
        <v>1286</v>
      </c>
      <c r="L1070" s="14">
        <v>425</v>
      </c>
      <c r="M1070" s="14">
        <v>1009</v>
      </c>
      <c r="N1070" s="12">
        <v>5.36</v>
      </c>
      <c r="O1070" s="12" t="s">
        <v>1248</v>
      </c>
      <c r="P1070" s="12">
        <v>8.6222844227814904E-4</v>
      </c>
      <c r="Q1070" s="12">
        <v>1.1077264395097E-3</v>
      </c>
      <c r="R1070" s="12">
        <v>0.33316532258064502</v>
      </c>
      <c r="S1070" s="14">
        <v>34</v>
      </c>
      <c r="T1070" s="12">
        <v>0.101566469054787</v>
      </c>
      <c r="U1070" s="14">
        <v>1288</v>
      </c>
      <c r="V1070" s="14">
        <v>1</v>
      </c>
      <c r="W1070" s="12">
        <v>5.4999999999999997E-3</v>
      </c>
      <c r="X1070" s="12">
        <v>0.10706646905478701</v>
      </c>
      <c r="Y1070" s="14">
        <v>1288</v>
      </c>
      <c r="Z1070" s="14">
        <v>34</v>
      </c>
      <c r="AA1070" s="12" t="s">
        <v>2367</v>
      </c>
    </row>
    <row r="1071" spans="1:27" ht="14.25" x14ac:dyDescent="0.45">
      <c r="A1071" s="12" t="s">
        <v>1294</v>
      </c>
      <c r="B1071" s="12" t="s">
        <v>1971</v>
      </c>
      <c r="C1071" s="12" t="s">
        <v>1977</v>
      </c>
      <c r="D1071" s="12" t="s">
        <v>1974</v>
      </c>
      <c r="E1071" s="20">
        <v>32452</v>
      </c>
      <c r="F1071" s="20">
        <v>44334</v>
      </c>
      <c r="G1071" s="12">
        <v>12.58</v>
      </c>
      <c r="H1071" s="12">
        <v>7.56666666666667</v>
      </c>
      <c r="I1071" s="13">
        <v>1.6625550660793</v>
      </c>
      <c r="J1071" s="12" t="s">
        <v>1294</v>
      </c>
      <c r="K1071" s="14">
        <v>710</v>
      </c>
      <c r="L1071" s="14">
        <v>1269</v>
      </c>
      <c r="M1071" s="14">
        <v>800</v>
      </c>
      <c r="N1071" s="12">
        <v>12.58</v>
      </c>
      <c r="O1071" s="12" t="s">
        <v>1294</v>
      </c>
      <c r="P1071" s="12">
        <v>2.02366302310804E-3</v>
      </c>
      <c r="Q1071" s="12">
        <v>7.5704897433839999E-3</v>
      </c>
      <c r="R1071" s="12">
        <v>0.114415322580645</v>
      </c>
      <c r="S1071" s="14">
        <v>34</v>
      </c>
      <c r="T1071" s="12">
        <v>0.54904297232805099</v>
      </c>
      <c r="U1071" s="14">
        <v>772</v>
      </c>
      <c r="V1071" s="14">
        <v>2</v>
      </c>
      <c r="W1071" s="12">
        <v>5.5999999999999999E-3</v>
      </c>
      <c r="X1071" s="12">
        <v>0.55464297232805104</v>
      </c>
      <c r="Y1071" s="14">
        <v>772</v>
      </c>
      <c r="Z1071" s="14">
        <v>33</v>
      </c>
      <c r="AA1071" s="12" t="s">
        <v>2367</v>
      </c>
    </row>
    <row r="1072" spans="1:27" ht="14.25" x14ac:dyDescent="0.45">
      <c r="A1072" s="12" t="s">
        <v>1295</v>
      </c>
      <c r="B1072" s="12" t="s">
        <v>1971</v>
      </c>
      <c r="C1072" s="12" t="s">
        <v>1977</v>
      </c>
      <c r="D1072" s="12" t="s">
        <v>1990</v>
      </c>
      <c r="E1072" s="20">
        <v>34570</v>
      </c>
      <c r="F1072" s="20">
        <v>44371</v>
      </c>
      <c r="G1072" s="12">
        <v>1.58</v>
      </c>
      <c r="H1072" s="12">
        <v>6.3333333333333304</v>
      </c>
      <c r="I1072" s="13">
        <v>0.24947368421052599</v>
      </c>
      <c r="J1072" s="12" t="s">
        <v>1295</v>
      </c>
      <c r="K1072" s="14">
        <v>1279</v>
      </c>
      <c r="L1072" s="14">
        <v>1557</v>
      </c>
      <c r="M1072" s="14">
        <v>1470</v>
      </c>
      <c r="N1072" s="12">
        <v>1.58</v>
      </c>
      <c r="O1072" s="12" t="s">
        <v>1295</v>
      </c>
      <c r="P1072" s="12">
        <v>2.5416435425363302E-4</v>
      </c>
      <c r="Q1072" s="12">
        <v>1.1359852110125099E-3</v>
      </c>
      <c r="R1072" s="12">
        <v>9.5766129032257993E-2</v>
      </c>
      <c r="S1072" s="14">
        <v>28</v>
      </c>
      <c r="T1072" s="12">
        <v>8.0530238972793197E-2</v>
      </c>
      <c r="U1072" s="14">
        <v>1355</v>
      </c>
      <c r="V1072" s="14">
        <v>1</v>
      </c>
      <c r="W1072" s="12">
        <v>5.4999999999999997E-3</v>
      </c>
      <c r="X1072" s="12">
        <v>8.6030238972793202E-2</v>
      </c>
      <c r="Y1072" s="14">
        <v>1356</v>
      </c>
      <c r="Z1072" s="14">
        <v>27</v>
      </c>
      <c r="AA1072" s="12" t="s">
        <v>2367</v>
      </c>
    </row>
    <row r="1073" spans="1:27" ht="14.25" x14ac:dyDescent="0.45">
      <c r="A1073" s="12" t="s">
        <v>1310</v>
      </c>
      <c r="B1073" s="12" t="s">
        <v>1971</v>
      </c>
      <c r="C1073" s="12" t="s">
        <v>1977</v>
      </c>
      <c r="D1073" s="12" t="s">
        <v>1990</v>
      </c>
      <c r="E1073" s="20">
        <v>35055</v>
      </c>
      <c r="F1073" s="20">
        <v>44335</v>
      </c>
      <c r="G1073" s="12">
        <v>5.2</v>
      </c>
      <c r="H1073" s="12">
        <v>7.5333333333333297</v>
      </c>
      <c r="I1073" s="13">
        <v>0.69026548672566401</v>
      </c>
      <c r="J1073" s="12" t="s">
        <v>1310</v>
      </c>
      <c r="K1073" s="14">
        <v>938</v>
      </c>
      <c r="L1073" s="14">
        <v>1332</v>
      </c>
      <c r="M1073" s="14">
        <v>1023</v>
      </c>
      <c r="N1073" s="12">
        <v>5.2</v>
      </c>
      <c r="O1073" s="12" t="s">
        <v>1310</v>
      </c>
      <c r="P1073" s="12">
        <v>8.3649027982208495E-4</v>
      </c>
      <c r="Q1073" s="12">
        <v>3.1431426808568399E-3</v>
      </c>
      <c r="R1073" s="12">
        <v>0.113911290322581</v>
      </c>
      <c r="S1073" s="14">
        <v>27</v>
      </c>
      <c r="T1073" s="12">
        <v>0.22781480304688101</v>
      </c>
      <c r="U1073" s="14">
        <v>998</v>
      </c>
      <c r="V1073" s="14">
        <v>4</v>
      </c>
      <c r="W1073" s="12">
        <v>5.7999999999999996E-3</v>
      </c>
      <c r="X1073" s="12">
        <v>0.23361480304688101</v>
      </c>
      <c r="Y1073" s="14">
        <v>998</v>
      </c>
      <c r="Z1073" s="14">
        <v>26</v>
      </c>
      <c r="AA1073" s="12" t="s">
        <v>2367</v>
      </c>
    </row>
    <row r="1074" spans="1:27" ht="14.25" x14ac:dyDescent="0.45">
      <c r="A1074" s="12" t="s">
        <v>1329</v>
      </c>
      <c r="B1074" s="12" t="s">
        <v>1971</v>
      </c>
      <c r="C1074" s="12" t="s">
        <v>1977</v>
      </c>
      <c r="D1074" s="12" t="s">
        <v>1982</v>
      </c>
      <c r="E1074" s="20">
        <v>34738</v>
      </c>
      <c r="F1074" s="20">
        <v>44355</v>
      </c>
      <c r="G1074" s="12">
        <v>18.82</v>
      </c>
      <c r="H1074" s="12">
        <v>6.8666666666666698</v>
      </c>
      <c r="I1074" s="13">
        <v>2.74077669902913</v>
      </c>
      <c r="J1074" s="12" t="s">
        <v>1329</v>
      </c>
      <c r="K1074" s="14">
        <v>572</v>
      </c>
      <c r="L1074" s="14">
        <v>1482</v>
      </c>
      <c r="M1074" s="14">
        <v>730</v>
      </c>
      <c r="N1074" s="12">
        <v>18.82</v>
      </c>
      <c r="O1074" s="12" t="s">
        <v>1329</v>
      </c>
      <c r="P1074" s="12">
        <v>3.0274513588945499E-3</v>
      </c>
      <c r="Q1074" s="12">
        <v>1.24802012951288E-2</v>
      </c>
      <c r="R1074" s="12">
        <v>0.10383064516128999</v>
      </c>
      <c r="S1074" s="14">
        <v>27</v>
      </c>
      <c r="T1074" s="12">
        <v>0.89354200690409902</v>
      </c>
      <c r="U1074" s="14">
        <v>639</v>
      </c>
      <c r="V1074" s="14">
        <v>2</v>
      </c>
      <c r="W1074" s="12">
        <v>5.5999999999999999E-3</v>
      </c>
      <c r="X1074" s="12">
        <v>0.89914200690409896</v>
      </c>
      <c r="Y1074" s="14">
        <v>639</v>
      </c>
      <c r="Z1074" s="14">
        <v>27</v>
      </c>
      <c r="AA1074" s="12" t="s">
        <v>2367</v>
      </c>
    </row>
    <row r="1075" spans="1:27" ht="14.25" x14ac:dyDescent="0.45">
      <c r="A1075" s="12" t="s">
        <v>1384</v>
      </c>
      <c r="B1075" s="12" t="s">
        <v>1971</v>
      </c>
      <c r="C1075" s="12" t="s">
        <v>1977</v>
      </c>
      <c r="D1075" s="12" t="s">
        <v>1993</v>
      </c>
      <c r="E1075" s="20">
        <v>32473</v>
      </c>
      <c r="F1075" s="20">
        <v>44370</v>
      </c>
      <c r="G1075" s="12">
        <v>3.83</v>
      </c>
      <c r="H1075" s="12">
        <v>6.3666666666666698</v>
      </c>
      <c r="I1075" s="13">
        <v>0.60157068062827201</v>
      </c>
      <c r="J1075" s="12" t="s">
        <v>1384</v>
      </c>
      <c r="K1075" s="14">
        <v>996</v>
      </c>
      <c r="L1075" s="14">
        <v>1504</v>
      </c>
      <c r="M1075" s="14">
        <v>1136</v>
      </c>
      <c r="N1075" s="12">
        <v>3.83</v>
      </c>
      <c r="O1075" s="12" t="s">
        <v>1384</v>
      </c>
      <c r="P1075" s="12">
        <v>6.1610726379203505E-4</v>
      </c>
      <c r="Q1075" s="12">
        <v>2.7392684672735302E-3</v>
      </c>
      <c r="R1075" s="12">
        <v>9.6270161290322606E-2</v>
      </c>
      <c r="S1075" s="14">
        <v>34</v>
      </c>
      <c r="T1075" s="12">
        <v>0.19430830159679699</v>
      </c>
      <c r="U1075" s="14">
        <v>1064</v>
      </c>
      <c r="V1075" s="14">
        <v>2</v>
      </c>
      <c r="W1075" s="12">
        <v>5.5999999999999999E-3</v>
      </c>
      <c r="X1075" s="12">
        <v>0.19990830159679701</v>
      </c>
      <c r="Y1075" s="14">
        <v>1064</v>
      </c>
      <c r="Z1075" s="14">
        <v>33</v>
      </c>
      <c r="AA1075" s="12" t="s">
        <v>2367</v>
      </c>
    </row>
    <row r="1076" spans="1:27" ht="14.25" x14ac:dyDescent="0.45">
      <c r="A1076" s="12" t="s">
        <v>1392</v>
      </c>
      <c r="B1076" s="12" t="s">
        <v>1971</v>
      </c>
      <c r="C1076" s="12" t="s">
        <v>1977</v>
      </c>
      <c r="D1076" s="12" t="s">
        <v>1973</v>
      </c>
      <c r="E1076" s="20">
        <v>34503</v>
      </c>
      <c r="F1076" s="20">
        <v>44336</v>
      </c>
      <c r="G1076" s="12">
        <v>0.67</v>
      </c>
      <c r="H1076" s="12">
        <v>7.5</v>
      </c>
      <c r="I1076" s="13">
        <v>8.9333333333333306E-2</v>
      </c>
      <c r="J1076" s="12" t="s">
        <v>1392</v>
      </c>
      <c r="K1076" s="14">
        <v>1527</v>
      </c>
      <c r="L1076" s="14">
        <v>1377</v>
      </c>
      <c r="M1076" s="14">
        <v>1640</v>
      </c>
      <c r="N1076" s="12">
        <v>0.67</v>
      </c>
      <c r="O1076" s="12" t="s">
        <v>1392</v>
      </c>
      <c r="P1076" s="12">
        <v>1.07778555284769E-4</v>
      </c>
      <c r="Q1076" s="12">
        <v>4.06781764731062E-4</v>
      </c>
      <c r="R1076" s="12">
        <v>0.113407258064516</v>
      </c>
      <c r="S1076" s="14">
        <v>28</v>
      </c>
      <c r="T1076" s="12">
        <v>2.9465556118870199E-2</v>
      </c>
      <c r="U1076" s="14">
        <v>1626</v>
      </c>
      <c r="V1076" s="14">
        <v>2</v>
      </c>
      <c r="W1076" s="12">
        <v>5.5999999999999999E-3</v>
      </c>
      <c r="X1076" s="12">
        <v>3.5065556118870203E-2</v>
      </c>
      <c r="Y1076" s="14">
        <v>1625</v>
      </c>
      <c r="Z1076" s="14">
        <v>28</v>
      </c>
      <c r="AA1076" s="12" t="s">
        <v>2367</v>
      </c>
    </row>
    <row r="1077" spans="1:27" ht="14.25" x14ac:dyDescent="0.45">
      <c r="A1077" s="12" t="s">
        <v>1416</v>
      </c>
      <c r="B1077" s="12" t="s">
        <v>1971</v>
      </c>
      <c r="C1077" s="12" t="s">
        <v>1977</v>
      </c>
      <c r="D1077" s="12" t="s">
        <v>1973</v>
      </c>
      <c r="E1077" s="20">
        <v>32534</v>
      </c>
      <c r="F1077" s="20">
        <v>44221</v>
      </c>
      <c r="G1077" s="12">
        <v>106.98</v>
      </c>
      <c r="H1077" s="12">
        <v>11.3333333333333</v>
      </c>
      <c r="I1077" s="13">
        <v>9.4394117647058806</v>
      </c>
      <c r="J1077" s="12" t="s">
        <v>1416</v>
      </c>
      <c r="K1077" s="14">
        <v>310</v>
      </c>
      <c r="L1077" s="14">
        <v>860</v>
      </c>
      <c r="M1077" s="14">
        <v>373</v>
      </c>
      <c r="N1077" s="12">
        <v>106.98</v>
      </c>
      <c r="O1077" s="12" t="s">
        <v>1416</v>
      </c>
      <c r="P1077" s="12">
        <v>1.7209178872185898E-2</v>
      </c>
      <c r="Q1077" s="12">
        <v>4.2982618384368003E-2</v>
      </c>
      <c r="R1077" s="12">
        <v>0.171370967741935</v>
      </c>
      <c r="S1077" s="14">
        <v>33</v>
      </c>
      <c r="T1077" s="12">
        <v>3.3317578567299702</v>
      </c>
      <c r="U1077" s="14">
        <v>352</v>
      </c>
      <c r="V1077" s="14">
        <v>4</v>
      </c>
      <c r="W1077" s="12">
        <v>5.7999999999999996E-3</v>
      </c>
      <c r="X1077" s="12">
        <v>3.33755785672997</v>
      </c>
      <c r="Y1077" s="14">
        <v>352</v>
      </c>
      <c r="Z1077" s="14">
        <v>33</v>
      </c>
      <c r="AA1077" s="12" t="s">
        <v>2367</v>
      </c>
    </row>
    <row r="1078" spans="1:27" ht="14.25" x14ac:dyDescent="0.45">
      <c r="A1078" s="12" t="s">
        <v>1453</v>
      </c>
      <c r="B1078" s="12" t="s">
        <v>1971</v>
      </c>
      <c r="C1078" s="12" t="s">
        <v>1977</v>
      </c>
      <c r="D1078" s="12" t="s">
        <v>1987</v>
      </c>
      <c r="E1078" s="20">
        <v>32568</v>
      </c>
      <c r="F1078" s="20">
        <v>44368</v>
      </c>
      <c r="G1078" s="12">
        <v>0.53</v>
      </c>
      <c r="H1078" s="12">
        <v>6.43333333333333</v>
      </c>
      <c r="I1078" s="13">
        <v>8.2383419689119206E-2</v>
      </c>
      <c r="J1078" s="12" t="s">
        <v>1453</v>
      </c>
      <c r="K1078" s="14">
        <v>1541</v>
      </c>
      <c r="L1078" s="14">
        <v>1497</v>
      </c>
      <c r="M1078" s="14">
        <v>1673</v>
      </c>
      <c r="N1078" s="12">
        <v>0.53</v>
      </c>
      <c r="O1078" s="12" t="s">
        <v>1453</v>
      </c>
      <c r="P1078" s="12">
        <v>8.5257663135712494E-5</v>
      </c>
      <c r="Q1078" s="12">
        <v>3.7513514379536902E-4</v>
      </c>
      <c r="R1078" s="12">
        <v>9.7278225806451596E-2</v>
      </c>
      <c r="S1078" s="14">
        <v>33</v>
      </c>
      <c r="T1078" s="12">
        <v>2.6643108854799799E-2</v>
      </c>
      <c r="U1078" s="14">
        <v>1649</v>
      </c>
      <c r="V1078" s="14">
        <v>1</v>
      </c>
      <c r="W1078" s="12">
        <v>5.4999999999999997E-3</v>
      </c>
      <c r="X1078" s="12">
        <v>3.2143108854799797E-2</v>
      </c>
      <c r="Y1078" s="14">
        <v>1649</v>
      </c>
      <c r="Z1078" s="14">
        <v>33</v>
      </c>
      <c r="AA1078" s="12" t="s">
        <v>2367</v>
      </c>
    </row>
    <row r="1079" spans="1:27" ht="14.25" x14ac:dyDescent="0.45">
      <c r="A1079" s="12" t="s">
        <v>1459</v>
      </c>
      <c r="B1079" s="12" t="s">
        <v>1971</v>
      </c>
      <c r="C1079" s="12" t="s">
        <v>1977</v>
      </c>
      <c r="D1079" s="12" t="s">
        <v>1974</v>
      </c>
      <c r="E1079" s="20">
        <v>34089</v>
      </c>
      <c r="F1079" s="20">
        <v>44336</v>
      </c>
      <c r="G1079" s="12">
        <v>2.09</v>
      </c>
      <c r="H1079" s="12">
        <v>7.5</v>
      </c>
      <c r="I1079" s="13">
        <v>0.27866666666666701</v>
      </c>
      <c r="J1079" s="12" t="s">
        <v>1459</v>
      </c>
      <c r="K1079" s="14">
        <v>1243</v>
      </c>
      <c r="L1079" s="14">
        <v>1377</v>
      </c>
      <c r="M1079" s="14">
        <v>1342</v>
      </c>
      <c r="N1079" s="12">
        <v>2.09</v>
      </c>
      <c r="O1079" s="12" t="s">
        <v>1459</v>
      </c>
      <c r="P1079" s="12">
        <v>3.3620474708233799E-4</v>
      </c>
      <c r="Q1079" s="12">
        <v>1.2689162511760001E-3</v>
      </c>
      <c r="R1079" s="12">
        <v>0.113407258064516</v>
      </c>
      <c r="S1079" s="14">
        <v>29</v>
      </c>
      <c r="T1079" s="12">
        <v>9.1914943714087705E-2</v>
      </c>
      <c r="U1079" s="14">
        <v>1309</v>
      </c>
      <c r="V1079" s="14">
        <v>1</v>
      </c>
      <c r="W1079" s="12">
        <v>5.4999999999999997E-3</v>
      </c>
      <c r="X1079" s="12">
        <v>9.7414943714087696E-2</v>
      </c>
      <c r="Y1079" s="14">
        <v>1309</v>
      </c>
      <c r="Z1079" s="14">
        <v>29</v>
      </c>
      <c r="AA1079" s="12" t="s">
        <v>2367</v>
      </c>
    </row>
    <row r="1080" spans="1:27" ht="14.25" x14ac:dyDescent="0.45">
      <c r="A1080" s="12" t="s">
        <v>1508</v>
      </c>
      <c r="B1080" s="12" t="s">
        <v>1971</v>
      </c>
      <c r="C1080" s="12" t="s">
        <v>1977</v>
      </c>
      <c r="D1080" s="12" t="s">
        <v>1974</v>
      </c>
      <c r="E1080" s="20">
        <v>32549</v>
      </c>
      <c r="F1080" s="20">
        <v>44326</v>
      </c>
      <c r="G1080" s="12">
        <v>1.38</v>
      </c>
      <c r="H1080" s="12">
        <v>7.8333333333333304</v>
      </c>
      <c r="I1080" s="13">
        <v>0.17617021276595701</v>
      </c>
      <c r="J1080" s="12" t="s">
        <v>1508</v>
      </c>
      <c r="K1080" s="14">
        <v>1375</v>
      </c>
      <c r="L1080" s="14">
        <v>1244</v>
      </c>
      <c r="M1080" s="14">
        <v>1491</v>
      </c>
      <c r="N1080" s="12">
        <v>1.38</v>
      </c>
      <c r="O1080" s="12" t="s">
        <v>1508</v>
      </c>
      <c r="P1080" s="12">
        <v>2.2199165118355301E-4</v>
      </c>
      <c r="Q1080" s="12">
        <v>8.0219585867891303E-4</v>
      </c>
      <c r="R1080" s="12">
        <v>0.118447580645161</v>
      </c>
      <c r="S1080" s="14">
        <v>33</v>
      </c>
      <c r="T1080" s="12">
        <v>5.8461928086815301E-2</v>
      </c>
      <c r="U1080" s="14">
        <v>1488</v>
      </c>
      <c r="V1080" s="14">
        <v>1</v>
      </c>
      <c r="W1080" s="12">
        <v>5.4999999999999997E-3</v>
      </c>
      <c r="X1080" s="12">
        <v>6.3961928086815306E-2</v>
      </c>
      <c r="Y1080" s="14">
        <v>1488</v>
      </c>
      <c r="Z1080" s="14">
        <v>33</v>
      </c>
      <c r="AA1080" s="12" t="s">
        <v>2367</v>
      </c>
    </row>
    <row r="1081" spans="1:27" ht="14.25" x14ac:dyDescent="0.45">
      <c r="A1081" s="12" t="s">
        <v>1559</v>
      </c>
      <c r="B1081" s="12" t="s">
        <v>1971</v>
      </c>
      <c r="C1081" s="12" t="s">
        <v>1977</v>
      </c>
      <c r="D1081" s="12" t="s">
        <v>2072</v>
      </c>
      <c r="E1081" s="20">
        <v>32904</v>
      </c>
      <c r="F1081" s="20">
        <v>44426</v>
      </c>
      <c r="G1081" s="12">
        <v>0.03</v>
      </c>
      <c r="H1081" s="12">
        <v>4.5</v>
      </c>
      <c r="I1081" s="13">
        <v>6.6666666666666697E-3</v>
      </c>
      <c r="J1081" s="12" t="s">
        <v>1559</v>
      </c>
      <c r="K1081" s="14">
        <v>1767</v>
      </c>
      <c r="L1081" s="14">
        <v>1839</v>
      </c>
      <c r="M1081" s="14">
        <v>1895</v>
      </c>
      <c r="N1081" s="12">
        <v>0.03</v>
      </c>
      <c r="O1081" s="12" t="s">
        <v>1559</v>
      </c>
      <c r="P1081" s="12">
        <v>4.8259054605120303E-6</v>
      </c>
      <c r="Q1081" s="12">
        <v>3.03568481142584E-5</v>
      </c>
      <c r="R1081" s="12">
        <v>6.80443548387097E-2</v>
      </c>
      <c r="S1081" s="14">
        <v>32</v>
      </c>
      <c r="T1081" s="12">
        <v>2.07827446191035E-3</v>
      </c>
      <c r="U1081" s="14">
        <v>1876</v>
      </c>
      <c r="V1081" s="14">
        <v>1</v>
      </c>
      <c r="W1081" s="12">
        <v>5.4999999999999997E-3</v>
      </c>
      <c r="X1081" s="12">
        <v>7.5782744619103497E-3</v>
      </c>
      <c r="Y1081" s="14">
        <v>1876</v>
      </c>
      <c r="Z1081" s="14">
        <v>32</v>
      </c>
      <c r="AA1081" s="12" t="s">
        <v>2367</v>
      </c>
    </row>
    <row r="1082" spans="1:27" ht="14.25" x14ac:dyDescent="0.45">
      <c r="A1082" s="12" t="s">
        <v>1580</v>
      </c>
      <c r="B1082" s="12" t="s">
        <v>1971</v>
      </c>
      <c r="C1082" s="12" t="s">
        <v>1977</v>
      </c>
      <c r="D1082" s="12" t="s">
        <v>1975</v>
      </c>
      <c r="E1082" s="20">
        <v>35492</v>
      </c>
      <c r="F1082" s="20">
        <v>44407</v>
      </c>
      <c r="G1082" s="12">
        <v>0.56000000000000005</v>
      </c>
      <c r="H1082" s="12">
        <v>5.1333333333333302</v>
      </c>
      <c r="I1082" s="13">
        <v>0.109090909090909</v>
      </c>
      <c r="J1082" s="12" t="s">
        <v>1580</v>
      </c>
      <c r="K1082" s="14">
        <v>1469</v>
      </c>
      <c r="L1082" s="14">
        <v>1720</v>
      </c>
      <c r="M1082" s="14">
        <v>1665</v>
      </c>
      <c r="N1082" s="12">
        <v>0.56000000000000005</v>
      </c>
      <c r="O1082" s="12" t="s">
        <v>1580</v>
      </c>
      <c r="P1082" s="12">
        <v>9.0083568596224504E-5</v>
      </c>
      <c r="Q1082" s="12">
        <v>4.9674842368786505E-4</v>
      </c>
      <c r="R1082" s="12">
        <v>7.7620967741935498E-2</v>
      </c>
      <c r="S1082" s="14">
        <v>25</v>
      </c>
      <c r="T1082" s="12">
        <v>3.4424910302849901E-2</v>
      </c>
      <c r="U1082" s="14">
        <v>1591</v>
      </c>
      <c r="V1082" s="14">
        <v>1</v>
      </c>
      <c r="W1082" s="12">
        <v>5.4999999999999997E-3</v>
      </c>
      <c r="X1082" s="12">
        <v>3.9924910302849899E-2</v>
      </c>
      <c r="Y1082" s="14">
        <v>1591</v>
      </c>
      <c r="Z1082" s="14">
        <v>25</v>
      </c>
      <c r="AA1082" s="12" t="s">
        <v>2367</v>
      </c>
    </row>
    <row r="1083" spans="1:27" ht="14.25" x14ac:dyDescent="0.45">
      <c r="A1083" s="12" t="s">
        <v>1590</v>
      </c>
      <c r="B1083" s="12" t="s">
        <v>1971</v>
      </c>
      <c r="C1083" s="12" t="s">
        <v>1977</v>
      </c>
      <c r="D1083" s="12" t="s">
        <v>1975</v>
      </c>
      <c r="E1083" s="20">
        <v>34872</v>
      </c>
      <c r="F1083" s="20">
        <v>44407</v>
      </c>
      <c r="G1083" s="12">
        <v>1.8</v>
      </c>
      <c r="H1083" s="12">
        <v>5.1333333333333302</v>
      </c>
      <c r="I1083" s="13">
        <v>0.35064935064935099</v>
      </c>
      <c r="J1083" s="12" t="s">
        <v>1590</v>
      </c>
      <c r="K1083" s="14">
        <v>1187</v>
      </c>
      <c r="L1083" s="14">
        <v>1720</v>
      </c>
      <c r="M1083" s="14">
        <v>1439</v>
      </c>
      <c r="N1083" s="12">
        <v>1.8</v>
      </c>
      <c r="O1083" s="12" t="s">
        <v>1590</v>
      </c>
      <c r="P1083" s="12">
        <v>2.89554327630722E-4</v>
      </c>
      <c r="Q1083" s="12">
        <v>1.59669136185385E-3</v>
      </c>
      <c r="R1083" s="12">
        <v>7.7620967741935498E-2</v>
      </c>
      <c r="S1083" s="14">
        <v>27</v>
      </c>
      <c r="T1083" s="12">
        <v>0.110651497402018</v>
      </c>
      <c r="U1083" s="14">
        <v>1262</v>
      </c>
      <c r="V1083" s="14">
        <v>1</v>
      </c>
      <c r="W1083" s="12">
        <v>5.4999999999999997E-3</v>
      </c>
      <c r="X1083" s="12">
        <v>0.11615149740201799</v>
      </c>
      <c r="Y1083" s="14">
        <v>1262</v>
      </c>
      <c r="Z1083" s="14">
        <v>27</v>
      </c>
      <c r="AA1083" s="12" t="s">
        <v>2367</v>
      </c>
    </row>
    <row r="1084" spans="1:27" ht="14.25" x14ac:dyDescent="0.45">
      <c r="A1084" s="12" t="s">
        <v>1702</v>
      </c>
      <c r="B1084" s="12" t="s">
        <v>1971</v>
      </c>
      <c r="C1084" s="12" t="s">
        <v>1977</v>
      </c>
      <c r="D1084" s="12" t="s">
        <v>2020</v>
      </c>
      <c r="E1084" s="20">
        <v>32695</v>
      </c>
      <c r="F1084" s="20">
        <v>44413</v>
      </c>
      <c r="G1084" s="12">
        <v>0.72</v>
      </c>
      <c r="H1084" s="12">
        <v>4.93333333333333</v>
      </c>
      <c r="I1084" s="13">
        <v>0.14594594594594601</v>
      </c>
      <c r="J1084" s="12" t="s">
        <v>1702</v>
      </c>
      <c r="K1084" s="14">
        <v>1420</v>
      </c>
      <c r="L1084" s="14">
        <v>1745</v>
      </c>
      <c r="M1084" s="14">
        <v>1618</v>
      </c>
      <c r="N1084" s="12">
        <v>0.72</v>
      </c>
      <c r="O1084" s="12" t="s">
        <v>1702</v>
      </c>
      <c r="P1084" s="12">
        <v>1.15821731052289E-4</v>
      </c>
      <c r="Q1084" s="12">
        <v>6.6456883709592701E-4</v>
      </c>
      <c r="R1084" s="12">
        <v>7.4596774193548404E-2</v>
      </c>
      <c r="S1084" s="14">
        <v>33</v>
      </c>
      <c r="T1084" s="12">
        <v>4.58788672329562E-2</v>
      </c>
      <c r="U1084" s="14">
        <v>1538</v>
      </c>
      <c r="V1084" s="14">
        <v>1</v>
      </c>
      <c r="W1084" s="12">
        <v>5.4999999999999997E-3</v>
      </c>
      <c r="X1084" s="12">
        <v>5.1378867232956198E-2</v>
      </c>
      <c r="Y1084" s="14">
        <v>1538</v>
      </c>
      <c r="Z1084" s="14">
        <v>33</v>
      </c>
      <c r="AA1084" s="12" t="s">
        <v>2367</v>
      </c>
    </row>
    <row r="1085" spans="1:27" ht="14.25" x14ac:dyDescent="0.45">
      <c r="A1085" s="12" t="s">
        <v>1705</v>
      </c>
      <c r="B1085" s="12" t="s">
        <v>1971</v>
      </c>
      <c r="C1085" s="12" t="s">
        <v>1977</v>
      </c>
      <c r="D1085" s="12" t="s">
        <v>1997</v>
      </c>
      <c r="E1085" s="20">
        <v>32843</v>
      </c>
      <c r="F1085" s="20">
        <v>44414</v>
      </c>
      <c r="G1085" s="12">
        <v>0.09</v>
      </c>
      <c r="H1085" s="12">
        <v>4.9000000000000004</v>
      </c>
      <c r="I1085" s="13">
        <v>1.8367346938775501E-2</v>
      </c>
      <c r="J1085" s="12" t="s">
        <v>1705</v>
      </c>
      <c r="K1085" s="14">
        <v>1694</v>
      </c>
      <c r="L1085" s="14">
        <v>1748</v>
      </c>
      <c r="M1085" s="14">
        <v>1839</v>
      </c>
      <c r="N1085" s="12">
        <v>0.09</v>
      </c>
      <c r="O1085" s="12" t="s">
        <v>1705</v>
      </c>
      <c r="P1085" s="12">
        <v>1.44777163815361E-5</v>
      </c>
      <c r="Q1085" s="12">
        <v>8.3636214192344495E-5</v>
      </c>
      <c r="R1085" s="12">
        <v>7.4092741935483902E-2</v>
      </c>
      <c r="S1085" s="14">
        <v>33</v>
      </c>
      <c r="T1085" s="12">
        <v>5.77017775132914E-3</v>
      </c>
      <c r="U1085" s="14">
        <v>1807</v>
      </c>
      <c r="V1085" s="14">
        <v>1</v>
      </c>
      <c r="W1085" s="12">
        <v>5.4999999999999997E-3</v>
      </c>
      <c r="X1085" s="12">
        <v>1.1270177751329101E-2</v>
      </c>
      <c r="Y1085" s="14">
        <v>1807</v>
      </c>
      <c r="Z1085" s="14">
        <v>32</v>
      </c>
      <c r="AA1085" s="12" t="s">
        <v>2367</v>
      </c>
    </row>
    <row r="1086" spans="1:27" ht="14.25" x14ac:dyDescent="0.45">
      <c r="A1086" s="12" t="s">
        <v>1762</v>
      </c>
      <c r="B1086" s="12" t="s">
        <v>1971</v>
      </c>
      <c r="C1086" s="12" t="s">
        <v>1977</v>
      </c>
      <c r="D1086" s="12" t="s">
        <v>1990</v>
      </c>
      <c r="E1086" s="20">
        <v>34129</v>
      </c>
      <c r="F1086" s="20">
        <v>44388</v>
      </c>
      <c r="G1086" s="12">
        <v>2.2799999999999998</v>
      </c>
      <c r="H1086" s="12">
        <v>5.7666666666666702</v>
      </c>
      <c r="I1086" s="13">
        <v>0.39537572254335301</v>
      </c>
      <c r="J1086" s="12" t="s">
        <v>1762</v>
      </c>
      <c r="K1086" s="14">
        <v>1143</v>
      </c>
      <c r="L1086" s="14">
        <v>1658</v>
      </c>
      <c r="M1086" s="14">
        <v>1308</v>
      </c>
      <c r="N1086" s="12">
        <v>2.2799999999999998</v>
      </c>
      <c r="O1086" s="12" t="s">
        <v>1762</v>
      </c>
      <c r="P1086" s="12">
        <v>3.6676881499891401E-4</v>
      </c>
      <c r="Q1086" s="12">
        <v>1.80035411359706E-3</v>
      </c>
      <c r="R1086" s="12">
        <v>8.7197580645161296E-2</v>
      </c>
      <c r="S1086" s="14">
        <v>29</v>
      </c>
      <c r="T1086" s="12">
        <v>0.126275962662275</v>
      </c>
      <c r="U1086" s="14">
        <v>1213</v>
      </c>
      <c r="V1086" s="14">
        <v>2</v>
      </c>
      <c r="W1086" s="12">
        <v>5.5999999999999999E-3</v>
      </c>
      <c r="X1086" s="12">
        <v>0.131875962662275</v>
      </c>
      <c r="Y1086" s="14">
        <v>1212</v>
      </c>
      <c r="Z1086" s="14">
        <v>29</v>
      </c>
      <c r="AA1086" s="12" t="s">
        <v>2367</v>
      </c>
    </row>
    <row r="1087" spans="1:27" ht="14.25" x14ac:dyDescent="0.45">
      <c r="A1087" s="12" t="s">
        <v>1808</v>
      </c>
      <c r="B1087" s="12" t="s">
        <v>1971</v>
      </c>
      <c r="C1087" s="12" t="s">
        <v>1977</v>
      </c>
      <c r="D1087" s="12" t="s">
        <v>2026</v>
      </c>
      <c r="E1087" s="20">
        <v>33060</v>
      </c>
      <c r="F1087" s="20">
        <v>43346</v>
      </c>
      <c r="G1087" s="12">
        <v>13.8</v>
      </c>
      <c r="H1087" s="12">
        <v>40.5</v>
      </c>
      <c r="I1087" s="13">
        <v>0.34074074074074101</v>
      </c>
      <c r="J1087" s="12" t="s">
        <v>1808</v>
      </c>
      <c r="K1087" s="14">
        <v>1196</v>
      </c>
      <c r="L1087" s="14">
        <v>180</v>
      </c>
      <c r="M1087" s="14">
        <v>782</v>
      </c>
      <c r="N1087" s="12">
        <v>13.8</v>
      </c>
      <c r="O1087" s="12" t="s">
        <v>1808</v>
      </c>
      <c r="P1087" s="12">
        <v>2.2199165118355299E-3</v>
      </c>
      <c r="Q1087" s="12">
        <v>1.5515722369509801E-3</v>
      </c>
      <c r="R1087" s="12">
        <v>0.61239919354838701</v>
      </c>
      <c r="S1087" s="14">
        <v>32</v>
      </c>
      <c r="T1087" s="12">
        <v>0.180220134003269</v>
      </c>
      <c r="U1087" s="14">
        <v>1082</v>
      </c>
      <c r="V1087" s="14">
        <v>3</v>
      </c>
      <c r="W1087" s="12">
        <v>5.7000000000000002E-3</v>
      </c>
      <c r="X1087" s="12">
        <v>0.18592013400326901</v>
      </c>
      <c r="Y1087" s="14">
        <v>1082</v>
      </c>
      <c r="Z1087" s="14">
        <v>32</v>
      </c>
      <c r="AA1087" s="12" t="s">
        <v>2367</v>
      </c>
    </row>
    <row r="1088" spans="1:27" ht="14.25" x14ac:dyDescent="0.45">
      <c r="A1088" s="12" t="s">
        <v>1832</v>
      </c>
      <c r="B1088" s="12" t="s">
        <v>1971</v>
      </c>
      <c r="C1088" s="12" t="s">
        <v>1977</v>
      </c>
      <c r="D1088" s="12" t="s">
        <v>1975</v>
      </c>
      <c r="E1088" s="20">
        <v>34819</v>
      </c>
      <c r="F1088" s="20">
        <v>44337</v>
      </c>
      <c r="G1088" s="12">
        <v>73.45</v>
      </c>
      <c r="H1088" s="12">
        <v>7.4666666666666703</v>
      </c>
      <c r="I1088" s="13">
        <v>9.8370535714285694</v>
      </c>
      <c r="J1088" s="12" t="s">
        <v>1832</v>
      </c>
      <c r="K1088" s="14">
        <v>301</v>
      </c>
      <c r="L1088" s="14">
        <v>1428</v>
      </c>
      <c r="M1088" s="14">
        <v>418</v>
      </c>
      <c r="N1088" s="12">
        <v>73.45</v>
      </c>
      <c r="O1088" s="12" t="s">
        <v>1832</v>
      </c>
      <c r="P1088" s="12">
        <v>1.18154252024869E-2</v>
      </c>
      <c r="Q1088" s="12">
        <v>4.4793291173951998E-2</v>
      </c>
      <c r="R1088" s="12">
        <v>0.112903225806452</v>
      </c>
      <c r="S1088" s="14">
        <v>27</v>
      </c>
      <c r="T1088" s="12">
        <v>3.2426591434652599</v>
      </c>
      <c r="U1088" s="14">
        <v>357</v>
      </c>
      <c r="V1088" s="14">
        <v>1</v>
      </c>
      <c r="W1088" s="12">
        <v>5.4999999999999997E-3</v>
      </c>
      <c r="X1088" s="12">
        <v>3.2481591434652599</v>
      </c>
      <c r="Y1088" s="14">
        <v>357</v>
      </c>
      <c r="Z1088" s="14">
        <v>27</v>
      </c>
      <c r="AA1088" s="12" t="s">
        <v>2367</v>
      </c>
    </row>
    <row r="1089" spans="1:27" ht="14.25" x14ac:dyDescent="0.45">
      <c r="A1089" s="12" t="s">
        <v>1895</v>
      </c>
      <c r="B1089" s="12" t="s">
        <v>1971</v>
      </c>
      <c r="C1089" s="12" t="s">
        <v>1977</v>
      </c>
      <c r="D1089" s="12" t="s">
        <v>1973</v>
      </c>
      <c r="E1089" s="20">
        <v>34281</v>
      </c>
      <c r="F1089" s="20">
        <v>44531</v>
      </c>
      <c r="G1089" s="12">
        <v>4.9800000000000004</v>
      </c>
      <c r="H1089" s="12">
        <v>1</v>
      </c>
      <c r="I1089" s="13">
        <v>4.9800000000000004</v>
      </c>
      <c r="J1089" s="12" t="s">
        <v>1895</v>
      </c>
      <c r="K1089" s="14">
        <v>447</v>
      </c>
      <c r="L1089" s="14">
        <v>1942</v>
      </c>
      <c r="M1089" s="14">
        <v>1037</v>
      </c>
      <c r="N1089" s="12">
        <v>4.9800000000000004</v>
      </c>
      <c r="O1089" s="12" t="s">
        <v>1895</v>
      </c>
      <c r="P1089" s="12">
        <v>8.0110030644499699E-4</v>
      </c>
      <c r="Q1089" s="12">
        <v>2.2676565541351001E-2</v>
      </c>
      <c r="R1089" s="12">
        <v>1.51209677419355E-2</v>
      </c>
      <c r="S1089" s="14">
        <v>29</v>
      </c>
      <c r="T1089" s="12">
        <v>1.44732660782613</v>
      </c>
      <c r="U1089" s="14">
        <v>500</v>
      </c>
      <c r="V1089" s="14">
        <v>2</v>
      </c>
      <c r="W1089" s="12">
        <v>5.5999999999999999E-3</v>
      </c>
      <c r="X1089" s="12">
        <v>1.45292660782613</v>
      </c>
      <c r="Y1089" s="14">
        <v>500</v>
      </c>
      <c r="Z1089" s="14">
        <v>28</v>
      </c>
      <c r="AA1089" s="12" t="s">
        <v>2367</v>
      </c>
    </row>
    <row r="1090" spans="1:27" ht="14.25" x14ac:dyDescent="0.45">
      <c r="A1090" s="12" t="s">
        <v>1935</v>
      </c>
      <c r="B1090" s="12" t="s">
        <v>1971</v>
      </c>
      <c r="C1090" s="12" t="s">
        <v>1977</v>
      </c>
      <c r="D1090" s="12" t="s">
        <v>1995</v>
      </c>
      <c r="E1090" s="20">
        <v>33414</v>
      </c>
      <c r="F1090" s="20">
        <v>44543</v>
      </c>
      <c r="G1090" s="12">
        <v>4.21</v>
      </c>
      <c r="H1090" s="12">
        <v>0.6</v>
      </c>
      <c r="I1090" s="13">
        <v>7.0166666666666702</v>
      </c>
      <c r="J1090" s="12" t="s">
        <v>1935</v>
      </c>
      <c r="K1090" s="14">
        <v>377</v>
      </c>
      <c r="L1090" s="14">
        <v>1955</v>
      </c>
      <c r="M1090" s="14">
        <v>1097</v>
      </c>
      <c r="N1090" s="12">
        <v>4.21</v>
      </c>
      <c r="O1090" s="12" t="s">
        <v>1935</v>
      </c>
      <c r="P1090" s="12">
        <v>6.7723539962518797E-4</v>
      </c>
      <c r="Q1090" s="12">
        <v>3.1950582640256998E-2</v>
      </c>
      <c r="R1090" s="12">
        <v>9.0725806451612892E-3</v>
      </c>
      <c r="S1090" s="14">
        <v>31</v>
      </c>
      <c r="T1090" s="12">
        <v>2.022307742502</v>
      </c>
      <c r="U1090" s="14">
        <v>437</v>
      </c>
      <c r="V1090" s="14">
        <v>1</v>
      </c>
      <c r="W1090" s="12">
        <v>5.4999999999999997E-3</v>
      </c>
      <c r="X1090" s="12">
        <v>2.027807742502</v>
      </c>
      <c r="Y1090" s="14">
        <v>437</v>
      </c>
      <c r="Z1090" s="14">
        <v>31</v>
      </c>
      <c r="AA1090" s="12" t="s">
        <v>2367</v>
      </c>
    </row>
    <row r="1091" spans="1:27" ht="14.25" x14ac:dyDescent="0.45">
      <c r="A1091" s="12" t="s">
        <v>102</v>
      </c>
      <c r="B1091" s="12" t="s">
        <v>1971</v>
      </c>
      <c r="C1091" s="12" t="s">
        <v>1981</v>
      </c>
      <c r="D1091" s="12" t="s">
        <v>1982</v>
      </c>
      <c r="E1091" s="20">
        <v>36453</v>
      </c>
      <c r="F1091" s="20">
        <v>43893</v>
      </c>
      <c r="G1091" s="12">
        <v>202.05</v>
      </c>
      <c r="H1091" s="12">
        <v>22.266666666666701</v>
      </c>
      <c r="I1091" s="13">
        <v>9.0741017964071897</v>
      </c>
      <c r="J1091" s="12" t="s">
        <v>102</v>
      </c>
      <c r="K1091" s="14">
        <v>318</v>
      </c>
      <c r="L1091" s="14">
        <v>420</v>
      </c>
      <c r="M1091" s="14">
        <v>287</v>
      </c>
      <c r="N1091" s="12">
        <v>202.05</v>
      </c>
      <c r="O1091" s="12" t="s">
        <v>102</v>
      </c>
      <c r="P1091" s="12">
        <v>3.2502473276548503E-2</v>
      </c>
      <c r="Q1091" s="12">
        <v>4.1319169501027798E-2</v>
      </c>
      <c r="R1091" s="12">
        <v>0.33669354838709697</v>
      </c>
      <c r="S1091" s="14">
        <v>23</v>
      </c>
      <c r="T1091" s="12">
        <v>3.8012908416848101</v>
      </c>
      <c r="U1091" s="14">
        <v>324</v>
      </c>
      <c r="V1091" s="14">
        <v>24</v>
      </c>
      <c r="W1091" s="12">
        <v>7.4000000000000003E-3</v>
      </c>
      <c r="X1091" s="12">
        <v>3.8086908416848102</v>
      </c>
      <c r="Y1091" s="14">
        <v>324</v>
      </c>
      <c r="Z1091" s="14">
        <v>22</v>
      </c>
      <c r="AA1091" s="12" t="s">
        <v>2370</v>
      </c>
    </row>
    <row r="1092" spans="1:27" ht="14.25" x14ac:dyDescent="0.45">
      <c r="A1092" s="12" t="s">
        <v>117</v>
      </c>
      <c r="B1092" s="12" t="s">
        <v>1971</v>
      </c>
      <c r="C1092" s="12" t="s">
        <v>1981</v>
      </c>
      <c r="D1092" s="12" t="s">
        <v>1984</v>
      </c>
      <c r="E1092" s="20">
        <v>36572</v>
      </c>
      <c r="F1092" s="20">
        <v>44216</v>
      </c>
      <c r="G1092" s="12">
        <v>2.2599999999999998</v>
      </c>
      <c r="H1092" s="12">
        <v>11.5</v>
      </c>
      <c r="I1092" s="13">
        <v>0.196521739130435</v>
      </c>
      <c r="J1092" s="12" t="s">
        <v>117</v>
      </c>
      <c r="K1092" s="14">
        <v>1356</v>
      </c>
      <c r="L1092" s="14">
        <v>841</v>
      </c>
      <c r="M1092" s="14">
        <v>1313</v>
      </c>
      <c r="N1092" s="12">
        <v>2.2599999999999998</v>
      </c>
      <c r="O1092" s="12" t="s">
        <v>117</v>
      </c>
      <c r="P1092" s="12">
        <v>3.6355154469190599E-4</v>
      </c>
      <c r="Q1092" s="12">
        <v>8.9486708788987803E-4</v>
      </c>
      <c r="R1092" s="12">
        <v>0.17389112903225801</v>
      </c>
      <c r="S1092" s="14">
        <v>22</v>
      </c>
      <c r="T1092" s="12">
        <v>6.9562375919063807E-2</v>
      </c>
      <c r="U1092" s="14">
        <v>1447</v>
      </c>
      <c r="V1092" s="14">
        <v>1</v>
      </c>
      <c r="W1092" s="12">
        <v>5.4999999999999997E-3</v>
      </c>
      <c r="X1092" s="12">
        <v>7.5062375919063798E-2</v>
      </c>
      <c r="Y1092" s="14">
        <v>1447</v>
      </c>
      <c r="Z1092" s="14">
        <v>22</v>
      </c>
      <c r="AA1092" s="12" t="s">
        <v>2370</v>
      </c>
    </row>
    <row r="1093" spans="1:27" ht="14.25" x14ac:dyDescent="0.45">
      <c r="A1093" s="12" t="s">
        <v>149</v>
      </c>
      <c r="B1093" s="12" t="s">
        <v>1971</v>
      </c>
      <c r="C1093" s="12" t="s">
        <v>1981</v>
      </c>
      <c r="D1093" s="12" t="s">
        <v>1982</v>
      </c>
      <c r="E1093" s="20">
        <v>36880</v>
      </c>
      <c r="F1093" s="20">
        <v>44176</v>
      </c>
      <c r="G1093" s="12">
        <v>260.3</v>
      </c>
      <c r="H1093" s="12">
        <v>12.8333333333333</v>
      </c>
      <c r="I1093" s="13">
        <v>20.2831168831169</v>
      </c>
      <c r="J1093" s="12" t="s">
        <v>149</v>
      </c>
      <c r="K1093" s="14">
        <v>131</v>
      </c>
      <c r="L1093" s="14">
        <v>696</v>
      </c>
      <c r="M1093" s="14">
        <v>251</v>
      </c>
      <c r="N1093" s="12">
        <v>260.3</v>
      </c>
      <c r="O1093" s="12" t="s">
        <v>149</v>
      </c>
      <c r="P1093" s="12">
        <v>4.1872773045709397E-2</v>
      </c>
      <c r="Q1093" s="12">
        <v>9.23597247756794E-2</v>
      </c>
      <c r="R1093" s="12">
        <v>0.194052419354839</v>
      </c>
      <c r="S1093" s="14">
        <v>22</v>
      </c>
      <c r="T1093" s="12">
        <v>7.3427117876940597</v>
      </c>
      <c r="U1093" s="14">
        <v>177</v>
      </c>
      <c r="V1093" s="14">
        <v>4</v>
      </c>
      <c r="W1093" s="12">
        <v>5.7999999999999996E-3</v>
      </c>
      <c r="X1093" s="12">
        <v>7.3485117876940604</v>
      </c>
      <c r="Y1093" s="14">
        <v>177</v>
      </c>
      <c r="Z1093" s="14">
        <v>21</v>
      </c>
      <c r="AA1093" s="12" t="s">
        <v>2370</v>
      </c>
    </row>
    <row r="1094" spans="1:27" ht="14.25" x14ac:dyDescent="0.45">
      <c r="A1094" s="12" t="s">
        <v>198</v>
      </c>
      <c r="B1094" s="12" t="s">
        <v>1971</v>
      </c>
      <c r="C1094" s="12" t="s">
        <v>1981</v>
      </c>
      <c r="D1094" s="12" t="s">
        <v>1982</v>
      </c>
      <c r="E1094" s="20">
        <v>36851</v>
      </c>
      <c r="F1094" s="20">
        <v>44180</v>
      </c>
      <c r="G1094" s="12">
        <v>115.89</v>
      </c>
      <c r="H1094" s="12">
        <v>12.7</v>
      </c>
      <c r="I1094" s="13">
        <v>9.1251968503936993</v>
      </c>
      <c r="J1094" s="12" t="s">
        <v>198</v>
      </c>
      <c r="K1094" s="14">
        <v>317</v>
      </c>
      <c r="L1094" s="14">
        <v>704</v>
      </c>
      <c r="M1094" s="14">
        <v>362</v>
      </c>
      <c r="N1094" s="12">
        <v>115.89</v>
      </c>
      <c r="O1094" s="12" t="s">
        <v>198</v>
      </c>
      <c r="P1094" s="12">
        <v>1.8642472793958E-2</v>
      </c>
      <c r="Q1094" s="12">
        <v>4.1551832220016599E-2</v>
      </c>
      <c r="R1094" s="12">
        <v>0.19203629032258099</v>
      </c>
      <c r="S1094" s="14">
        <v>22</v>
      </c>
      <c r="T1094" s="12">
        <v>3.2960822435244599</v>
      </c>
      <c r="U1094" s="14">
        <v>354</v>
      </c>
      <c r="V1094" s="14">
        <v>16</v>
      </c>
      <c r="W1094" s="12">
        <v>6.8999999999999999E-3</v>
      </c>
      <c r="X1094" s="12">
        <v>3.3029822435244598</v>
      </c>
      <c r="Y1094" s="14">
        <v>354</v>
      </c>
      <c r="Z1094" s="14">
        <v>21</v>
      </c>
      <c r="AA1094" s="12" t="s">
        <v>2370</v>
      </c>
    </row>
    <row r="1095" spans="1:27" ht="14.25" x14ac:dyDescent="0.45">
      <c r="A1095" s="12" t="s">
        <v>310</v>
      </c>
      <c r="B1095" s="12" t="s">
        <v>1971</v>
      </c>
      <c r="C1095" s="12" t="s">
        <v>1981</v>
      </c>
      <c r="D1095" s="12" t="s">
        <v>1975</v>
      </c>
      <c r="E1095" s="20">
        <v>35652</v>
      </c>
      <c r="F1095" s="20">
        <v>43738</v>
      </c>
      <c r="G1095" s="12">
        <v>2329.13</v>
      </c>
      <c r="H1095" s="12">
        <v>27.433333333333302</v>
      </c>
      <c r="I1095" s="13">
        <v>84.901458080194402</v>
      </c>
      <c r="J1095" s="12" t="s">
        <v>310</v>
      </c>
      <c r="K1095" s="14">
        <v>26</v>
      </c>
      <c r="L1095" s="14">
        <v>300</v>
      </c>
      <c r="M1095" s="14">
        <v>17</v>
      </c>
      <c r="N1095" s="12">
        <v>2329.13</v>
      </c>
      <c r="O1095" s="12" t="s">
        <v>310</v>
      </c>
      <c r="P1095" s="12">
        <v>0.37467203950807898</v>
      </c>
      <c r="Q1095" s="12">
        <v>0.38660110014293098</v>
      </c>
      <c r="R1095" s="12">
        <v>0.41481854838709697</v>
      </c>
      <c r="S1095" s="14">
        <v>25</v>
      </c>
      <c r="T1095" s="12">
        <v>38.212770240486101</v>
      </c>
      <c r="U1095" s="14">
        <v>18</v>
      </c>
      <c r="V1095" s="14">
        <v>9</v>
      </c>
      <c r="W1095" s="12">
        <v>6.3E-3</v>
      </c>
      <c r="X1095" s="12">
        <v>38.219070240486097</v>
      </c>
      <c r="Y1095" s="14">
        <v>18</v>
      </c>
      <c r="Z1095" s="14">
        <v>24</v>
      </c>
      <c r="AA1095" s="12" t="s">
        <v>2370</v>
      </c>
    </row>
    <row r="1096" spans="1:27" ht="14.25" x14ac:dyDescent="0.45">
      <c r="A1096" s="12" t="s">
        <v>383</v>
      </c>
      <c r="B1096" s="12" t="s">
        <v>1971</v>
      </c>
      <c r="C1096" s="12" t="s">
        <v>1981</v>
      </c>
      <c r="D1096" s="12" t="s">
        <v>1982</v>
      </c>
      <c r="E1096" s="20">
        <v>36980</v>
      </c>
      <c r="F1096" s="20">
        <v>43850</v>
      </c>
      <c r="G1096" s="12">
        <v>418.34</v>
      </c>
      <c r="H1096" s="12">
        <v>23.7</v>
      </c>
      <c r="I1096" s="13">
        <v>17.6514767932489</v>
      </c>
      <c r="J1096" s="12" t="s">
        <v>383</v>
      </c>
      <c r="K1096" s="14">
        <v>158</v>
      </c>
      <c r="L1096" s="14">
        <v>390</v>
      </c>
      <c r="M1096" s="14">
        <v>179</v>
      </c>
      <c r="N1096" s="12">
        <v>418.34</v>
      </c>
      <c r="O1096" s="12" t="s">
        <v>383</v>
      </c>
      <c r="P1096" s="12">
        <v>6.7295643011686695E-2</v>
      </c>
      <c r="Q1096" s="12">
        <v>8.0376480000752204E-2</v>
      </c>
      <c r="R1096" s="12">
        <v>0.358366935483871</v>
      </c>
      <c r="S1096" s="14">
        <v>21</v>
      </c>
      <c r="T1096" s="12">
        <v>7.5471166129852696</v>
      </c>
      <c r="U1096" s="14">
        <v>171</v>
      </c>
      <c r="V1096" s="14">
        <v>5</v>
      </c>
      <c r="W1096" s="12">
        <v>5.8999999999999999E-3</v>
      </c>
      <c r="X1096" s="12">
        <v>7.5530166129852701</v>
      </c>
      <c r="Y1096" s="14">
        <v>171</v>
      </c>
      <c r="Z1096" s="14">
        <v>21</v>
      </c>
      <c r="AA1096" s="12" t="s">
        <v>2370</v>
      </c>
    </row>
    <row r="1097" spans="1:27" ht="14.25" x14ac:dyDescent="0.45">
      <c r="A1097" s="12" t="s">
        <v>394</v>
      </c>
      <c r="B1097" s="12" t="s">
        <v>1971</v>
      </c>
      <c r="C1097" s="12" t="s">
        <v>1981</v>
      </c>
      <c r="D1097" s="12" t="s">
        <v>1982</v>
      </c>
      <c r="E1097" s="20">
        <v>36592</v>
      </c>
      <c r="F1097" s="20">
        <v>44162</v>
      </c>
      <c r="G1097" s="12">
        <v>42.11</v>
      </c>
      <c r="H1097" s="12">
        <v>13.3</v>
      </c>
      <c r="I1097" s="13">
        <v>3.1661654135338302</v>
      </c>
      <c r="J1097" s="12" t="s">
        <v>394</v>
      </c>
      <c r="K1097" s="14">
        <v>545</v>
      </c>
      <c r="L1097" s="14">
        <v>652</v>
      </c>
      <c r="M1097" s="14">
        <v>507</v>
      </c>
      <c r="N1097" s="12">
        <v>42.11</v>
      </c>
      <c r="O1097" s="12" t="s">
        <v>394</v>
      </c>
      <c r="P1097" s="12">
        <v>6.7739626314053799E-3</v>
      </c>
      <c r="Q1097" s="12">
        <v>1.44172203844897E-2</v>
      </c>
      <c r="R1097" s="12">
        <v>0.20110887096774199</v>
      </c>
      <c r="S1097" s="14">
        <v>22</v>
      </c>
      <c r="T1097" s="12">
        <v>1.1550998727083099</v>
      </c>
      <c r="U1097" s="14">
        <v>540</v>
      </c>
      <c r="V1097" s="14">
        <v>12</v>
      </c>
      <c r="W1097" s="12">
        <v>6.6E-3</v>
      </c>
      <c r="X1097" s="12">
        <v>1.1616998727083101</v>
      </c>
      <c r="Y1097" s="14">
        <v>540</v>
      </c>
      <c r="Z1097" s="14">
        <v>22</v>
      </c>
      <c r="AA1097" s="12" t="s">
        <v>2370</v>
      </c>
    </row>
    <row r="1098" spans="1:27" ht="14.25" x14ac:dyDescent="0.45">
      <c r="A1098" s="12" t="s">
        <v>481</v>
      </c>
      <c r="B1098" s="12" t="s">
        <v>1971</v>
      </c>
      <c r="C1098" s="12" t="s">
        <v>1981</v>
      </c>
      <c r="D1098" s="12" t="s">
        <v>1982</v>
      </c>
      <c r="E1098" s="20">
        <v>36260</v>
      </c>
      <c r="F1098" s="20">
        <v>43762</v>
      </c>
      <c r="G1098" s="12">
        <v>0.02</v>
      </c>
      <c r="H1098" s="12">
        <v>26.633333333333301</v>
      </c>
      <c r="I1098" s="13">
        <v>7.5093867334167705E-4</v>
      </c>
      <c r="J1098" s="12" t="s">
        <v>481</v>
      </c>
      <c r="K1098" s="14">
        <v>1836</v>
      </c>
      <c r="L1098" s="14">
        <v>341</v>
      </c>
      <c r="M1098" s="14">
        <v>1922</v>
      </c>
      <c r="N1098" s="12">
        <v>0.02</v>
      </c>
      <c r="O1098" s="12" t="s">
        <v>481</v>
      </c>
      <c r="P1098" s="12">
        <v>3.2172703070080202E-6</v>
      </c>
      <c r="Q1098" s="12">
        <v>3.4194196874634001E-6</v>
      </c>
      <c r="R1098" s="12">
        <v>0.40272177419354799</v>
      </c>
      <c r="S1098" s="14">
        <v>23</v>
      </c>
      <c r="T1098" s="12">
        <v>3.3436136697926298E-4</v>
      </c>
      <c r="U1098" s="14">
        <v>1948</v>
      </c>
      <c r="V1098" s="14">
        <v>1</v>
      </c>
      <c r="W1098" s="12">
        <v>5.4999999999999997E-3</v>
      </c>
      <c r="X1098" s="12">
        <v>5.8343613669792601E-3</v>
      </c>
      <c r="Y1098" s="14">
        <v>1949</v>
      </c>
      <c r="Z1098" s="14">
        <v>23</v>
      </c>
      <c r="AA1098" s="12" t="s">
        <v>2370</v>
      </c>
    </row>
    <row r="1099" spans="1:27" ht="14.25" x14ac:dyDescent="0.45">
      <c r="A1099" s="12" t="s">
        <v>508</v>
      </c>
      <c r="B1099" s="12" t="s">
        <v>1971</v>
      </c>
      <c r="C1099" s="12" t="s">
        <v>1981</v>
      </c>
      <c r="D1099" s="12" t="s">
        <v>1982</v>
      </c>
      <c r="E1099" s="20">
        <v>37055</v>
      </c>
      <c r="F1099" s="20">
        <v>44137</v>
      </c>
      <c r="G1099" s="12">
        <v>181.67</v>
      </c>
      <c r="H1099" s="12">
        <v>14.133333333333301</v>
      </c>
      <c r="I1099" s="13">
        <v>12.8540094339623</v>
      </c>
      <c r="J1099" s="12" t="s">
        <v>508</v>
      </c>
      <c r="K1099" s="14">
        <v>230</v>
      </c>
      <c r="L1099" s="14">
        <v>599</v>
      </c>
      <c r="M1099" s="14">
        <v>301</v>
      </c>
      <c r="N1099" s="12">
        <v>181.67</v>
      </c>
      <c r="O1099" s="12" t="s">
        <v>508</v>
      </c>
      <c r="P1099" s="12">
        <v>2.92240748337073E-2</v>
      </c>
      <c r="Q1099" s="12">
        <v>5.8531081806905499E-2</v>
      </c>
      <c r="R1099" s="12">
        <v>0.21370967741935501</v>
      </c>
      <c r="S1099" s="14">
        <v>21</v>
      </c>
      <c r="T1099" s="12">
        <v>4.75409541919562</v>
      </c>
      <c r="U1099" s="14">
        <v>274</v>
      </c>
      <c r="V1099" s="14">
        <v>6</v>
      </c>
      <c r="W1099" s="12">
        <v>6.0000000000000001E-3</v>
      </c>
      <c r="X1099" s="12">
        <v>4.7600954191956202</v>
      </c>
      <c r="Y1099" s="14">
        <v>274</v>
      </c>
      <c r="Z1099" s="14">
        <v>21</v>
      </c>
      <c r="AA1099" s="12" t="s">
        <v>2370</v>
      </c>
    </row>
    <row r="1100" spans="1:27" ht="14.25" x14ac:dyDescent="0.45">
      <c r="A1100" s="12" t="s">
        <v>796</v>
      </c>
      <c r="B1100" s="12" t="s">
        <v>1971</v>
      </c>
      <c r="C1100" s="12" t="s">
        <v>1981</v>
      </c>
      <c r="D1100" s="12" t="s">
        <v>1975</v>
      </c>
      <c r="E1100" s="20">
        <v>36517</v>
      </c>
      <c r="F1100" s="20">
        <v>44266</v>
      </c>
      <c r="G1100" s="12">
        <v>0.12</v>
      </c>
      <c r="H1100" s="12">
        <v>9.8333333333333304</v>
      </c>
      <c r="I1100" s="13">
        <v>1.2203389830508501E-2</v>
      </c>
      <c r="J1100" s="12" t="s">
        <v>796</v>
      </c>
      <c r="K1100" s="14">
        <v>1729</v>
      </c>
      <c r="L1100" s="14">
        <v>982</v>
      </c>
      <c r="M1100" s="14">
        <v>1817</v>
      </c>
      <c r="N1100" s="12">
        <v>0.12</v>
      </c>
      <c r="O1100" s="12" t="s">
        <v>796</v>
      </c>
      <c r="P1100" s="12">
        <v>1.9303621842048101E-5</v>
      </c>
      <c r="Q1100" s="12">
        <v>5.5568467734574698E-5</v>
      </c>
      <c r="R1100" s="12">
        <v>0.148689516129032</v>
      </c>
      <c r="S1100" s="14">
        <v>23</v>
      </c>
      <c r="T1100" s="12">
        <v>4.1969150524877197E-3</v>
      </c>
      <c r="U1100" s="14">
        <v>1832</v>
      </c>
      <c r="V1100" s="14">
        <v>2</v>
      </c>
      <c r="W1100" s="12">
        <v>5.5999999999999999E-3</v>
      </c>
      <c r="X1100" s="12">
        <v>9.7969150524877206E-3</v>
      </c>
      <c r="Y1100" s="14">
        <v>1830</v>
      </c>
      <c r="Z1100" s="14">
        <v>22</v>
      </c>
      <c r="AA1100" s="12" t="s">
        <v>2370</v>
      </c>
    </row>
    <row r="1101" spans="1:27" ht="14.25" x14ac:dyDescent="0.45">
      <c r="A1101" s="12" t="s">
        <v>823</v>
      </c>
      <c r="B1101" s="12" t="s">
        <v>1971</v>
      </c>
      <c r="C1101" s="12" t="s">
        <v>1981</v>
      </c>
      <c r="D1101" s="12" t="s">
        <v>1982</v>
      </c>
      <c r="E1101" s="20">
        <v>36493</v>
      </c>
      <c r="F1101" s="20">
        <v>44278</v>
      </c>
      <c r="G1101" s="12">
        <v>19.82</v>
      </c>
      <c r="H1101" s="12">
        <v>9.43333333333333</v>
      </c>
      <c r="I1101" s="13">
        <v>2.1010600706713798</v>
      </c>
      <c r="J1101" s="12" t="s">
        <v>823</v>
      </c>
      <c r="K1101" s="14">
        <v>647</v>
      </c>
      <c r="L1101" s="14">
        <v>1048</v>
      </c>
      <c r="M1101" s="14">
        <v>723</v>
      </c>
      <c r="N1101" s="12">
        <v>19.82</v>
      </c>
      <c r="O1101" s="12" t="s">
        <v>823</v>
      </c>
      <c r="P1101" s="12">
        <v>3.1883148742449501E-3</v>
      </c>
      <c r="Q1101" s="12">
        <v>9.5672342166456103E-3</v>
      </c>
      <c r="R1101" s="12">
        <v>0.14264112903225801</v>
      </c>
      <c r="S1101" s="14">
        <v>23</v>
      </c>
      <c r="T1101" s="12">
        <v>0.71751394632453602</v>
      </c>
      <c r="U1101" s="14">
        <v>704</v>
      </c>
      <c r="V1101" s="14">
        <v>8</v>
      </c>
      <c r="W1101" s="12">
        <v>6.1999999999999998E-3</v>
      </c>
      <c r="X1101" s="12">
        <v>0.72371394632453601</v>
      </c>
      <c r="Y1101" s="14">
        <v>704</v>
      </c>
      <c r="Z1101" s="14">
        <v>22</v>
      </c>
      <c r="AA1101" s="12" t="s">
        <v>2370</v>
      </c>
    </row>
    <row r="1102" spans="1:27" ht="14.25" x14ac:dyDescent="0.45">
      <c r="A1102" s="12" t="s">
        <v>849</v>
      </c>
      <c r="B1102" s="12" t="s">
        <v>1971</v>
      </c>
      <c r="C1102" s="12" t="s">
        <v>1981</v>
      </c>
      <c r="D1102" s="12" t="s">
        <v>1982</v>
      </c>
      <c r="E1102" s="20">
        <v>36014</v>
      </c>
      <c r="F1102" s="20">
        <v>44307</v>
      </c>
      <c r="G1102" s="12">
        <v>2</v>
      </c>
      <c r="H1102" s="12">
        <v>8.4666666666666703</v>
      </c>
      <c r="I1102" s="13">
        <v>0.23622047244094499</v>
      </c>
      <c r="J1102" s="12" t="s">
        <v>849</v>
      </c>
      <c r="K1102" s="14">
        <v>1295</v>
      </c>
      <c r="L1102" s="14">
        <v>1215</v>
      </c>
      <c r="M1102" s="14">
        <v>1359</v>
      </c>
      <c r="N1102" s="12">
        <v>2</v>
      </c>
      <c r="O1102" s="12" t="s">
        <v>849</v>
      </c>
      <c r="P1102" s="12">
        <v>3.2172703070080199E-4</v>
      </c>
      <c r="Q1102" s="12">
        <v>1.0756363505052199E-3</v>
      </c>
      <c r="R1102" s="12">
        <v>0.12802419354838701</v>
      </c>
      <c r="S1102" s="14">
        <v>24</v>
      </c>
      <c r="T1102" s="12">
        <v>7.9292035557856202E-2</v>
      </c>
      <c r="U1102" s="14">
        <v>1359</v>
      </c>
      <c r="V1102" s="14">
        <v>1</v>
      </c>
      <c r="W1102" s="12">
        <v>5.4999999999999997E-3</v>
      </c>
      <c r="X1102" s="12">
        <v>8.4792035557856194E-2</v>
      </c>
      <c r="Y1102" s="14">
        <v>1359</v>
      </c>
      <c r="Z1102" s="14">
        <v>23</v>
      </c>
      <c r="AA1102" s="12" t="s">
        <v>2370</v>
      </c>
    </row>
    <row r="1103" spans="1:27" ht="14.25" x14ac:dyDescent="0.45">
      <c r="A1103" s="12" t="s">
        <v>868</v>
      </c>
      <c r="B1103" s="12" t="s">
        <v>1971</v>
      </c>
      <c r="C1103" s="12" t="s">
        <v>1981</v>
      </c>
      <c r="D1103" s="12" t="s">
        <v>1975</v>
      </c>
      <c r="E1103" s="20">
        <v>37269</v>
      </c>
      <c r="F1103" s="20">
        <v>44061</v>
      </c>
      <c r="G1103" s="12">
        <v>39.24</v>
      </c>
      <c r="H1103" s="12">
        <v>16.6666666666667</v>
      </c>
      <c r="I1103" s="13">
        <v>2.3544</v>
      </c>
      <c r="J1103" s="12" t="s">
        <v>868</v>
      </c>
      <c r="K1103" s="14">
        <v>611</v>
      </c>
      <c r="L1103" s="14">
        <v>461</v>
      </c>
      <c r="M1103" s="14">
        <v>524</v>
      </c>
      <c r="N1103" s="12">
        <v>39.24</v>
      </c>
      <c r="O1103" s="12" t="s">
        <v>868</v>
      </c>
      <c r="P1103" s="12">
        <v>6.3122843423497298E-3</v>
      </c>
      <c r="Q1103" s="12">
        <v>1.0720824480031499E-2</v>
      </c>
      <c r="R1103" s="12">
        <v>0.25201612903225801</v>
      </c>
      <c r="S1103" s="14">
        <v>20</v>
      </c>
      <c r="T1103" s="12">
        <v>0.90676219284008297</v>
      </c>
      <c r="U1103" s="14">
        <v>616</v>
      </c>
      <c r="V1103" s="14">
        <v>3</v>
      </c>
      <c r="W1103" s="12">
        <v>5.7000000000000002E-3</v>
      </c>
      <c r="X1103" s="12">
        <v>0.91246219284008301</v>
      </c>
      <c r="Y1103" s="14">
        <v>616</v>
      </c>
      <c r="Z1103" s="14">
        <v>20</v>
      </c>
      <c r="AA1103" s="12" t="s">
        <v>2370</v>
      </c>
    </row>
    <row r="1104" spans="1:27" ht="14.25" x14ac:dyDescent="0.45">
      <c r="A1104" s="12" t="s">
        <v>878</v>
      </c>
      <c r="B1104" s="12" t="s">
        <v>1971</v>
      </c>
      <c r="C1104" s="12" t="s">
        <v>1981</v>
      </c>
      <c r="D1104" s="12" t="s">
        <v>1982</v>
      </c>
      <c r="E1104" s="20">
        <v>36805</v>
      </c>
      <c r="F1104" s="20">
        <v>44271</v>
      </c>
      <c r="G1104" s="12">
        <v>15.37</v>
      </c>
      <c r="H1104" s="12">
        <v>9.6666666666666696</v>
      </c>
      <c r="I1104" s="13">
        <v>1.59</v>
      </c>
      <c r="J1104" s="12" t="s">
        <v>878</v>
      </c>
      <c r="K1104" s="14">
        <v>720</v>
      </c>
      <c r="L1104" s="14">
        <v>1004</v>
      </c>
      <c r="M1104" s="14">
        <v>763</v>
      </c>
      <c r="N1104" s="12">
        <v>15.37</v>
      </c>
      <c r="O1104" s="12" t="s">
        <v>878</v>
      </c>
      <c r="P1104" s="12">
        <v>2.4724722309356602E-3</v>
      </c>
      <c r="Q1104" s="12">
        <v>7.2401082752506299E-3</v>
      </c>
      <c r="R1104" s="12">
        <v>0.14616935483870999</v>
      </c>
      <c r="S1104" s="14">
        <v>22</v>
      </c>
      <c r="T1104" s="12">
        <v>0.54522447586325196</v>
      </c>
      <c r="U1104" s="14">
        <v>773</v>
      </c>
      <c r="V1104" s="14">
        <v>2</v>
      </c>
      <c r="W1104" s="12">
        <v>5.5999999999999999E-3</v>
      </c>
      <c r="X1104" s="12">
        <v>0.55082447586325201</v>
      </c>
      <c r="Y1104" s="14">
        <v>773</v>
      </c>
      <c r="Z1104" s="14">
        <v>21</v>
      </c>
      <c r="AA1104" s="12" t="s">
        <v>2370</v>
      </c>
    </row>
    <row r="1105" spans="1:27" ht="14.25" x14ac:dyDescent="0.45">
      <c r="A1105" s="12" t="s">
        <v>924</v>
      </c>
      <c r="B1105" s="12" t="s">
        <v>1971</v>
      </c>
      <c r="C1105" s="12" t="s">
        <v>1981</v>
      </c>
      <c r="D1105" s="12" t="s">
        <v>1982</v>
      </c>
      <c r="E1105" s="20">
        <v>36482</v>
      </c>
      <c r="F1105" s="20">
        <v>44211</v>
      </c>
      <c r="G1105" s="12">
        <v>6</v>
      </c>
      <c r="H1105" s="12">
        <v>11.6666666666667</v>
      </c>
      <c r="I1105" s="13">
        <v>0.51428571428571401</v>
      </c>
      <c r="J1105" s="12" t="s">
        <v>924</v>
      </c>
      <c r="K1105" s="14">
        <v>1039</v>
      </c>
      <c r="L1105" s="14">
        <v>823</v>
      </c>
      <c r="M1105" s="14">
        <v>962</v>
      </c>
      <c r="N1105" s="12">
        <v>6</v>
      </c>
      <c r="O1105" s="12" t="s">
        <v>924</v>
      </c>
      <c r="P1105" s="12">
        <v>9.6518109210240498E-4</v>
      </c>
      <c r="Q1105" s="12">
        <v>2.3418139973856501E-3</v>
      </c>
      <c r="R1105" s="12">
        <v>0.17641129032258099</v>
      </c>
      <c r="S1105" s="14">
        <v>23</v>
      </c>
      <c r="T1105" s="12">
        <v>0.182557665790443</v>
      </c>
      <c r="U1105" s="14">
        <v>1076</v>
      </c>
      <c r="V1105" s="14">
        <v>1</v>
      </c>
      <c r="W1105" s="12">
        <v>5.4999999999999997E-3</v>
      </c>
      <c r="X1105" s="12">
        <v>0.188057665790443</v>
      </c>
      <c r="Y1105" s="14">
        <v>1076</v>
      </c>
      <c r="Z1105" s="14">
        <v>22</v>
      </c>
      <c r="AA1105" s="12" t="s">
        <v>2370</v>
      </c>
    </row>
    <row r="1106" spans="1:27" ht="14.25" x14ac:dyDescent="0.45">
      <c r="A1106" s="12" t="s">
        <v>948</v>
      </c>
      <c r="B1106" s="12" t="s">
        <v>1971</v>
      </c>
      <c r="C1106" s="12" t="s">
        <v>1981</v>
      </c>
      <c r="D1106" s="12" t="s">
        <v>1975</v>
      </c>
      <c r="E1106" s="20">
        <v>36435</v>
      </c>
      <c r="F1106" s="20">
        <v>44200</v>
      </c>
      <c r="G1106" s="12">
        <v>0.37</v>
      </c>
      <c r="H1106" s="12">
        <v>12.033333333333299</v>
      </c>
      <c r="I1106" s="13">
        <v>3.07479224376731E-2</v>
      </c>
      <c r="J1106" s="12" t="s">
        <v>948</v>
      </c>
      <c r="K1106" s="14">
        <v>1654</v>
      </c>
      <c r="L1106" s="14">
        <v>767</v>
      </c>
      <c r="M1106" s="14">
        <v>1717</v>
      </c>
      <c r="N1106" s="12">
        <v>0.37</v>
      </c>
      <c r="O1106" s="12" t="s">
        <v>948</v>
      </c>
      <c r="P1106" s="12">
        <v>5.9519500679648298E-5</v>
      </c>
      <c r="Q1106" s="12">
        <v>1.4001150169041599E-4</v>
      </c>
      <c r="R1106" s="12">
        <v>0.18195564516129001</v>
      </c>
      <c r="S1106" s="14">
        <v>23</v>
      </c>
      <c r="T1106" s="12">
        <v>1.09827001311378E-2</v>
      </c>
      <c r="U1106" s="14">
        <v>1753</v>
      </c>
      <c r="V1106" s="14">
        <v>6</v>
      </c>
      <c r="W1106" s="12">
        <v>6.0000000000000001E-3</v>
      </c>
      <c r="X1106" s="12">
        <v>1.6982700131137798E-2</v>
      </c>
      <c r="Y1106" s="14">
        <v>1750</v>
      </c>
      <c r="Z1106" s="14">
        <v>22</v>
      </c>
      <c r="AA1106" s="12" t="s">
        <v>2370</v>
      </c>
    </row>
    <row r="1107" spans="1:27" ht="14.25" x14ac:dyDescent="0.45">
      <c r="A1107" s="12" t="s">
        <v>973</v>
      </c>
      <c r="B1107" s="12" t="s">
        <v>1971</v>
      </c>
      <c r="C1107" s="12" t="s">
        <v>1981</v>
      </c>
      <c r="D1107" s="12" t="s">
        <v>1990</v>
      </c>
      <c r="E1107" s="20">
        <v>36276</v>
      </c>
      <c r="F1107" s="20">
        <v>44301</v>
      </c>
      <c r="G1107" s="12">
        <v>2.0699999999999998</v>
      </c>
      <c r="H1107" s="12">
        <v>8.6666666666666696</v>
      </c>
      <c r="I1107" s="13">
        <v>0.23884615384615401</v>
      </c>
      <c r="J1107" s="12" t="s">
        <v>973</v>
      </c>
      <c r="K1107" s="14">
        <v>1292</v>
      </c>
      <c r="L1107" s="14">
        <v>1179</v>
      </c>
      <c r="M1107" s="14">
        <v>1349</v>
      </c>
      <c r="N1107" s="12">
        <v>2.0699999999999998</v>
      </c>
      <c r="O1107" s="12" t="s">
        <v>973</v>
      </c>
      <c r="P1107" s="12">
        <v>3.3298747677533002E-4</v>
      </c>
      <c r="Q1107" s="12">
        <v>1.08759246224737E-3</v>
      </c>
      <c r="R1107" s="12">
        <v>0.13104838709677399</v>
      </c>
      <c r="S1107" s="14">
        <v>23</v>
      </c>
      <c r="T1107" s="12">
        <v>8.0461559269535701E-2</v>
      </c>
      <c r="U1107" s="14">
        <v>1357</v>
      </c>
      <c r="V1107" s="14">
        <v>1</v>
      </c>
      <c r="W1107" s="12">
        <v>5.4999999999999997E-3</v>
      </c>
      <c r="X1107" s="12">
        <v>8.5961559269535706E-2</v>
      </c>
      <c r="Y1107" s="14">
        <v>1357</v>
      </c>
      <c r="Z1107" s="14">
        <v>23</v>
      </c>
      <c r="AA1107" s="12" t="s">
        <v>2370</v>
      </c>
    </row>
    <row r="1108" spans="1:27" ht="14.25" x14ac:dyDescent="0.45">
      <c r="A1108" s="12" t="s">
        <v>1017</v>
      </c>
      <c r="B1108" s="12" t="s">
        <v>1971</v>
      </c>
      <c r="C1108" s="12" t="s">
        <v>1981</v>
      </c>
      <c r="D1108" s="12" t="s">
        <v>1982</v>
      </c>
      <c r="E1108" s="20">
        <v>36670</v>
      </c>
      <c r="F1108" s="20">
        <v>44279</v>
      </c>
      <c r="G1108" s="12">
        <v>20.16</v>
      </c>
      <c r="H1108" s="12">
        <v>9.4</v>
      </c>
      <c r="I1108" s="13">
        <v>2.1446808510638302</v>
      </c>
      <c r="J1108" s="12" t="s">
        <v>1017</v>
      </c>
      <c r="K1108" s="14">
        <v>642</v>
      </c>
      <c r="L1108" s="14">
        <v>1056</v>
      </c>
      <c r="M1108" s="14">
        <v>718</v>
      </c>
      <c r="N1108" s="12">
        <v>20.16</v>
      </c>
      <c r="O1108" s="12" t="s">
        <v>1017</v>
      </c>
      <c r="P1108" s="12">
        <v>3.2430084694640799E-3</v>
      </c>
      <c r="Q1108" s="12">
        <v>9.7658626273954604E-3</v>
      </c>
      <c r="R1108" s="12">
        <v>0.14213709677419401</v>
      </c>
      <c r="S1108" s="14">
        <v>22</v>
      </c>
      <c r="T1108" s="12">
        <v>0.73197923181711999</v>
      </c>
      <c r="U1108" s="14">
        <v>699</v>
      </c>
      <c r="V1108" s="14">
        <v>2</v>
      </c>
      <c r="W1108" s="12">
        <v>5.5999999999999999E-3</v>
      </c>
      <c r="X1108" s="12">
        <v>0.73757923181712004</v>
      </c>
      <c r="Y1108" s="14">
        <v>699</v>
      </c>
      <c r="Z1108" s="14">
        <v>22</v>
      </c>
      <c r="AA1108" s="12" t="s">
        <v>2370</v>
      </c>
    </row>
    <row r="1109" spans="1:27" ht="14.25" x14ac:dyDescent="0.45">
      <c r="A1109" s="12" t="s">
        <v>1047</v>
      </c>
      <c r="B1109" s="12" t="s">
        <v>1971</v>
      </c>
      <c r="C1109" s="12" t="s">
        <v>1981</v>
      </c>
      <c r="D1109" s="12" t="s">
        <v>1993</v>
      </c>
      <c r="E1109" s="20">
        <v>37819</v>
      </c>
      <c r="F1109" s="20">
        <v>44334</v>
      </c>
      <c r="G1109" s="12">
        <v>0.02</v>
      </c>
      <c r="H1109" s="12">
        <v>7.56666666666667</v>
      </c>
      <c r="I1109" s="13">
        <v>2.6431718061673999E-3</v>
      </c>
      <c r="J1109" s="12" t="s">
        <v>1047</v>
      </c>
      <c r="K1109" s="14">
        <v>1803</v>
      </c>
      <c r="L1109" s="14">
        <v>1269</v>
      </c>
      <c r="M1109" s="14">
        <v>1922</v>
      </c>
      <c r="N1109" s="12">
        <v>0.02</v>
      </c>
      <c r="O1109" s="12" t="s">
        <v>1047</v>
      </c>
      <c r="P1109" s="12">
        <v>3.2172703070080202E-6</v>
      </c>
      <c r="Q1109" s="12">
        <v>1.2035754758957099E-5</v>
      </c>
      <c r="R1109" s="12">
        <v>0.114415322580645</v>
      </c>
      <c r="S1109" s="14">
        <v>19</v>
      </c>
      <c r="T1109" s="12">
        <v>8.7288230894761799E-4</v>
      </c>
      <c r="U1109" s="14">
        <v>1918</v>
      </c>
      <c r="V1109" s="14">
        <v>2</v>
      </c>
      <c r="W1109" s="12">
        <v>5.5999999999999999E-3</v>
      </c>
      <c r="X1109" s="12">
        <v>6.4728823089476202E-3</v>
      </c>
      <c r="Y1109" s="14">
        <v>1909</v>
      </c>
      <c r="Z1109" s="14">
        <v>18</v>
      </c>
      <c r="AA1109" s="12" t="s">
        <v>2370</v>
      </c>
    </row>
    <row r="1110" spans="1:27" ht="14.25" x14ac:dyDescent="0.45">
      <c r="A1110" s="12" t="s">
        <v>1049</v>
      </c>
      <c r="B1110" s="12" t="s">
        <v>1971</v>
      </c>
      <c r="C1110" s="12" t="s">
        <v>1981</v>
      </c>
      <c r="D1110" s="12" t="s">
        <v>1982</v>
      </c>
      <c r="E1110" s="20">
        <v>36230</v>
      </c>
      <c r="F1110" s="20">
        <v>44287</v>
      </c>
      <c r="G1110" s="12">
        <v>0.01</v>
      </c>
      <c r="H1110" s="12">
        <v>9.1333333333333293</v>
      </c>
      <c r="I1110" s="13">
        <v>1.09489051094891E-3</v>
      </c>
      <c r="J1110" s="12" t="s">
        <v>1049</v>
      </c>
      <c r="K1110" s="14">
        <v>1827</v>
      </c>
      <c r="L1110" s="14">
        <v>1119</v>
      </c>
      <c r="M1110" s="14">
        <v>1944</v>
      </c>
      <c r="N1110" s="12">
        <v>0.01</v>
      </c>
      <c r="O1110" s="12" t="s">
        <v>1049</v>
      </c>
      <c r="P1110" s="12">
        <v>1.6086351535040101E-6</v>
      </c>
      <c r="Q1110" s="12">
        <v>4.9856137413927996E-6</v>
      </c>
      <c r="R1110" s="12">
        <v>0.13810483870967699</v>
      </c>
      <c r="S1110" s="14">
        <v>23</v>
      </c>
      <c r="T1110" s="12">
        <v>3.7192467709344998E-4</v>
      </c>
      <c r="U1110" s="14">
        <v>1945</v>
      </c>
      <c r="V1110" s="14">
        <v>1</v>
      </c>
      <c r="W1110" s="12">
        <v>5.4999999999999997E-3</v>
      </c>
      <c r="X1110" s="12">
        <v>5.8719246770934496E-3</v>
      </c>
      <c r="Y1110" s="14">
        <v>1947</v>
      </c>
      <c r="Z1110" s="14">
        <v>23</v>
      </c>
      <c r="AA1110" s="12" t="s">
        <v>2370</v>
      </c>
    </row>
    <row r="1111" spans="1:27" ht="14.25" x14ac:dyDescent="0.45">
      <c r="A1111" s="12" t="s">
        <v>1079</v>
      </c>
      <c r="B1111" s="12" t="s">
        <v>1971</v>
      </c>
      <c r="C1111" s="12" t="s">
        <v>1981</v>
      </c>
      <c r="D1111" s="12" t="s">
        <v>1982</v>
      </c>
      <c r="E1111" s="20">
        <v>36557</v>
      </c>
      <c r="F1111" s="20">
        <v>44337</v>
      </c>
      <c r="G1111" s="12">
        <v>8.59</v>
      </c>
      <c r="H1111" s="12">
        <v>7.4666666666666703</v>
      </c>
      <c r="I1111" s="13">
        <v>1.15044642857143</v>
      </c>
      <c r="J1111" s="12" t="s">
        <v>1079</v>
      </c>
      <c r="K1111" s="14">
        <v>778</v>
      </c>
      <c r="L1111" s="14">
        <v>1428</v>
      </c>
      <c r="M1111" s="14">
        <v>872</v>
      </c>
      <c r="N1111" s="12">
        <v>8.59</v>
      </c>
      <c r="O1111" s="12" t="s">
        <v>1079</v>
      </c>
      <c r="P1111" s="12">
        <v>1.38181759685994E-3</v>
      </c>
      <c r="Q1111" s="12">
        <v>5.2385891243600796E-3</v>
      </c>
      <c r="R1111" s="12">
        <v>0.112903225806452</v>
      </c>
      <c r="S1111" s="14">
        <v>22</v>
      </c>
      <c r="T1111" s="12">
        <v>0.37922998015475301</v>
      </c>
      <c r="U1111" s="14">
        <v>846</v>
      </c>
      <c r="V1111" s="14">
        <v>2</v>
      </c>
      <c r="W1111" s="12">
        <v>5.5999999999999999E-3</v>
      </c>
      <c r="X1111" s="12">
        <v>0.384829980154753</v>
      </c>
      <c r="Y1111" s="14">
        <v>846</v>
      </c>
      <c r="Z1111" s="14">
        <v>22</v>
      </c>
      <c r="AA1111" s="12" t="s">
        <v>2370</v>
      </c>
    </row>
    <row r="1112" spans="1:27" ht="14.25" x14ac:dyDescent="0.45">
      <c r="A1112" s="12" t="s">
        <v>1080</v>
      </c>
      <c r="B1112" s="12" t="s">
        <v>1971</v>
      </c>
      <c r="C1112" s="12" t="s">
        <v>1981</v>
      </c>
      <c r="D1112" s="12" t="s">
        <v>1982</v>
      </c>
      <c r="E1112" s="20">
        <v>36429</v>
      </c>
      <c r="F1112" s="20">
        <v>44299</v>
      </c>
      <c r="G1112" s="12">
        <v>2.2400000000000002</v>
      </c>
      <c r="H1112" s="12">
        <v>8.7333333333333307</v>
      </c>
      <c r="I1112" s="13">
        <v>0.25648854961832102</v>
      </c>
      <c r="J1112" s="12" t="s">
        <v>1080</v>
      </c>
      <c r="K1112" s="14">
        <v>1269</v>
      </c>
      <c r="L1112" s="14">
        <v>1164</v>
      </c>
      <c r="M1112" s="14">
        <v>1316</v>
      </c>
      <c r="N1112" s="12">
        <v>2.2400000000000002</v>
      </c>
      <c r="O1112" s="12" t="s">
        <v>1080</v>
      </c>
      <c r="P1112" s="12">
        <v>3.6033427438489802E-4</v>
      </c>
      <c r="Q1112" s="12">
        <v>1.16792759157147E-3</v>
      </c>
      <c r="R1112" s="12">
        <v>0.132056451612903</v>
      </c>
      <c r="S1112" s="14">
        <v>23</v>
      </c>
      <c r="T1112" s="12">
        <v>8.6508009762650398E-2</v>
      </c>
      <c r="U1112" s="14">
        <v>1331</v>
      </c>
      <c r="V1112" s="14">
        <v>1</v>
      </c>
      <c r="W1112" s="12">
        <v>5.4999999999999997E-3</v>
      </c>
      <c r="X1112" s="12">
        <v>9.2008009762650403E-2</v>
      </c>
      <c r="Y1112" s="14">
        <v>1331</v>
      </c>
      <c r="Z1112" s="14">
        <v>22</v>
      </c>
      <c r="AA1112" s="12" t="s">
        <v>2370</v>
      </c>
    </row>
    <row r="1113" spans="1:27" ht="14.25" x14ac:dyDescent="0.45">
      <c r="A1113" s="12" t="s">
        <v>1098</v>
      </c>
      <c r="B1113" s="12" t="s">
        <v>1971</v>
      </c>
      <c r="C1113" s="12" t="s">
        <v>1981</v>
      </c>
      <c r="D1113" s="12" t="s">
        <v>1975</v>
      </c>
      <c r="E1113" s="20">
        <v>37428</v>
      </c>
      <c r="F1113" s="20">
        <v>44144</v>
      </c>
      <c r="G1113" s="12">
        <v>132.94999999999999</v>
      </c>
      <c r="H1113" s="12">
        <v>13.9</v>
      </c>
      <c r="I1113" s="13">
        <v>9.5647482014388494</v>
      </c>
      <c r="J1113" s="12" t="s">
        <v>1098</v>
      </c>
      <c r="K1113" s="14">
        <v>307</v>
      </c>
      <c r="L1113" s="14">
        <v>610</v>
      </c>
      <c r="M1113" s="14">
        <v>339</v>
      </c>
      <c r="N1113" s="12">
        <v>132.94999999999999</v>
      </c>
      <c r="O1113" s="12" t="s">
        <v>1098</v>
      </c>
      <c r="P1113" s="12">
        <v>2.1386804365835801E-2</v>
      </c>
      <c r="Q1113" s="12">
        <v>4.3553341260330801E-2</v>
      </c>
      <c r="R1113" s="12">
        <v>0.210181451612903</v>
      </c>
      <c r="S1113" s="14">
        <v>20</v>
      </c>
      <c r="T1113" s="12">
        <v>3.5240889924895198</v>
      </c>
      <c r="U1113" s="14">
        <v>341</v>
      </c>
      <c r="V1113" s="14">
        <v>5</v>
      </c>
      <c r="W1113" s="12">
        <v>5.8999999999999999E-3</v>
      </c>
      <c r="X1113" s="12">
        <v>3.5299889924895198</v>
      </c>
      <c r="Y1113" s="14">
        <v>341</v>
      </c>
      <c r="Z1113" s="14">
        <v>20</v>
      </c>
      <c r="AA1113" s="12" t="s">
        <v>2370</v>
      </c>
    </row>
    <row r="1114" spans="1:27" ht="14.25" x14ac:dyDescent="0.45">
      <c r="A1114" s="12" t="s">
        <v>1158</v>
      </c>
      <c r="B1114" s="12" t="s">
        <v>1971</v>
      </c>
      <c r="C1114" s="12" t="s">
        <v>1981</v>
      </c>
      <c r="D1114" s="12" t="s">
        <v>1982</v>
      </c>
      <c r="E1114" s="20">
        <v>37504</v>
      </c>
      <c r="F1114" s="20">
        <v>44335</v>
      </c>
      <c r="G1114" s="12">
        <v>0.01</v>
      </c>
      <c r="H1114" s="12">
        <v>7.5333333333333297</v>
      </c>
      <c r="I1114" s="13">
        <v>1.3274336283185799E-3</v>
      </c>
      <c r="J1114" s="12" t="s">
        <v>1158</v>
      </c>
      <c r="K1114" s="14">
        <v>1821</v>
      </c>
      <c r="L1114" s="14">
        <v>1332</v>
      </c>
      <c r="M1114" s="14">
        <v>1944</v>
      </c>
      <c r="N1114" s="12">
        <v>0.01</v>
      </c>
      <c r="O1114" s="12" t="s">
        <v>1158</v>
      </c>
      <c r="P1114" s="12">
        <v>1.6086351535040101E-6</v>
      </c>
      <c r="Q1114" s="12">
        <v>6.04450515549393E-6</v>
      </c>
      <c r="R1114" s="12">
        <v>0.113911290322581</v>
      </c>
      <c r="S1114" s="14">
        <v>20</v>
      </c>
      <c r="T1114" s="12">
        <v>4.38105390474771E-4</v>
      </c>
      <c r="U1114" s="14">
        <v>1938</v>
      </c>
      <c r="V1114" s="14">
        <v>1</v>
      </c>
      <c r="W1114" s="12">
        <v>5.4999999999999997E-3</v>
      </c>
      <c r="X1114" s="12">
        <v>5.9381053904747697E-3</v>
      </c>
      <c r="Y1114" s="14">
        <v>1938</v>
      </c>
      <c r="Z1114" s="14">
        <v>19</v>
      </c>
      <c r="AA1114" s="12" t="s">
        <v>2370</v>
      </c>
    </row>
    <row r="1115" spans="1:27" ht="14.25" x14ac:dyDescent="0.45">
      <c r="A1115" s="12" t="s">
        <v>1170</v>
      </c>
      <c r="B1115" s="12" t="s">
        <v>1971</v>
      </c>
      <c r="C1115" s="12" t="s">
        <v>1981</v>
      </c>
      <c r="D1115" s="12" t="s">
        <v>1982</v>
      </c>
      <c r="E1115" s="20">
        <v>36927</v>
      </c>
      <c r="F1115" s="20">
        <v>44371</v>
      </c>
      <c r="G1115" s="12">
        <v>4.72</v>
      </c>
      <c r="H1115" s="12">
        <v>6.3333333333333304</v>
      </c>
      <c r="I1115" s="13">
        <v>0.74526315789473696</v>
      </c>
      <c r="J1115" s="12" t="s">
        <v>1170</v>
      </c>
      <c r="K1115" s="14">
        <v>913</v>
      </c>
      <c r="L1115" s="14">
        <v>1557</v>
      </c>
      <c r="M1115" s="14">
        <v>1053</v>
      </c>
      <c r="N1115" s="12">
        <v>4.72</v>
      </c>
      <c r="O1115" s="12" t="s">
        <v>1170</v>
      </c>
      <c r="P1115" s="12">
        <v>7.5927579245389201E-4</v>
      </c>
      <c r="Q1115" s="12">
        <v>3.3935760734044602E-3</v>
      </c>
      <c r="R1115" s="12">
        <v>9.5766129032257993E-2</v>
      </c>
      <c r="S1115" s="14">
        <v>21</v>
      </c>
      <c r="T1115" s="12">
        <v>0.2405713468048</v>
      </c>
      <c r="U1115" s="14">
        <v>982</v>
      </c>
      <c r="V1115" s="14">
        <v>2</v>
      </c>
      <c r="W1115" s="12">
        <v>5.5999999999999999E-3</v>
      </c>
      <c r="X1115" s="12">
        <v>0.24617134680479999</v>
      </c>
      <c r="Y1115" s="14">
        <v>982</v>
      </c>
      <c r="Z1115" s="14">
        <v>21</v>
      </c>
      <c r="AA1115" s="12" t="s">
        <v>2370</v>
      </c>
    </row>
    <row r="1116" spans="1:27" ht="14.25" x14ac:dyDescent="0.45">
      <c r="A1116" s="12" t="s">
        <v>1175</v>
      </c>
      <c r="B1116" s="12" t="s">
        <v>1971</v>
      </c>
      <c r="C1116" s="12" t="s">
        <v>1981</v>
      </c>
      <c r="D1116" s="12" t="s">
        <v>1982</v>
      </c>
      <c r="E1116" s="20">
        <v>37706</v>
      </c>
      <c r="F1116" s="20">
        <v>44370</v>
      </c>
      <c r="G1116" s="12">
        <v>4.38</v>
      </c>
      <c r="H1116" s="12">
        <v>6.3666666666666698</v>
      </c>
      <c r="I1116" s="13">
        <v>0.68795811518324601</v>
      </c>
      <c r="J1116" s="12" t="s">
        <v>1175</v>
      </c>
      <c r="K1116" s="14">
        <v>941</v>
      </c>
      <c r="L1116" s="14">
        <v>1504</v>
      </c>
      <c r="M1116" s="14">
        <v>1077</v>
      </c>
      <c r="N1116" s="12">
        <v>4.38</v>
      </c>
      <c r="O1116" s="12" t="s">
        <v>1175</v>
      </c>
      <c r="P1116" s="12">
        <v>7.0458219723475602E-4</v>
      </c>
      <c r="Q1116" s="12">
        <v>3.1326360017383901E-3</v>
      </c>
      <c r="R1116" s="12">
        <v>9.6270161290322606E-2</v>
      </c>
      <c r="S1116" s="14">
        <v>19</v>
      </c>
      <c r="T1116" s="12">
        <v>0.22221158250495299</v>
      </c>
      <c r="U1116" s="14">
        <v>1008</v>
      </c>
      <c r="V1116" s="14">
        <v>1</v>
      </c>
      <c r="W1116" s="12">
        <v>5.4999999999999997E-3</v>
      </c>
      <c r="X1116" s="12">
        <v>0.22771158250495299</v>
      </c>
      <c r="Y1116" s="14">
        <v>1008</v>
      </c>
      <c r="Z1116" s="14">
        <v>19</v>
      </c>
      <c r="AA1116" s="12" t="s">
        <v>2370</v>
      </c>
    </row>
    <row r="1117" spans="1:27" ht="14.25" x14ac:dyDescent="0.45">
      <c r="A1117" s="12" t="s">
        <v>1176</v>
      </c>
      <c r="B1117" s="12" t="s">
        <v>1971</v>
      </c>
      <c r="C1117" s="12" t="s">
        <v>1981</v>
      </c>
      <c r="D1117" s="12" t="s">
        <v>1974</v>
      </c>
      <c r="E1117" s="20">
        <v>36157</v>
      </c>
      <c r="F1117" s="20">
        <v>44370</v>
      </c>
      <c r="G1117" s="12">
        <v>0.23</v>
      </c>
      <c r="H1117" s="12">
        <v>6.3666666666666698</v>
      </c>
      <c r="I1117" s="13">
        <v>3.61256544502618E-2</v>
      </c>
      <c r="J1117" s="12" t="s">
        <v>1176</v>
      </c>
      <c r="K1117" s="14">
        <v>1638</v>
      </c>
      <c r="L1117" s="14">
        <v>1504</v>
      </c>
      <c r="M1117" s="14">
        <v>1769</v>
      </c>
      <c r="N1117" s="12">
        <v>0.23</v>
      </c>
      <c r="O1117" s="12" t="s">
        <v>1176</v>
      </c>
      <c r="P1117" s="12">
        <v>3.6998608530592203E-5</v>
      </c>
      <c r="Q1117" s="12">
        <v>1.64499150776217E-4</v>
      </c>
      <c r="R1117" s="12">
        <v>9.6270161290322606E-2</v>
      </c>
      <c r="S1117" s="14">
        <v>24</v>
      </c>
      <c r="T1117" s="12">
        <v>1.1668644743410801E-2</v>
      </c>
      <c r="U1117" s="14">
        <v>1747</v>
      </c>
      <c r="V1117" s="14">
        <v>2</v>
      </c>
      <c r="W1117" s="12">
        <v>5.5999999999999999E-3</v>
      </c>
      <c r="X1117" s="12">
        <v>1.7268644743410801E-2</v>
      </c>
      <c r="Y1117" s="14">
        <v>1747</v>
      </c>
      <c r="Z1117" s="14">
        <v>23</v>
      </c>
      <c r="AA1117" s="12" t="s">
        <v>2370</v>
      </c>
    </row>
    <row r="1118" spans="1:27" ht="14.25" x14ac:dyDescent="0.45">
      <c r="A1118" s="12" t="s">
        <v>1197</v>
      </c>
      <c r="B1118" s="12" t="s">
        <v>1971</v>
      </c>
      <c r="C1118" s="12" t="s">
        <v>1981</v>
      </c>
      <c r="D1118" s="12" t="s">
        <v>1982</v>
      </c>
      <c r="E1118" s="20">
        <v>36060</v>
      </c>
      <c r="F1118" s="20">
        <v>44337</v>
      </c>
      <c r="G1118" s="12">
        <v>9.01</v>
      </c>
      <c r="H1118" s="12">
        <v>7.4666666666666703</v>
      </c>
      <c r="I1118" s="13">
        <v>1.2066964285714299</v>
      </c>
      <c r="J1118" s="12" t="s">
        <v>1197</v>
      </c>
      <c r="K1118" s="14">
        <v>766</v>
      </c>
      <c r="L1118" s="14">
        <v>1428</v>
      </c>
      <c r="M1118" s="14">
        <v>867</v>
      </c>
      <c r="N1118" s="12">
        <v>9.01</v>
      </c>
      <c r="O1118" s="12" t="s">
        <v>1197</v>
      </c>
      <c r="P1118" s="12">
        <v>1.4493802733071099E-3</v>
      </c>
      <c r="Q1118" s="12">
        <v>5.4947250303241397E-3</v>
      </c>
      <c r="R1118" s="12">
        <v>0.112903225806452</v>
      </c>
      <c r="S1118" s="14">
        <v>24</v>
      </c>
      <c r="T1118" s="12">
        <v>0.397772074644275</v>
      </c>
      <c r="U1118" s="14">
        <v>833</v>
      </c>
      <c r="V1118" s="14">
        <v>3</v>
      </c>
      <c r="W1118" s="12">
        <v>5.7000000000000002E-3</v>
      </c>
      <c r="X1118" s="12">
        <v>0.40347207464427498</v>
      </c>
      <c r="Y1118" s="14">
        <v>833</v>
      </c>
      <c r="Z1118" s="14">
        <v>23</v>
      </c>
      <c r="AA1118" s="12" t="s">
        <v>2370</v>
      </c>
    </row>
    <row r="1119" spans="1:27" ht="14.25" x14ac:dyDescent="0.45">
      <c r="A1119" s="12" t="s">
        <v>1203</v>
      </c>
      <c r="B1119" s="12" t="s">
        <v>1971</v>
      </c>
      <c r="C1119" s="12" t="s">
        <v>1981</v>
      </c>
      <c r="D1119" s="12" t="s">
        <v>1982</v>
      </c>
      <c r="E1119" s="20">
        <v>36823</v>
      </c>
      <c r="F1119" s="20">
        <v>44336</v>
      </c>
      <c r="G1119" s="12">
        <v>0.21</v>
      </c>
      <c r="H1119" s="12">
        <v>7.5</v>
      </c>
      <c r="I1119" s="13">
        <v>2.8000000000000001E-2</v>
      </c>
      <c r="J1119" s="12" t="s">
        <v>1203</v>
      </c>
      <c r="K1119" s="14">
        <v>1663</v>
      </c>
      <c r="L1119" s="14">
        <v>1377</v>
      </c>
      <c r="M1119" s="14">
        <v>1778</v>
      </c>
      <c r="N1119" s="12">
        <v>0.21</v>
      </c>
      <c r="O1119" s="12" t="s">
        <v>1203</v>
      </c>
      <c r="P1119" s="12">
        <v>3.3781338223584198E-5</v>
      </c>
      <c r="Q1119" s="12">
        <v>1.2749876207988499E-4</v>
      </c>
      <c r="R1119" s="12">
        <v>0.113407258064516</v>
      </c>
      <c r="S1119" s="14">
        <v>22</v>
      </c>
      <c r="T1119" s="12">
        <v>9.2354728133772403E-3</v>
      </c>
      <c r="U1119" s="14">
        <v>1767</v>
      </c>
      <c r="V1119" s="14">
        <v>1</v>
      </c>
      <c r="W1119" s="12">
        <v>5.4999999999999997E-3</v>
      </c>
      <c r="X1119" s="12">
        <v>1.47354728133772E-2</v>
      </c>
      <c r="Y1119" s="14">
        <v>1767</v>
      </c>
      <c r="Z1119" s="14">
        <v>21</v>
      </c>
      <c r="AA1119" s="12" t="s">
        <v>2370</v>
      </c>
    </row>
    <row r="1120" spans="1:27" ht="14.25" x14ac:dyDescent="0.45">
      <c r="A1120" s="12" t="s">
        <v>1210</v>
      </c>
      <c r="B1120" s="12" t="s">
        <v>1971</v>
      </c>
      <c r="C1120" s="12" t="s">
        <v>1981</v>
      </c>
      <c r="D1120" s="12" t="s">
        <v>1978</v>
      </c>
      <c r="E1120" s="20">
        <v>36679</v>
      </c>
      <c r="F1120" s="20">
        <v>44336</v>
      </c>
      <c r="G1120" s="12">
        <v>3.53</v>
      </c>
      <c r="H1120" s="12">
        <v>7.5</v>
      </c>
      <c r="I1120" s="13">
        <v>0.47066666666666701</v>
      </c>
      <c r="J1120" s="12" t="s">
        <v>1210</v>
      </c>
      <c r="K1120" s="14">
        <v>1077</v>
      </c>
      <c r="L1120" s="14">
        <v>1377</v>
      </c>
      <c r="M1120" s="14">
        <v>1169</v>
      </c>
      <c r="N1120" s="12">
        <v>3.53</v>
      </c>
      <c r="O1120" s="12" t="s">
        <v>1210</v>
      </c>
      <c r="P1120" s="12">
        <v>5.67848209186915E-4</v>
      </c>
      <c r="Q1120" s="12">
        <v>2.1431934768666402E-3</v>
      </c>
      <c r="R1120" s="12">
        <v>0.113407258064516</v>
      </c>
      <c r="S1120" s="14">
        <v>22</v>
      </c>
      <c r="T1120" s="12">
        <v>0.15524390014867401</v>
      </c>
      <c r="U1120" s="14">
        <v>1139</v>
      </c>
      <c r="V1120" s="14">
        <v>1</v>
      </c>
      <c r="W1120" s="12">
        <v>5.4999999999999997E-3</v>
      </c>
      <c r="X1120" s="12">
        <v>0.16074390014867401</v>
      </c>
      <c r="Y1120" s="14">
        <v>1140</v>
      </c>
      <c r="Z1120" s="14">
        <v>22</v>
      </c>
      <c r="AA1120" s="12" t="s">
        <v>2370</v>
      </c>
    </row>
    <row r="1121" spans="1:27" ht="14.25" x14ac:dyDescent="0.45">
      <c r="A1121" s="12" t="s">
        <v>1220</v>
      </c>
      <c r="B1121" s="12" t="s">
        <v>1971</v>
      </c>
      <c r="C1121" s="12" t="s">
        <v>1981</v>
      </c>
      <c r="D1121" s="12" t="s">
        <v>1993</v>
      </c>
      <c r="E1121" s="20">
        <v>36573</v>
      </c>
      <c r="F1121" s="20">
        <v>44371</v>
      </c>
      <c r="G1121" s="12">
        <v>5.56</v>
      </c>
      <c r="H1121" s="12">
        <v>6.3333333333333304</v>
      </c>
      <c r="I1121" s="13">
        <v>0.87789473684210495</v>
      </c>
      <c r="J1121" s="12" t="s">
        <v>1220</v>
      </c>
      <c r="K1121" s="14">
        <v>863</v>
      </c>
      <c r="L1121" s="14">
        <v>1557</v>
      </c>
      <c r="M1121" s="14">
        <v>996</v>
      </c>
      <c r="N1121" s="12">
        <v>5.56</v>
      </c>
      <c r="O1121" s="12" t="s">
        <v>1220</v>
      </c>
      <c r="P1121" s="12">
        <v>8.9440114534822897E-4</v>
      </c>
      <c r="Q1121" s="12">
        <v>3.99751757799339E-3</v>
      </c>
      <c r="R1121" s="12">
        <v>9.5766129032257993E-2</v>
      </c>
      <c r="S1121" s="14">
        <v>22</v>
      </c>
      <c r="T1121" s="12">
        <v>0.28338489157514601</v>
      </c>
      <c r="U1121" s="14">
        <v>937</v>
      </c>
      <c r="V1121" s="14">
        <v>3</v>
      </c>
      <c r="W1121" s="12">
        <v>5.7000000000000002E-3</v>
      </c>
      <c r="X1121" s="12">
        <v>0.289084891575146</v>
      </c>
      <c r="Y1121" s="14">
        <v>937</v>
      </c>
      <c r="Z1121" s="14">
        <v>22</v>
      </c>
      <c r="AA1121" s="12" t="s">
        <v>2370</v>
      </c>
    </row>
    <row r="1122" spans="1:27" ht="14.25" x14ac:dyDescent="0.45">
      <c r="A1122" s="12" t="s">
        <v>1243</v>
      </c>
      <c r="B1122" s="12" t="s">
        <v>1971</v>
      </c>
      <c r="C1122" s="12" t="s">
        <v>1981</v>
      </c>
      <c r="D1122" s="12" t="s">
        <v>1978</v>
      </c>
      <c r="E1122" s="20">
        <v>35643</v>
      </c>
      <c r="F1122" s="20">
        <v>44328</v>
      </c>
      <c r="G1122" s="12">
        <v>0.74</v>
      </c>
      <c r="H1122" s="12">
        <v>7.7666666666666702</v>
      </c>
      <c r="I1122" s="13">
        <v>9.5278969957081502E-2</v>
      </c>
      <c r="J1122" s="12" t="s">
        <v>1243</v>
      </c>
      <c r="K1122" s="14">
        <v>1507</v>
      </c>
      <c r="L1122" s="14">
        <v>1260</v>
      </c>
      <c r="M1122" s="14">
        <v>1615</v>
      </c>
      <c r="N1122" s="12">
        <v>0.74</v>
      </c>
      <c r="O1122" s="12" t="s">
        <v>1243</v>
      </c>
      <c r="P1122" s="12">
        <v>1.19039001359297E-4</v>
      </c>
      <c r="Q1122" s="12">
        <v>4.3385538292051699E-4</v>
      </c>
      <c r="R1122" s="12">
        <v>0.117439516129032</v>
      </c>
      <c r="S1122" s="14">
        <v>25</v>
      </c>
      <c r="T1122" s="12">
        <v>3.1579923983505898E-2</v>
      </c>
      <c r="U1122" s="14">
        <v>1609</v>
      </c>
      <c r="V1122" s="14">
        <v>2</v>
      </c>
      <c r="W1122" s="12">
        <v>5.5999999999999999E-3</v>
      </c>
      <c r="X1122" s="12">
        <v>3.7179923983505898E-2</v>
      </c>
      <c r="Y1122" s="14">
        <v>1607</v>
      </c>
      <c r="Z1122" s="14">
        <v>24</v>
      </c>
      <c r="AA1122" s="12" t="s">
        <v>2370</v>
      </c>
    </row>
    <row r="1123" spans="1:27" ht="14.25" x14ac:dyDescent="0.45">
      <c r="A1123" s="12" t="s">
        <v>1255</v>
      </c>
      <c r="B1123" s="12" t="s">
        <v>1971</v>
      </c>
      <c r="C1123" s="12" t="s">
        <v>1981</v>
      </c>
      <c r="D1123" s="12" t="s">
        <v>1975</v>
      </c>
      <c r="E1123" s="20">
        <v>36385</v>
      </c>
      <c r="F1123" s="20">
        <v>44357</v>
      </c>
      <c r="G1123" s="12">
        <v>3</v>
      </c>
      <c r="H1123" s="12">
        <v>6.8</v>
      </c>
      <c r="I1123" s="13">
        <v>0.441176470588235</v>
      </c>
      <c r="J1123" s="12" t="s">
        <v>1255</v>
      </c>
      <c r="K1123" s="14">
        <v>1108</v>
      </c>
      <c r="L1123" s="14">
        <v>1489</v>
      </c>
      <c r="M1123" s="14">
        <v>1221</v>
      </c>
      <c r="N1123" s="12">
        <v>3</v>
      </c>
      <c r="O1123" s="12" t="s">
        <v>1255</v>
      </c>
      <c r="P1123" s="12">
        <v>4.8259054605120298E-4</v>
      </c>
      <c r="Q1123" s="12">
        <v>2.0089090663847498E-3</v>
      </c>
      <c r="R1123" s="12">
        <v>0.102822580645161</v>
      </c>
      <c r="S1123" s="14">
        <v>23</v>
      </c>
      <c r="T1123" s="12">
        <v>0.14365396212596701</v>
      </c>
      <c r="U1123" s="14">
        <v>1178</v>
      </c>
      <c r="V1123" s="14">
        <v>1</v>
      </c>
      <c r="W1123" s="12">
        <v>5.4999999999999997E-3</v>
      </c>
      <c r="X1123" s="12">
        <v>0.14915396212596699</v>
      </c>
      <c r="Y1123" s="14">
        <v>1178</v>
      </c>
      <c r="Z1123" s="14">
        <v>22</v>
      </c>
      <c r="AA1123" s="12" t="s">
        <v>2370</v>
      </c>
    </row>
    <row r="1124" spans="1:27" ht="14.25" x14ac:dyDescent="0.45">
      <c r="A1124" s="12" t="s">
        <v>1285</v>
      </c>
      <c r="B1124" s="12" t="s">
        <v>1971</v>
      </c>
      <c r="C1124" s="12" t="s">
        <v>1981</v>
      </c>
      <c r="D1124" s="12" t="s">
        <v>1982</v>
      </c>
      <c r="E1124" s="20">
        <v>36984</v>
      </c>
      <c r="F1124" s="20">
        <v>44355</v>
      </c>
      <c r="G1124" s="12">
        <v>9.32</v>
      </c>
      <c r="H1124" s="12">
        <v>6.8666666666666698</v>
      </c>
      <c r="I1124" s="13">
        <v>1.35728155339806</v>
      </c>
      <c r="J1124" s="12" t="s">
        <v>1285</v>
      </c>
      <c r="K1124" s="14">
        <v>745</v>
      </c>
      <c r="L1124" s="14">
        <v>1482</v>
      </c>
      <c r="M1124" s="14">
        <v>859</v>
      </c>
      <c r="N1124" s="12">
        <v>9.32</v>
      </c>
      <c r="O1124" s="12" t="s">
        <v>1285</v>
      </c>
      <c r="P1124" s="12">
        <v>1.49924796306574E-3</v>
      </c>
      <c r="Q1124" s="12">
        <v>6.1804184947184303E-3</v>
      </c>
      <c r="R1124" s="12">
        <v>0.10383064516128999</v>
      </c>
      <c r="S1124" s="14">
        <v>21</v>
      </c>
      <c r="T1124" s="12">
        <v>0.44249795453486701</v>
      </c>
      <c r="U1124" s="14">
        <v>801</v>
      </c>
      <c r="V1124" s="14">
        <v>2</v>
      </c>
      <c r="W1124" s="12">
        <v>5.5999999999999999E-3</v>
      </c>
      <c r="X1124" s="12">
        <v>0.448097954534867</v>
      </c>
      <c r="Y1124" s="14">
        <v>801</v>
      </c>
      <c r="Z1124" s="14">
        <v>21</v>
      </c>
      <c r="AA1124" s="12" t="s">
        <v>2370</v>
      </c>
    </row>
    <row r="1125" spans="1:27" ht="14.25" x14ac:dyDescent="0.45">
      <c r="A1125" s="12" t="s">
        <v>1314</v>
      </c>
      <c r="B1125" s="12" t="s">
        <v>1971</v>
      </c>
      <c r="C1125" s="12" t="s">
        <v>1981</v>
      </c>
      <c r="D1125" s="12" t="s">
        <v>1974</v>
      </c>
      <c r="E1125" s="20">
        <v>35825</v>
      </c>
      <c r="F1125" s="20">
        <v>44335</v>
      </c>
      <c r="G1125" s="12">
        <v>4.93</v>
      </c>
      <c r="H1125" s="12">
        <v>7.5333333333333297</v>
      </c>
      <c r="I1125" s="13">
        <v>0.65442477876106198</v>
      </c>
      <c r="J1125" s="12" t="s">
        <v>1314</v>
      </c>
      <c r="K1125" s="14">
        <v>962</v>
      </c>
      <c r="L1125" s="14">
        <v>1332</v>
      </c>
      <c r="M1125" s="14">
        <v>1043</v>
      </c>
      <c r="N1125" s="12">
        <v>4.93</v>
      </c>
      <c r="O1125" s="12" t="s">
        <v>1314</v>
      </c>
      <c r="P1125" s="12">
        <v>7.9305713067747601E-4</v>
      </c>
      <c r="Q1125" s="12">
        <v>2.9799410416585098E-3</v>
      </c>
      <c r="R1125" s="12">
        <v>0.113911290322581</v>
      </c>
      <c r="S1125" s="14">
        <v>24</v>
      </c>
      <c r="T1125" s="12">
        <v>0.21598595750406199</v>
      </c>
      <c r="U1125" s="14">
        <v>1017</v>
      </c>
      <c r="V1125" s="14">
        <v>2</v>
      </c>
      <c r="W1125" s="12">
        <v>5.5999999999999999E-3</v>
      </c>
      <c r="X1125" s="12">
        <v>0.22158595750406199</v>
      </c>
      <c r="Y1125" s="14">
        <v>1017</v>
      </c>
      <c r="Z1125" s="14">
        <v>24</v>
      </c>
      <c r="AA1125" s="12" t="s">
        <v>2370</v>
      </c>
    </row>
    <row r="1126" spans="1:27" ht="14.25" x14ac:dyDescent="0.45">
      <c r="A1126" s="12" t="s">
        <v>1370</v>
      </c>
      <c r="B1126" s="12" t="s">
        <v>1971</v>
      </c>
      <c r="C1126" s="12" t="s">
        <v>1981</v>
      </c>
      <c r="D1126" s="12" t="s">
        <v>1982</v>
      </c>
      <c r="E1126" s="20">
        <v>36715</v>
      </c>
      <c r="F1126" s="20">
        <v>44371</v>
      </c>
      <c r="G1126" s="12">
        <v>2.09</v>
      </c>
      <c r="H1126" s="12">
        <v>6.3333333333333304</v>
      </c>
      <c r="I1126" s="13">
        <v>0.33</v>
      </c>
      <c r="J1126" s="12" t="s">
        <v>1370</v>
      </c>
      <c r="K1126" s="14">
        <v>1206</v>
      </c>
      <c r="L1126" s="14">
        <v>1557</v>
      </c>
      <c r="M1126" s="14">
        <v>1342</v>
      </c>
      <c r="N1126" s="12">
        <v>2.09</v>
      </c>
      <c r="O1126" s="12" t="s">
        <v>1370</v>
      </c>
      <c r="P1126" s="12">
        <v>3.3620474708233799E-4</v>
      </c>
      <c r="Q1126" s="12">
        <v>1.5026639816557901E-3</v>
      </c>
      <c r="R1126" s="12">
        <v>9.5766129032257993E-2</v>
      </c>
      <c r="S1126" s="14">
        <v>22</v>
      </c>
      <c r="T1126" s="12">
        <v>0.106524176869075</v>
      </c>
      <c r="U1126" s="14">
        <v>1270</v>
      </c>
      <c r="V1126" s="14">
        <v>3</v>
      </c>
      <c r="W1126" s="12">
        <v>5.7000000000000002E-3</v>
      </c>
      <c r="X1126" s="12">
        <v>0.112224176869075</v>
      </c>
      <c r="Y1126" s="14">
        <v>1270</v>
      </c>
      <c r="Z1126" s="14">
        <v>22</v>
      </c>
      <c r="AA1126" s="12" t="s">
        <v>2370</v>
      </c>
    </row>
    <row r="1127" spans="1:27" ht="14.25" x14ac:dyDescent="0.45">
      <c r="A1127" s="12" t="s">
        <v>1375</v>
      </c>
      <c r="B1127" s="12" t="s">
        <v>1971</v>
      </c>
      <c r="C1127" s="12" t="s">
        <v>1981</v>
      </c>
      <c r="D1127" s="12" t="s">
        <v>1975</v>
      </c>
      <c r="E1127" s="20">
        <v>36715</v>
      </c>
      <c r="F1127" s="20">
        <v>44335</v>
      </c>
      <c r="G1127" s="12">
        <v>0.77</v>
      </c>
      <c r="H1127" s="12">
        <v>7.5333333333333297</v>
      </c>
      <c r="I1127" s="13">
        <v>0.102212389380531</v>
      </c>
      <c r="J1127" s="12" t="s">
        <v>1375</v>
      </c>
      <c r="K1127" s="14">
        <v>1489</v>
      </c>
      <c r="L1127" s="14">
        <v>1332</v>
      </c>
      <c r="M1127" s="14">
        <v>1608</v>
      </c>
      <c r="N1127" s="12">
        <v>0.77</v>
      </c>
      <c r="O1127" s="12" t="s">
        <v>1375</v>
      </c>
      <c r="P1127" s="12">
        <v>1.23864906819809E-4</v>
      </c>
      <c r="Q1127" s="12">
        <v>4.6542689697303199E-4</v>
      </c>
      <c r="R1127" s="12">
        <v>0.113911290322581</v>
      </c>
      <c r="S1127" s="14">
        <v>22</v>
      </c>
      <c r="T1127" s="12">
        <v>3.37341150665574E-2</v>
      </c>
      <c r="U1127" s="14">
        <v>1599</v>
      </c>
      <c r="V1127" s="14">
        <v>1</v>
      </c>
      <c r="W1127" s="12">
        <v>5.4999999999999997E-3</v>
      </c>
      <c r="X1127" s="12">
        <v>3.9234115066557398E-2</v>
      </c>
      <c r="Y1127" s="14">
        <v>1599</v>
      </c>
      <c r="Z1127" s="14">
        <v>22</v>
      </c>
      <c r="AA1127" s="12" t="s">
        <v>2370</v>
      </c>
    </row>
    <row r="1128" spans="1:27" ht="14.25" x14ac:dyDescent="0.45">
      <c r="A1128" s="12" t="s">
        <v>1377</v>
      </c>
      <c r="B1128" s="12" t="s">
        <v>1971</v>
      </c>
      <c r="C1128" s="12" t="s">
        <v>1981</v>
      </c>
      <c r="D1128" s="12" t="s">
        <v>1974</v>
      </c>
      <c r="E1128" s="20">
        <v>36985</v>
      </c>
      <c r="F1128" s="20">
        <v>44334</v>
      </c>
      <c r="G1128" s="12">
        <v>6.81</v>
      </c>
      <c r="H1128" s="12">
        <v>7.56666666666667</v>
      </c>
      <c r="I1128" s="13">
        <v>0.9</v>
      </c>
      <c r="J1128" s="12" t="s">
        <v>1377</v>
      </c>
      <c r="K1128" s="14">
        <v>855</v>
      </c>
      <c r="L1128" s="14">
        <v>1269</v>
      </c>
      <c r="M1128" s="14">
        <v>930</v>
      </c>
      <c r="N1128" s="12">
        <v>6.81</v>
      </c>
      <c r="O1128" s="12" t="s">
        <v>1377</v>
      </c>
      <c r="P1128" s="12">
        <v>1.09548053953623E-3</v>
      </c>
      <c r="Q1128" s="12">
        <v>4.0981744954248804E-3</v>
      </c>
      <c r="R1128" s="12">
        <v>0.114415322580645</v>
      </c>
      <c r="S1128" s="14">
        <v>21</v>
      </c>
      <c r="T1128" s="12">
        <v>0.297216426196664</v>
      </c>
      <c r="U1128" s="14">
        <v>923</v>
      </c>
      <c r="V1128" s="14">
        <v>4</v>
      </c>
      <c r="W1128" s="12">
        <v>5.7999999999999996E-3</v>
      </c>
      <c r="X1128" s="12">
        <v>0.30301642619666402</v>
      </c>
      <c r="Y1128" s="14">
        <v>922</v>
      </c>
      <c r="Z1128" s="14">
        <v>21</v>
      </c>
      <c r="AA1128" s="12" t="s">
        <v>2370</v>
      </c>
    </row>
    <row r="1129" spans="1:27" ht="14.25" x14ac:dyDescent="0.45">
      <c r="A1129" s="12" t="s">
        <v>1378</v>
      </c>
      <c r="B1129" s="12" t="s">
        <v>1971</v>
      </c>
      <c r="C1129" s="12" t="s">
        <v>1981</v>
      </c>
      <c r="D1129" s="12" t="s">
        <v>1975</v>
      </c>
      <c r="E1129" s="20">
        <v>36717</v>
      </c>
      <c r="F1129" s="20">
        <v>44351</v>
      </c>
      <c r="G1129" s="12">
        <v>6.37</v>
      </c>
      <c r="H1129" s="12">
        <v>7</v>
      </c>
      <c r="I1129" s="13">
        <v>0.91</v>
      </c>
      <c r="J1129" s="12" t="s">
        <v>1378</v>
      </c>
      <c r="K1129" s="14">
        <v>853</v>
      </c>
      <c r="L1129" s="14">
        <v>1479</v>
      </c>
      <c r="M1129" s="14">
        <v>946</v>
      </c>
      <c r="N1129" s="12">
        <v>6.37</v>
      </c>
      <c r="O1129" s="12" t="s">
        <v>1378</v>
      </c>
      <c r="P1129" s="12">
        <v>1.0247005927820499E-3</v>
      </c>
      <c r="Q1129" s="12">
        <v>4.1437097675962702E-3</v>
      </c>
      <c r="R1129" s="12">
        <v>0.105846774193548</v>
      </c>
      <c r="S1129" s="14">
        <v>22</v>
      </c>
      <c r="T1129" s="12">
        <v>0.297408132704094</v>
      </c>
      <c r="U1129" s="14">
        <v>922</v>
      </c>
      <c r="V1129" s="14">
        <v>2</v>
      </c>
      <c r="W1129" s="12">
        <v>5.5999999999999999E-3</v>
      </c>
      <c r="X1129" s="12">
        <v>0.30300813270409399</v>
      </c>
      <c r="Y1129" s="14">
        <v>923</v>
      </c>
      <c r="Z1129" s="14">
        <v>21</v>
      </c>
      <c r="AA1129" s="12" t="s">
        <v>2370</v>
      </c>
    </row>
    <row r="1130" spans="1:27" ht="14.25" x14ac:dyDescent="0.45">
      <c r="A1130" s="12" t="s">
        <v>1394</v>
      </c>
      <c r="B1130" s="12" t="s">
        <v>1971</v>
      </c>
      <c r="C1130" s="12" t="s">
        <v>1981</v>
      </c>
      <c r="D1130" s="12" t="s">
        <v>1982</v>
      </c>
      <c r="E1130" s="20">
        <v>37181</v>
      </c>
      <c r="F1130" s="20">
        <v>44334</v>
      </c>
      <c r="G1130" s="12">
        <v>0.04</v>
      </c>
      <c r="H1130" s="12">
        <v>7.56666666666667</v>
      </c>
      <c r="I1130" s="13">
        <v>5.2863436123347998E-3</v>
      </c>
      <c r="J1130" s="12" t="s">
        <v>1394</v>
      </c>
      <c r="K1130" s="14">
        <v>1776</v>
      </c>
      <c r="L1130" s="14">
        <v>1269</v>
      </c>
      <c r="M1130" s="14">
        <v>1890</v>
      </c>
      <c r="N1130" s="12">
        <v>0.04</v>
      </c>
      <c r="O1130" s="12" t="s">
        <v>1394</v>
      </c>
      <c r="P1130" s="12">
        <v>6.4345406140160404E-6</v>
      </c>
      <c r="Q1130" s="12">
        <v>2.4071509517914101E-5</v>
      </c>
      <c r="R1130" s="12">
        <v>0.114415322580645</v>
      </c>
      <c r="S1130" s="14">
        <v>21</v>
      </c>
      <c r="T1130" s="12">
        <v>1.7457646178952401E-3</v>
      </c>
      <c r="U1130" s="14">
        <v>1884</v>
      </c>
      <c r="V1130" s="14">
        <v>1</v>
      </c>
      <c r="W1130" s="12">
        <v>5.4999999999999997E-3</v>
      </c>
      <c r="X1130" s="12">
        <v>7.2457646178952402E-3</v>
      </c>
      <c r="Y1130" s="14">
        <v>1884</v>
      </c>
      <c r="Z1130" s="14">
        <v>20</v>
      </c>
      <c r="AA1130" s="12" t="s">
        <v>2370</v>
      </c>
    </row>
    <row r="1131" spans="1:27" ht="14.25" x14ac:dyDescent="0.45">
      <c r="A1131" s="12" t="s">
        <v>1398</v>
      </c>
      <c r="B1131" s="12" t="s">
        <v>1971</v>
      </c>
      <c r="C1131" s="12" t="s">
        <v>1981</v>
      </c>
      <c r="D1131" s="12" t="s">
        <v>1982</v>
      </c>
      <c r="E1131" s="20">
        <v>37157</v>
      </c>
      <c r="F1131" s="20">
        <v>44370</v>
      </c>
      <c r="G1131" s="12">
        <v>5.29</v>
      </c>
      <c r="H1131" s="12">
        <v>6.3666666666666698</v>
      </c>
      <c r="I1131" s="13">
        <v>0.83089005235602098</v>
      </c>
      <c r="J1131" s="12" t="s">
        <v>1398</v>
      </c>
      <c r="K1131" s="14">
        <v>881</v>
      </c>
      <c r="L1131" s="14">
        <v>1504</v>
      </c>
      <c r="M1131" s="14">
        <v>1017</v>
      </c>
      <c r="N1131" s="12">
        <v>5.29</v>
      </c>
      <c r="O1131" s="12" t="s">
        <v>1398</v>
      </c>
      <c r="P1131" s="12">
        <v>8.5096799620362101E-4</v>
      </c>
      <c r="Q1131" s="12">
        <v>3.7834804678529899E-3</v>
      </c>
      <c r="R1131" s="12">
        <v>9.6270161290322606E-2</v>
      </c>
      <c r="S1131" s="14">
        <v>21</v>
      </c>
      <c r="T1131" s="12">
        <v>0.26837882909844801</v>
      </c>
      <c r="U1131" s="14">
        <v>951</v>
      </c>
      <c r="V1131" s="14">
        <v>2</v>
      </c>
      <c r="W1131" s="12">
        <v>5.5999999999999999E-3</v>
      </c>
      <c r="X1131" s="12">
        <v>0.27397882909844801</v>
      </c>
      <c r="Y1131" s="14">
        <v>951</v>
      </c>
      <c r="Z1131" s="14">
        <v>20</v>
      </c>
      <c r="AA1131" s="12" t="s">
        <v>2370</v>
      </c>
    </row>
    <row r="1132" spans="1:27" ht="14.25" x14ac:dyDescent="0.45">
      <c r="A1132" s="12" t="s">
        <v>1404</v>
      </c>
      <c r="B1132" s="12" t="s">
        <v>1971</v>
      </c>
      <c r="C1132" s="12" t="s">
        <v>1981</v>
      </c>
      <c r="D1132" s="12" t="s">
        <v>1982</v>
      </c>
      <c r="E1132" s="20">
        <v>37381</v>
      </c>
      <c r="F1132" s="20">
        <v>44370</v>
      </c>
      <c r="G1132" s="12">
        <v>7.74</v>
      </c>
      <c r="H1132" s="12">
        <v>6.3666666666666698</v>
      </c>
      <c r="I1132" s="13">
        <v>1.2157068062827201</v>
      </c>
      <c r="J1132" s="12" t="s">
        <v>1404</v>
      </c>
      <c r="K1132" s="14">
        <v>764</v>
      </c>
      <c r="L1132" s="14">
        <v>1504</v>
      </c>
      <c r="M1132" s="14">
        <v>897</v>
      </c>
      <c r="N1132" s="12">
        <v>7.74</v>
      </c>
      <c r="O1132" s="12" t="s">
        <v>1404</v>
      </c>
      <c r="P1132" s="12">
        <v>1.2450836088121E-3</v>
      </c>
      <c r="Q1132" s="12">
        <v>5.53575403046921E-3</v>
      </c>
      <c r="R1132" s="12">
        <v>9.6270161290322606E-2</v>
      </c>
      <c r="S1132" s="14">
        <v>20</v>
      </c>
      <c r="T1132" s="12">
        <v>0.39267526223478</v>
      </c>
      <c r="U1132" s="14">
        <v>837</v>
      </c>
      <c r="V1132" s="14">
        <v>1</v>
      </c>
      <c r="W1132" s="12">
        <v>5.4999999999999997E-3</v>
      </c>
      <c r="X1132" s="12">
        <v>0.39817526223478</v>
      </c>
      <c r="Y1132" s="14">
        <v>837</v>
      </c>
      <c r="Z1132" s="14">
        <v>20</v>
      </c>
      <c r="AA1132" s="12" t="s">
        <v>2370</v>
      </c>
    </row>
    <row r="1133" spans="1:27" ht="14.25" x14ac:dyDescent="0.45">
      <c r="A1133" s="12" t="s">
        <v>1406</v>
      </c>
      <c r="B1133" s="12" t="s">
        <v>1971</v>
      </c>
      <c r="C1133" s="12" t="s">
        <v>1981</v>
      </c>
      <c r="D1133" s="12" t="s">
        <v>1982</v>
      </c>
      <c r="E1133" s="20">
        <v>37721</v>
      </c>
      <c r="F1133" s="20">
        <v>44335</v>
      </c>
      <c r="G1133" s="12">
        <v>0.01</v>
      </c>
      <c r="H1133" s="12">
        <v>7.5333333333333297</v>
      </c>
      <c r="I1133" s="13">
        <v>1.3274336283185799E-3</v>
      </c>
      <c r="J1133" s="12" t="s">
        <v>1406</v>
      </c>
      <c r="K1133" s="14">
        <v>1821</v>
      </c>
      <c r="L1133" s="14">
        <v>1332</v>
      </c>
      <c r="M1133" s="14">
        <v>1944</v>
      </c>
      <c r="N1133" s="12">
        <v>0.01</v>
      </c>
      <c r="O1133" s="12" t="s">
        <v>1406</v>
      </c>
      <c r="P1133" s="12">
        <v>1.6086351535040101E-6</v>
      </c>
      <c r="Q1133" s="12">
        <v>6.04450515549393E-6</v>
      </c>
      <c r="R1133" s="12">
        <v>0.113911290322581</v>
      </c>
      <c r="S1133" s="14">
        <v>19</v>
      </c>
      <c r="T1133" s="12">
        <v>4.38105390474771E-4</v>
      </c>
      <c r="U1133" s="14">
        <v>1938</v>
      </c>
      <c r="V1133" s="14">
        <v>1</v>
      </c>
      <c r="W1133" s="12">
        <v>5.4999999999999997E-3</v>
      </c>
      <c r="X1133" s="12">
        <v>5.9381053904747697E-3</v>
      </c>
      <c r="Y1133" s="14">
        <v>1938</v>
      </c>
      <c r="Z1133" s="14">
        <v>19</v>
      </c>
      <c r="AA1133" s="12" t="s">
        <v>2370</v>
      </c>
    </row>
    <row r="1134" spans="1:27" ht="14.25" x14ac:dyDescent="0.45">
      <c r="A1134" s="12" t="s">
        <v>1419</v>
      </c>
      <c r="B1134" s="12" t="s">
        <v>1971</v>
      </c>
      <c r="C1134" s="12" t="s">
        <v>1981</v>
      </c>
      <c r="D1134" s="12" t="s">
        <v>1982</v>
      </c>
      <c r="E1134" s="20">
        <v>37738</v>
      </c>
      <c r="F1134" s="20">
        <v>44370</v>
      </c>
      <c r="G1134" s="12">
        <v>3.05</v>
      </c>
      <c r="H1134" s="12">
        <v>6.3666666666666698</v>
      </c>
      <c r="I1134" s="13">
        <v>0.47905759162303702</v>
      </c>
      <c r="J1134" s="12" t="s">
        <v>1419</v>
      </c>
      <c r="K1134" s="14">
        <v>1068</v>
      </c>
      <c r="L1134" s="14">
        <v>1504</v>
      </c>
      <c r="M1134" s="14">
        <v>1218</v>
      </c>
      <c r="N1134" s="12">
        <v>3.05</v>
      </c>
      <c r="O1134" s="12" t="s">
        <v>1419</v>
      </c>
      <c r="P1134" s="12">
        <v>4.9063372181872304E-4</v>
      </c>
      <c r="Q1134" s="12">
        <v>2.18140178203244E-3</v>
      </c>
      <c r="R1134" s="12">
        <v>9.6270161290322606E-2</v>
      </c>
      <c r="S1134" s="14">
        <v>19</v>
      </c>
      <c r="T1134" s="12">
        <v>0.15473637594522999</v>
      </c>
      <c r="U1134" s="14">
        <v>1143</v>
      </c>
      <c r="V1134" s="14">
        <v>1</v>
      </c>
      <c r="W1134" s="12">
        <v>5.4999999999999997E-3</v>
      </c>
      <c r="X1134" s="12">
        <v>0.16023637594522999</v>
      </c>
      <c r="Y1134" s="14">
        <v>1143</v>
      </c>
      <c r="Z1134" s="14">
        <v>19</v>
      </c>
      <c r="AA1134" s="12" t="s">
        <v>2370</v>
      </c>
    </row>
    <row r="1135" spans="1:27" ht="14.25" x14ac:dyDescent="0.45">
      <c r="A1135" s="12" t="s">
        <v>1428</v>
      </c>
      <c r="B1135" s="12" t="s">
        <v>1971</v>
      </c>
      <c r="C1135" s="12" t="s">
        <v>1981</v>
      </c>
      <c r="D1135" s="12" t="s">
        <v>1982</v>
      </c>
      <c r="E1135" s="20">
        <v>37760</v>
      </c>
      <c r="F1135" s="20">
        <v>44335</v>
      </c>
      <c r="G1135" s="12">
        <v>25.15</v>
      </c>
      <c r="H1135" s="12">
        <v>7.5333333333333297</v>
      </c>
      <c r="I1135" s="13">
        <v>3.33849557522124</v>
      </c>
      <c r="J1135" s="12" t="s">
        <v>1428</v>
      </c>
      <c r="K1135" s="14">
        <v>533</v>
      </c>
      <c r="L1135" s="14">
        <v>1332</v>
      </c>
      <c r="M1135" s="14">
        <v>682</v>
      </c>
      <c r="N1135" s="12">
        <v>25.15</v>
      </c>
      <c r="O1135" s="12" t="s">
        <v>1428</v>
      </c>
      <c r="P1135" s="12">
        <v>4.0457174110625797E-3</v>
      </c>
      <c r="Q1135" s="12">
        <v>1.5201930466067199E-2</v>
      </c>
      <c r="R1135" s="12">
        <v>0.113911290322581</v>
      </c>
      <c r="S1135" s="14">
        <v>19</v>
      </c>
      <c r="T1135" s="12">
        <v>1.10183505704405</v>
      </c>
      <c r="U1135" s="14">
        <v>554</v>
      </c>
      <c r="V1135" s="14">
        <v>1</v>
      </c>
      <c r="W1135" s="12">
        <v>5.4999999999999997E-3</v>
      </c>
      <c r="X1135" s="12">
        <v>1.1073350570440501</v>
      </c>
      <c r="Y1135" s="14">
        <v>554</v>
      </c>
      <c r="Z1135" s="14">
        <v>19</v>
      </c>
      <c r="AA1135" s="12" t="s">
        <v>2370</v>
      </c>
    </row>
    <row r="1136" spans="1:27" ht="14.25" x14ac:dyDescent="0.45">
      <c r="A1136" s="12" t="s">
        <v>1429</v>
      </c>
      <c r="B1136" s="12" t="s">
        <v>1971</v>
      </c>
      <c r="C1136" s="12" t="s">
        <v>1981</v>
      </c>
      <c r="D1136" s="12" t="s">
        <v>1974</v>
      </c>
      <c r="E1136" s="20">
        <v>37711</v>
      </c>
      <c r="F1136" s="20">
        <v>44334</v>
      </c>
      <c r="G1136" s="12">
        <v>3</v>
      </c>
      <c r="H1136" s="12">
        <v>7.56666666666667</v>
      </c>
      <c r="I1136" s="13">
        <v>0.39647577092510999</v>
      </c>
      <c r="J1136" s="12" t="s">
        <v>1429</v>
      </c>
      <c r="K1136" s="14">
        <v>1141</v>
      </c>
      <c r="L1136" s="14">
        <v>1269</v>
      </c>
      <c r="M1136" s="14">
        <v>1221</v>
      </c>
      <c r="N1136" s="12">
        <v>3</v>
      </c>
      <c r="O1136" s="12" t="s">
        <v>1429</v>
      </c>
      <c r="P1136" s="12">
        <v>4.8259054605120298E-4</v>
      </c>
      <c r="Q1136" s="12">
        <v>1.80536321384356E-3</v>
      </c>
      <c r="R1136" s="12">
        <v>0.114415322580645</v>
      </c>
      <c r="S1136" s="14">
        <v>19</v>
      </c>
      <c r="T1136" s="12">
        <v>0.13093234634214301</v>
      </c>
      <c r="U1136" s="14">
        <v>1202</v>
      </c>
      <c r="V1136" s="14">
        <v>1</v>
      </c>
      <c r="W1136" s="12">
        <v>5.4999999999999997E-3</v>
      </c>
      <c r="X1136" s="12">
        <v>0.13643234634214299</v>
      </c>
      <c r="Y1136" s="14">
        <v>1202</v>
      </c>
      <c r="Z1136" s="14">
        <v>19</v>
      </c>
      <c r="AA1136" s="12" t="s">
        <v>2370</v>
      </c>
    </row>
    <row r="1137" spans="1:27" ht="14.25" x14ac:dyDescent="0.45">
      <c r="A1137" s="12" t="s">
        <v>1452</v>
      </c>
      <c r="B1137" s="12" t="s">
        <v>1971</v>
      </c>
      <c r="C1137" s="12" t="s">
        <v>1981</v>
      </c>
      <c r="D1137" s="12" t="s">
        <v>1982</v>
      </c>
      <c r="E1137" s="20">
        <v>36169</v>
      </c>
      <c r="F1137" s="20">
        <v>44370</v>
      </c>
      <c r="G1137" s="12">
        <v>5.81</v>
      </c>
      <c r="H1137" s="12">
        <v>6.3666666666666698</v>
      </c>
      <c r="I1137" s="13">
        <v>0.91256544502617798</v>
      </c>
      <c r="J1137" s="12" t="s">
        <v>1452</v>
      </c>
      <c r="K1137" s="14">
        <v>852</v>
      </c>
      <c r="L1137" s="14">
        <v>1504</v>
      </c>
      <c r="M1137" s="14">
        <v>980</v>
      </c>
      <c r="N1137" s="12">
        <v>5.81</v>
      </c>
      <c r="O1137" s="12" t="s">
        <v>1452</v>
      </c>
      <c r="P1137" s="12">
        <v>9.3461702418582901E-4</v>
      </c>
      <c r="Q1137" s="12">
        <v>4.1553915913470404E-3</v>
      </c>
      <c r="R1137" s="12">
        <v>9.6270161290322606E-2</v>
      </c>
      <c r="S1137" s="14">
        <v>23</v>
      </c>
      <c r="T1137" s="12">
        <v>0.294760112866159</v>
      </c>
      <c r="U1137" s="14">
        <v>925</v>
      </c>
      <c r="V1137" s="14">
        <v>1</v>
      </c>
      <c r="W1137" s="12">
        <v>5.4999999999999997E-3</v>
      </c>
      <c r="X1137" s="12">
        <v>0.300260112866159</v>
      </c>
      <c r="Y1137" s="14">
        <v>925</v>
      </c>
      <c r="Z1137" s="14">
        <v>23</v>
      </c>
      <c r="AA1137" s="12" t="s">
        <v>2370</v>
      </c>
    </row>
    <row r="1138" spans="1:27" ht="14.25" x14ac:dyDescent="0.45">
      <c r="A1138" s="12" t="s">
        <v>1456</v>
      </c>
      <c r="B1138" s="12" t="s">
        <v>1971</v>
      </c>
      <c r="C1138" s="12" t="s">
        <v>1981</v>
      </c>
      <c r="D1138" s="12" t="s">
        <v>1975</v>
      </c>
      <c r="E1138" s="20">
        <v>37335</v>
      </c>
      <c r="F1138" s="20">
        <v>44321</v>
      </c>
      <c r="G1138" s="12">
        <v>3.72</v>
      </c>
      <c r="H1138" s="12">
        <v>8</v>
      </c>
      <c r="I1138" s="13">
        <v>0.46500000000000002</v>
      </c>
      <c r="J1138" s="12" t="s">
        <v>1456</v>
      </c>
      <c r="K1138" s="14">
        <v>1088</v>
      </c>
      <c r="L1138" s="14">
        <v>1238</v>
      </c>
      <c r="M1138" s="14">
        <v>1145</v>
      </c>
      <c r="N1138" s="12">
        <v>3.72</v>
      </c>
      <c r="O1138" s="12" t="s">
        <v>1456</v>
      </c>
      <c r="P1138" s="12">
        <v>5.9841227710349097E-4</v>
      </c>
      <c r="Q1138" s="12">
        <v>2.1173901559695201E-3</v>
      </c>
      <c r="R1138" s="12">
        <v>0.120967741935484</v>
      </c>
      <c r="S1138" s="14">
        <v>20</v>
      </c>
      <c r="T1138" s="12">
        <v>0.154777345139476</v>
      </c>
      <c r="U1138" s="14">
        <v>1142</v>
      </c>
      <c r="V1138" s="14">
        <v>2</v>
      </c>
      <c r="W1138" s="12">
        <v>5.5999999999999999E-3</v>
      </c>
      <c r="X1138" s="12">
        <v>0.16037734513947599</v>
      </c>
      <c r="Y1138" s="14">
        <v>1142</v>
      </c>
      <c r="Z1138" s="14">
        <v>20</v>
      </c>
      <c r="AA1138" s="12" t="s">
        <v>2370</v>
      </c>
    </row>
    <row r="1139" spans="1:27" ht="14.25" x14ac:dyDescent="0.45">
      <c r="A1139" s="12" t="s">
        <v>1466</v>
      </c>
      <c r="B1139" s="12" t="s">
        <v>1971</v>
      </c>
      <c r="C1139" s="12" t="s">
        <v>1981</v>
      </c>
      <c r="D1139" s="12" t="s">
        <v>1975</v>
      </c>
      <c r="E1139" s="20">
        <v>37676</v>
      </c>
      <c r="F1139" s="20">
        <v>44334</v>
      </c>
      <c r="G1139" s="12">
        <v>5.12</v>
      </c>
      <c r="H1139" s="12">
        <v>7.56666666666667</v>
      </c>
      <c r="I1139" s="13">
        <v>0.67665198237885504</v>
      </c>
      <c r="J1139" s="12" t="s">
        <v>1466</v>
      </c>
      <c r="K1139" s="14">
        <v>945</v>
      </c>
      <c r="L1139" s="14">
        <v>1269</v>
      </c>
      <c r="M1139" s="14">
        <v>1028</v>
      </c>
      <c r="N1139" s="12">
        <v>5.12</v>
      </c>
      <c r="O1139" s="12" t="s">
        <v>1466</v>
      </c>
      <c r="P1139" s="12">
        <v>8.2362119859405295E-4</v>
      </c>
      <c r="Q1139" s="12">
        <v>3.0811532182930101E-3</v>
      </c>
      <c r="R1139" s="12">
        <v>0.114415322580645</v>
      </c>
      <c r="S1139" s="14">
        <v>19</v>
      </c>
      <c r="T1139" s="12">
        <v>0.22345787109059001</v>
      </c>
      <c r="U1139" s="14">
        <v>1004</v>
      </c>
      <c r="V1139" s="14">
        <v>2</v>
      </c>
      <c r="W1139" s="12">
        <v>5.5999999999999999E-3</v>
      </c>
      <c r="X1139" s="12">
        <v>0.22905787109059</v>
      </c>
      <c r="Y1139" s="14">
        <v>1004</v>
      </c>
      <c r="Z1139" s="14">
        <v>19</v>
      </c>
      <c r="AA1139" s="12" t="s">
        <v>2370</v>
      </c>
    </row>
    <row r="1140" spans="1:27" ht="14.25" x14ac:dyDescent="0.45">
      <c r="A1140" s="12" t="s">
        <v>1505</v>
      </c>
      <c r="B1140" s="12" t="s">
        <v>1971</v>
      </c>
      <c r="C1140" s="12" t="s">
        <v>1981</v>
      </c>
      <c r="D1140" s="12" t="s">
        <v>1993</v>
      </c>
      <c r="E1140" s="20">
        <v>36576</v>
      </c>
      <c r="F1140" s="20">
        <v>44334</v>
      </c>
      <c r="G1140" s="12">
        <v>0.77</v>
      </c>
      <c r="H1140" s="12">
        <v>7.56666666666667</v>
      </c>
      <c r="I1140" s="13">
        <v>0.10176211453744501</v>
      </c>
      <c r="J1140" s="12" t="s">
        <v>1505</v>
      </c>
      <c r="K1140" s="14">
        <v>1490</v>
      </c>
      <c r="L1140" s="14">
        <v>1269</v>
      </c>
      <c r="M1140" s="14">
        <v>1608</v>
      </c>
      <c r="N1140" s="12">
        <v>0.77</v>
      </c>
      <c r="O1140" s="12" t="s">
        <v>1505</v>
      </c>
      <c r="P1140" s="12">
        <v>1.23864906819809E-4</v>
      </c>
      <c r="Q1140" s="12">
        <v>4.6337655821984702E-4</v>
      </c>
      <c r="R1140" s="12">
        <v>0.114415322580645</v>
      </c>
      <c r="S1140" s="14">
        <v>22</v>
      </c>
      <c r="T1140" s="12">
        <v>3.36059688944833E-2</v>
      </c>
      <c r="U1140" s="14">
        <v>1600</v>
      </c>
      <c r="V1140" s="14">
        <v>2</v>
      </c>
      <c r="W1140" s="12">
        <v>5.5999999999999999E-3</v>
      </c>
      <c r="X1140" s="12">
        <v>3.9205968894483301E-2</v>
      </c>
      <c r="Y1140" s="14">
        <v>1600</v>
      </c>
      <c r="Z1140" s="14">
        <v>22</v>
      </c>
      <c r="AA1140" s="12" t="s">
        <v>2370</v>
      </c>
    </row>
    <row r="1141" spans="1:27" ht="14.25" x14ac:dyDescent="0.45">
      <c r="A1141" s="12" t="s">
        <v>1516</v>
      </c>
      <c r="B1141" s="12" t="s">
        <v>1971</v>
      </c>
      <c r="C1141" s="12" t="s">
        <v>1981</v>
      </c>
      <c r="D1141" s="12" t="s">
        <v>1974</v>
      </c>
      <c r="E1141" s="20">
        <v>37298</v>
      </c>
      <c r="F1141" s="20">
        <v>44390</v>
      </c>
      <c r="G1141" s="12">
        <v>2.9</v>
      </c>
      <c r="H1141" s="12">
        <v>5.7</v>
      </c>
      <c r="I1141" s="13">
        <v>0.50877192982456099</v>
      </c>
      <c r="J1141" s="12" t="s">
        <v>1516</v>
      </c>
      <c r="K1141" s="14">
        <v>1043</v>
      </c>
      <c r="L1141" s="14">
        <v>1666</v>
      </c>
      <c r="M1141" s="14">
        <v>1239</v>
      </c>
      <c r="N1141" s="12">
        <v>2.9</v>
      </c>
      <c r="O1141" s="12" t="s">
        <v>1516</v>
      </c>
      <c r="P1141" s="12">
        <v>4.6650419451616301E-4</v>
      </c>
      <c r="Q1141" s="12">
        <v>2.3167068297723502E-3</v>
      </c>
      <c r="R1141" s="12">
        <v>8.6189516129032306E-2</v>
      </c>
      <c r="S1141" s="14">
        <v>20</v>
      </c>
      <c r="T1141" s="12">
        <v>0.16228808415512799</v>
      </c>
      <c r="U1141" s="14">
        <v>1126</v>
      </c>
      <c r="V1141" s="14">
        <v>2</v>
      </c>
      <c r="W1141" s="12">
        <v>5.5999999999999999E-3</v>
      </c>
      <c r="X1141" s="12">
        <v>0.16788808415512799</v>
      </c>
      <c r="Y1141" s="14">
        <v>1127</v>
      </c>
      <c r="Z1141" s="14">
        <v>20</v>
      </c>
      <c r="AA1141" s="12" t="s">
        <v>2370</v>
      </c>
    </row>
    <row r="1142" spans="1:27" ht="14.25" x14ac:dyDescent="0.45">
      <c r="A1142" s="12" t="s">
        <v>1532</v>
      </c>
      <c r="B1142" s="12" t="s">
        <v>1971</v>
      </c>
      <c r="C1142" s="12" t="s">
        <v>1981</v>
      </c>
      <c r="D1142" s="12" t="s">
        <v>1975</v>
      </c>
      <c r="E1142" s="20">
        <v>36464</v>
      </c>
      <c r="F1142" s="20">
        <v>44373</v>
      </c>
      <c r="G1142" s="12">
        <v>0.71</v>
      </c>
      <c r="H1142" s="12">
        <v>6.2666666666666702</v>
      </c>
      <c r="I1142" s="13">
        <v>0.113297872340426</v>
      </c>
      <c r="J1142" s="12" t="s">
        <v>1532</v>
      </c>
      <c r="K1142" s="14">
        <v>1461</v>
      </c>
      <c r="L1142" s="14">
        <v>1629</v>
      </c>
      <c r="M1142" s="14">
        <v>1624</v>
      </c>
      <c r="N1142" s="12">
        <v>0.71</v>
      </c>
      <c r="O1142" s="12" t="s">
        <v>1532</v>
      </c>
      <c r="P1142" s="12">
        <v>1.1421309589878501E-4</v>
      </c>
      <c r="Q1142" s="12">
        <v>5.1590494534604003E-4</v>
      </c>
      <c r="R1142" s="12">
        <v>9.4758064516129004E-2</v>
      </c>
      <c r="S1142" s="14">
        <v>23</v>
      </c>
      <c r="T1142" s="12">
        <v>3.6527050180331901E-2</v>
      </c>
      <c r="U1142" s="14">
        <v>1573</v>
      </c>
      <c r="V1142" s="14">
        <v>2</v>
      </c>
      <c r="W1142" s="12">
        <v>5.5999999999999999E-3</v>
      </c>
      <c r="X1142" s="12">
        <v>4.2127050180331901E-2</v>
      </c>
      <c r="Y1142" s="14">
        <v>1573</v>
      </c>
      <c r="Z1142" s="14">
        <v>22</v>
      </c>
      <c r="AA1142" s="12" t="s">
        <v>2370</v>
      </c>
    </row>
    <row r="1143" spans="1:27" ht="14.25" x14ac:dyDescent="0.45">
      <c r="A1143" s="12" t="s">
        <v>1546</v>
      </c>
      <c r="B1143" s="12" t="s">
        <v>1971</v>
      </c>
      <c r="C1143" s="12" t="s">
        <v>1981</v>
      </c>
      <c r="D1143" s="12" t="s">
        <v>1982</v>
      </c>
      <c r="E1143" s="20">
        <v>37053</v>
      </c>
      <c r="F1143" s="20">
        <v>44337</v>
      </c>
      <c r="G1143" s="12">
        <v>4.18</v>
      </c>
      <c r="H1143" s="12">
        <v>7.4666666666666703</v>
      </c>
      <c r="I1143" s="13">
        <v>0.55982142857142803</v>
      </c>
      <c r="J1143" s="12" t="s">
        <v>1546</v>
      </c>
      <c r="K1143" s="14">
        <v>1015</v>
      </c>
      <c r="L1143" s="14">
        <v>1428</v>
      </c>
      <c r="M1143" s="14">
        <v>1100</v>
      </c>
      <c r="N1143" s="12">
        <v>4.18</v>
      </c>
      <c r="O1143" s="12" t="s">
        <v>1546</v>
      </c>
      <c r="P1143" s="12">
        <v>6.7240949416467598E-4</v>
      </c>
      <c r="Q1143" s="12">
        <v>2.5491621117375001E-3</v>
      </c>
      <c r="R1143" s="12">
        <v>0.112903225806452</v>
      </c>
      <c r="S1143" s="14">
        <v>21</v>
      </c>
      <c r="T1143" s="12">
        <v>0.18453798801476901</v>
      </c>
      <c r="U1143" s="14">
        <v>1075</v>
      </c>
      <c r="V1143" s="14">
        <v>1</v>
      </c>
      <c r="W1143" s="12">
        <v>5.4999999999999997E-3</v>
      </c>
      <c r="X1143" s="12">
        <v>0.19003798801476901</v>
      </c>
      <c r="Y1143" s="14">
        <v>1075</v>
      </c>
      <c r="Z1143" s="14">
        <v>21</v>
      </c>
      <c r="AA1143" s="12" t="s">
        <v>2370</v>
      </c>
    </row>
    <row r="1144" spans="1:27" ht="14.25" x14ac:dyDescent="0.45">
      <c r="A1144" s="12" t="s">
        <v>1553</v>
      </c>
      <c r="B1144" s="12" t="s">
        <v>1971</v>
      </c>
      <c r="C1144" s="12" t="s">
        <v>1981</v>
      </c>
      <c r="D1144" s="12" t="s">
        <v>1982</v>
      </c>
      <c r="E1144" s="20">
        <v>36999</v>
      </c>
      <c r="F1144" s="20">
        <v>44337</v>
      </c>
      <c r="G1144" s="12">
        <v>2.02</v>
      </c>
      <c r="H1144" s="12">
        <v>7.4666666666666703</v>
      </c>
      <c r="I1144" s="13">
        <v>0.27053571428571399</v>
      </c>
      <c r="J1144" s="12" t="s">
        <v>1553</v>
      </c>
      <c r="K1144" s="14">
        <v>1255</v>
      </c>
      <c r="L1144" s="14">
        <v>1428</v>
      </c>
      <c r="M1144" s="14">
        <v>1356</v>
      </c>
      <c r="N1144" s="12">
        <v>2.02</v>
      </c>
      <c r="O1144" s="12" t="s">
        <v>1553</v>
      </c>
      <c r="P1144" s="12">
        <v>3.2494430100781001E-4</v>
      </c>
      <c r="Q1144" s="12">
        <v>1.2318917382080699E-3</v>
      </c>
      <c r="R1144" s="12">
        <v>0.112903225806452</v>
      </c>
      <c r="S1144" s="14">
        <v>21</v>
      </c>
      <c r="T1144" s="12">
        <v>8.9178644925797496E-2</v>
      </c>
      <c r="U1144" s="14">
        <v>1322</v>
      </c>
      <c r="V1144" s="14">
        <v>2</v>
      </c>
      <c r="W1144" s="12">
        <v>5.5999999999999999E-3</v>
      </c>
      <c r="X1144" s="12">
        <v>9.4778644925797503E-2</v>
      </c>
      <c r="Y1144" s="14">
        <v>1321</v>
      </c>
      <c r="Z1144" s="14">
        <v>21</v>
      </c>
      <c r="AA1144" s="12" t="s">
        <v>2370</v>
      </c>
    </row>
    <row r="1145" spans="1:27" ht="14.25" x14ac:dyDescent="0.45">
      <c r="A1145" s="12" t="s">
        <v>1564</v>
      </c>
      <c r="B1145" s="12" t="s">
        <v>1971</v>
      </c>
      <c r="C1145" s="12" t="s">
        <v>1981</v>
      </c>
      <c r="D1145" s="12" t="s">
        <v>1982</v>
      </c>
      <c r="E1145" s="20">
        <v>36339</v>
      </c>
      <c r="F1145" s="20">
        <v>44424</v>
      </c>
      <c r="G1145" s="12">
        <v>1.61</v>
      </c>
      <c r="H1145" s="12">
        <v>4.56666666666667</v>
      </c>
      <c r="I1145" s="13">
        <v>0.35255474452554703</v>
      </c>
      <c r="J1145" s="12" t="s">
        <v>1564</v>
      </c>
      <c r="K1145" s="14">
        <v>1185</v>
      </c>
      <c r="L1145" s="14">
        <v>1809</v>
      </c>
      <c r="M1145" s="14">
        <v>1466</v>
      </c>
      <c r="N1145" s="12">
        <v>1.61</v>
      </c>
      <c r="O1145" s="12" t="s">
        <v>1564</v>
      </c>
      <c r="P1145" s="12">
        <v>2.58990259714145E-4</v>
      </c>
      <c r="Q1145" s="12">
        <v>1.60536762472848E-3</v>
      </c>
      <c r="R1145" s="12">
        <v>6.9052419354838704E-2</v>
      </c>
      <c r="S1145" s="14">
        <v>23</v>
      </c>
      <c r="T1145" s="12">
        <v>0.110047611284811</v>
      </c>
      <c r="U1145" s="14">
        <v>1264</v>
      </c>
      <c r="V1145" s="14">
        <v>2</v>
      </c>
      <c r="W1145" s="12">
        <v>5.5999999999999999E-3</v>
      </c>
      <c r="X1145" s="12">
        <v>0.11564761128481101</v>
      </c>
      <c r="Y1145" s="14">
        <v>1264</v>
      </c>
      <c r="Z1145" s="14">
        <v>23</v>
      </c>
      <c r="AA1145" s="12" t="s">
        <v>2370</v>
      </c>
    </row>
    <row r="1146" spans="1:27" ht="14.25" x14ac:dyDescent="0.45">
      <c r="A1146" s="12" t="s">
        <v>1572</v>
      </c>
      <c r="B1146" s="12" t="s">
        <v>1971</v>
      </c>
      <c r="C1146" s="12" t="s">
        <v>1981</v>
      </c>
      <c r="D1146" s="12" t="s">
        <v>1982</v>
      </c>
      <c r="E1146" s="20">
        <v>37673</v>
      </c>
      <c r="F1146" s="20">
        <v>44414</v>
      </c>
      <c r="G1146" s="12">
        <v>1.89</v>
      </c>
      <c r="H1146" s="12">
        <v>4.9000000000000004</v>
      </c>
      <c r="I1146" s="13">
        <v>0.38571428571428601</v>
      </c>
      <c r="J1146" s="12" t="s">
        <v>1572</v>
      </c>
      <c r="K1146" s="14">
        <v>1153</v>
      </c>
      <c r="L1146" s="14">
        <v>1748</v>
      </c>
      <c r="M1146" s="14">
        <v>1427</v>
      </c>
      <c r="N1146" s="12">
        <v>1.89</v>
      </c>
      <c r="O1146" s="12" t="s">
        <v>1572</v>
      </c>
      <c r="P1146" s="12">
        <v>3.0403204401225801E-4</v>
      </c>
      <c r="Q1146" s="12">
        <v>1.7563604980392401E-3</v>
      </c>
      <c r="R1146" s="12">
        <v>7.4092741935483902E-2</v>
      </c>
      <c r="S1146" s="14">
        <v>19</v>
      </c>
      <c r="T1146" s="12">
        <v>0.121173732777912</v>
      </c>
      <c r="U1146" s="14">
        <v>1227</v>
      </c>
      <c r="V1146" s="14">
        <v>1</v>
      </c>
      <c r="W1146" s="12">
        <v>5.4999999999999997E-3</v>
      </c>
      <c r="X1146" s="12">
        <v>0.126673732777912</v>
      </c>
      <c r="Y1146" s="14">
        <v>1228</v>
      </c>
      <c r="Z1146" s="14">
        <v>19</v>
      </c>
      <c r="AA1146" s="12" t="s">
        <v>2370</v>
      </c>
    </row>
    <row r="1147" spans="1:27" ht="14.25" x14ac:dyDescent="0.45">
      <c r="A1147" s="12" t="s">
        <v>1578</v>
      </c>
      <c r="B1147" s="12" t="s">
        <v>1971</v>
      </c>
      <c r="C1147" s="12" t="s">
        <v>1981</v>
      </c>
      <c r="D1147" s="12" t="s">
        <v>1982</v>
      </c>
      <c r="E1147" s="20">
        <v>37738</v>
      </c>
      <c r="F1147" s="20">
        <v>44424</v>
      </c>
      <c r="G1147" s="12">
        <v>24.39</v>
      </c>
      <c r="H1147" s="12">
        <v>4.56666666666667</v>
      </c>
      <c r="I1147" s="13">
        <v>5.3408759124087597</v>
      </c>
      <c r="J1147" s="12" t="s">
        <v>1578</v>
      </c>
      <c r="K1147" s="14">
        <v>427</v>
      </c>
      <c r="L1147" s="14">
        <v>1809</v>
      </c>
      <c r="M1147" s="14">
        <v>688</v>
      </c>
      <c r="N1147" s="12">
        <v>24.39</v>
      </c>
      <c r="O1147" s="12" t="s">
        <v>1578</v>
      </c>
      <c r="P1147" s="12">
        <v>3.9234611393962797E-3</v>
      </c>
      <c r="Q1147" s="12">
        <v>2.4319823830514099E-2</v>
      </c>
      <c r="R1147" s="12">
        <v>6.9052419354838704E-2</v>
      </c>
      <c r="S1147" s="14">
        <v>19</v>
      </c>
      <c r="T1147" s="12">
        <v>1.6671187821344899</v>
      </c>
      <c r="U1147" s="14">
        <v>466</v>
      </c>
      <c r="V1147" s="14">
        <v>3</v>
      </c>
      <c r="W1147" s="12">
        <v>5.7000000000000002E-3</v>
      </c>
      <c r="X1147" s="12">
        <v>1.67281878213449</v>
      </c>
      <c r="Y1147" s="14">
        <v>466</v>
      </c>
      <c r="Z1147" s="14">
        <v>19</v>
      </c>
      <c r="AA1147" s="12" t="s">
        <v>2370</v>
      </c>
    </row>
    <row r="1148" spans="1:27" ht="14.25" x14ac:dyDescent="0.45">
      <c r="A1148" s="12" t="s">
        <v>1579</v>
      </c>
      <c r="B1148" s="12" t="s">
        <v>1971</v>
      </c>
      <c r="C1148" s="12" t="s">
        <v>1981</v>
      </c>
      <c r="D1148" s="12" t="s">
        <v>1982</v>
      </c>
      <c r="E1148" s="20">
        <v>36558</v>
      </c>
      <c r="F1148" s="20">
        <v>44425</v>
      </c>
      <c r="G1148" s="12">
        <v>5.92</v>
      </c>
      <c r="H1148" s="12">
        <v>4.5333333333333297</v>
      </c>
      <c r="I1148" s="13">
        <v>1.30588235294118</v>
      </c>
      <c r="J1148" s="12" t="s">
        <v>1579</v>
      </c>
      <c r="K1148" s="14">
        <v>750</v>
      </c>
      <c r="L1148" s="14">
        <v>1833</v>
      </c>
      <c r="M1148" s="14">
        <v>972</v>
      </c>
      <c r="N1148" s="12">
        <v>5.92</v>
      </c>
      <c r="O1148" s="12" t="s">
        <v>1579</v>
      </c>
      <c r="P1148" s="12">
        <v>9.5231201087437299E-4</v>
      </c>
      <c r="Q1148" s="12">
        <v>5.9463708364988497E-3</v>
      </c>
      <c r="R1148" s="12">
        <v>6.8548387096774202E-2</v>
      </c>
      <c r="S1148" s="14">
        <v>22</v>
      </c>
      <c r="T1148" s="12">
        <v>0.40735987768896698</v>
      </c>
      <c r="U1148" s="14">
        <v>821</v>
      </c>
      <c r="V1148" s="14">
        <v>2</v>
      </c>
      <c r="W1148" s="12">
        <v>5.5999999999999999E-3</v>
      </c>
      <c r="X1148" s="12">
        <v>0.41295987768896703</v>
      </c>
      <c r="Y1148" s="14">
        <v>822</v>
      </c>
      <c r="Z1148" s="14">
        <v>22</v>
      </c>
      <c r="AA1148" s="12" t="s">
        <v>2370</v>
      </c>
    </row>
    <row r="1149" spans="1:27" ht="14.25" x14ac:dyDescent="0.45">
      <c r="A1149" s="12" t="s">
        <v>1584</v>
      </c>
      <c r="B1149" s="12" t="s">
        <v>1971</v>
      </c>
      <c r="C1149" s="12" t="s">
        <v>1981</v>
      </c>
      <c r="D1149" s="12" t="s">
        <v>1982</v>
      </c>
      <c r="E1149" s="20">
        <v>37078</v>
      </c>
      <c r="F1149" s="20">
        <v>44419</v>
      </c>
      <c r="G1149" s="12">
        <v>54.79</v>
      </c>
      <c r="H1149" s="12">
        <v>4.7333333333333298</v>
      </c>
      <c r="I1149" s="13">
        <v>11.5753521126761</v>
      </c>
      <c r="J1149" s="12" t="s">
        <v>1584</v>
      </c>
      <c r="K1149" s="14">
        <v>253</v>
      </c>
      <c r="L1149" s="14">
        <v>1780</v>
      </c>
      <c r="M1149" s="14">
        <v>470</v>
      </c>
      <c r="N1149" s="12">
        <v>54.79</v>
      </c>
      <c r="O1149" s="12" t="s">
        <v>1584</v>
      </c>
      <c r="P1149" s="12">
        <v>8.8137120060484703E-3</v>
      </c>
      <c r="Q1149" s="12">
        <v>5.2708680893035001E-2</v>
      </c>
      <c r="R1149" s="12">
        <v>7.1572580645161296E-2</v>
      </c>
      <c r="S1149" s="14">
        <v>21</v>
      </c>
      <c r="T1149" s="12">
        <v>3.6248067560415098</v>
      </c>
      <c r="U1149" s="14">
        <v>334</v>
      </c>
      <c r="V1149" s="14">
        <v>3</v>
      </c>
      <c r="W1149" s="12">
        <v>5.7000000000000002E-3</v>
      </c>
      <c r="X1149" s="12">
        <v>3.6305067560415099</v>
      </c>
      <c r="Y1149" s="14">
        <v>334</v>
      </c>
      <c r="Z1149" s="14">
        <v>21</v>
      </c>
      <c r="AA1149" s="12" t="s">
        <v>2370</v>
      </c>
    </row>
    <row r="1150" spans="1:27" ht="14.25" x14ac:dyDescent="0.45">
      <c r="A1150" s="12" t="s">
        <v>1593</v>
      </c>
      <c r="B1150" s="12" t="s">
        <v>1971</v>
      </c>
      <c r="C1150" s="12" t="s">
        <v>1981</v>
      </c>
      <c r="D1150" s="12" t="s">
        <v>1982</v>
      </c>
      <c r="E1150" s="20">
        <v>36387</v>
      </c>
      <c r="F1150" s="20">
        <v>44391</v>
      </c>
      <c r="G1150" s="12">
        <v>0.86</v>
      </c>
      <c r="H1150" s="12">
        <v>5.6666666666666696</v>
      </c>
      <c r="I1150" s="13">
        <v>0.151764705882353</v>
      </c>
      <c r="J1150" s="12" t="s">
        <v>1593</v>
      </c>
      <c r="K1150" s="14">
        <v>1408</v>
      </c>
      <c r="L1150" s="14">
        <v>1669</v>
      </c>
      <c r="M1150" s="14">
        <v>1587</v>
      </c>
      <c r="N1150" s="12">
        <v>0.86</v>
      </c>
      <c r="O1150" s="12" t="s">
        <v>1593</v>
      </c>
      <c r="P1150" s="12">
        <v>1.3834262320134501E-4</v>
      </c>
      <c r="Q1150" s="12">
        <v>6.9106471883635299E-4</v>
      </c>
      <c r="R1150" s="12">
        <v>8.5685483870967694E-2</v>
      </c>
      <c r="S1150" s="14">
        <v>23</v>
      </c>
      <c r="T1150" s="12">
        <v>4.83793932973225E-2</v>
      </c>
      <c r="U1150" s="14">
        <v>1526</v>
      </c>
      <c r="V1150" s="14">
        <v>1</v>
      </c>
      <c r="W1150" s="12">
        <v>5.4999999999999997E-3</v>
      </c>
      <c r="X1150" s="12">
        <v>5.3879393297322498E-2</v>
      </c>
      <c r="Y1150" s="14">
        <v>1527</v>
      </c>
      <c r="Z1150" s="14">
        <v>22</v>
      </c>
      <c r="AA1150" s="12" t="s">
        <v>2370</v>
      </c>
    </row>
    <row r="1151" spans="1:27" ht="14.25" x14ac:dyDescent="0.45">
      <c r="A1151" s="12" t="s">
        <v>1600</v>
      </c>
      <c r="B1151" s="12" t="s">
        <v>1971</v>
      </c>
      <c r="C1151" s="12" t="s">
        <v>1981</v>
      </c>
      <c r="D1151" s="12" t="s">
        <v>1982</v>
      </c>
      <c r="E1151" s="20">
        <v>37552</v>
      </c>
      <c r="F1151" s="20">
        <v>44414</v>
      </c>
      <c r="G1151" s="12">
        <v>1.98</v>
      </c>
      <c r="H1151" s="12">
        <v>4.9000000000000004</v>
      </c>
      <c r="I1151" s="13">
        <v>0.40408163265306102</v>
      </c>
      <c r="J1151" s="12" t="s">
        <v>1600</v>
      </c>
      <c r="K1151" s="14">
        <v>1135</v>
      </c>
      <c r="L1151" s="14">
        <v>1748</v>
      </c>
      <c r="M1151" s="14">
        <v>1418</v>
      </c>
      <c r="N1151" s="12">
        <v>1.98</v>
      </c>
      <c r="O1151" s="12" t="s">
        <v>1600</v>
      </c>
      <c r="P1151" s="12">
        <v>3.1850976039379401E-4</v>
      </c>
      <c r="Q1151" s="12">
        <v>1.8399967122315799E-3</v>
      </c>
      <c r="R1151" s="12">
        <v>7.4092741935483902E-2</v>
      </c>
      <c r="S1151" s="14">
        <v>20</v>
      </c>
      <c r="T1151" s="12">
        <v>0.12694391052924101</v>
      </c>
      <c r="U1151" s="14">
        <v>1210</v>
      </c>
      <c r="V1151" s="14">
        <v>1</v>
      </c>
      <c r="W1151" s="12">
        <v>5.4999999999999997E-3</v>
      </c>
      <c r="X1151" s="12">
        <v>0.13244391052924101</v>
      </c>
      <c r="Y1151" s="14">
        <v>1210</v>
      </c>
      <c r="Z1151" s="14">
        <v>19</v>
      </c>
      <c r="AA1151" s="12" t="s">
        <v>2370</v>
      </c>
    </row>
    <row r="1152" spans="1:27" ht="14.25" x14ac:dyDescent="0.45">
      <c r="A1152" s="12" t="s">
        <v>1609</v>
      </c>
      <c r="B1152" s="12" t="s">
        <v>1971</v>
      </c>
      <c r="C1152" s="12" t="s">
        <v>1981</v>
      </c>
      <c r="D1152" s="12" t="s">
        <v>1982</v>
      </c>
      <c r="E1152" s="20">
        <v>36470</v>
      </c>
      <c r="F1152" s="20">
        <v>44419</v>
      </c>
      <c r="G1152" s="12">
        <v>0.08</v>
      </c>
      <c r="H1152" s="12">
        <v>4.7333333333333298</v>
      </c>
      <c r="I1152" s="13">
        <v>1.6901408450704199E-2</v>
      </c>
      <c r="J1152" s="12" t="s">
        <v>1609</v>
      </c>
      <c r="K1152" s="14">
        <v>1706</v>
      </c>
      <c r="L1152" s="14">
        <v>1780</v>
      </c>
      <c r="M1152" s="14">
        <v>1849</v>
      </c>
      <c r="N1152" s="12">
        <v>0.08</v>
      </c>
      <c r="O1152" s="12" t="s">
        <v>1609</v>
      </c>
      <c r="P1152" s="12">
        <v>1.2869081228032099E-5</v>
      </c>
      <c r="Q1152" s="12">
        <v>7.6961023388260699E-5</v>
      </c>
      <c r="R1152" s="12">
        <v>7.1572580645161296E-2</v>
      </c>
      <c r="S1152" s="14">
        <v>23</v>
      </c>
      <c r="T1152" s="12">
        <v>5.2926545078174998E-3</v>
      </c>
      <c r="U1152" s="14">
        <v>1814</v>
      </c>
      <c r="V1152" s="14">
        <v>1</v>
      </c>
      <c r="W1152" s="12">
        <v>5.4999999999999997E-3</v>
      </c>
      <c r="X1152" s="12">
        <v>1.07926545078175E-2</v>
      </c>
      <c r="Y1152" s="14">
        <v>1815</v>
      </c>
      <c r="Z1152" s="14">
        <v>22</v>
      </c>
      <c r="AA1152" s="12" t="s">
        <v>2370</v>
      </c>
    </row>
    <row r="1153" spans="1:27" ht="14.25" x14ac:dyDescent="0.45">
      <c r="A1153" s="12" t="s">
        <v>1635</v>
      </c>
      <c r="B1153" s="12" t="s">
        <v>1971</v>
      </c>
      <c r="C1153" s="12" t="s">
        <v>1981</v>
      </c>
      <c r="D1153" s="12" t="s">
        <v>1982</v>
      </c>
      <c r="E1153" s="20">
        <v>36255</v>
      </c>
      <c r="F1153" s="20">
        <v>44410</v>
      </c>
      <c r="G1153" s="12">
        <v>22.72</v>
      </c>
      <c r="H1153" s="12">
        <v>5.0333333333333297</v>
      </c>
      <c r="I1153" s="13">
        <v>4.5139072847682096</v>
      </c>
      <c r="J1153" s="12" t="s">
        <v>1635</v>
      </c>
      <c r="K1153" s="14">
        <v>466</v>
      </c>
      <c r="L1153" s="14">
        <v>1727</v>
      </c>
      <c r="M1153" s="14">
        <v>702</v>
      </c>
      <c r="N1153" s="12">
        <v>22.72</v>
      </c>
      <c r="O1153" s="12" t="s">
        <v>1635</v>
      </c>
      <c r="P1153" s="12">
        <v>3.6548190687611102E-3</v>
      </c>
      <c r="Q1153" s="12">
        <v>2.0554199676833002E-2</v>
      </c>
      <c r="R1153" s="12">
        <v>7.6108870967741896E-2</v>
      </c>
      <c r="S1153" s="14">
        <v>23</v>
      </c>
      <c r="T1153" s="12">
        <v>1.4216931948806</v>
      </c>
      <c r="U1153" s="14">
        <v>505</v>
      </c>
      <c r="V1153" s="14">
        <v>3</v>
      </c>
      <c r="W1153" s="12">
        <v>5.7000000000000002E-3</v>
      </c>
      <c r="X1153" s="12">
        <v>1.4273931948806</v>
      </c>
      <c r="Y1153" s="14">
        <v>505</v>
      </c>
      <c r="Z1153" s="14">
        <v>23</v>
      </c>
      <c r="AA1153" s="12" t="s">
        <v>2370</v>
      </c>
    </row>
    <row r="1154" spans="1:27" ht="14.25" x14ac:dyDescent="0.45">
      <c r="A1154" s="12" t="s">
        <v>1653</v>
      </c>
      <c r="B1154" s="12" t="s">
        <v>1971</v>
      </c>
      <c r="C1154" s="12" t="s">
        <v>1981</v>
      </c>
      <c r="D1154" s="12" t="s">
        <v>1982</v>
      </c>
      <c r="E1154" s="20">
        <v>37658</v>
      </c>
      <c r="F1154" s="20">
        <v>44334</v>
      </c>
      <c r="G1154" s="12">
        <v>0.63</v>
      </c>
      <c r="H1154" s="12">
        <v>7.56666666666667</v>
      </c>
      <c r="I1154" s="13">
        <v>8.3259911894273106E-2</v>
      </c>
      <c r="J1154" s="12" t="s">
        <v>1653</v>
      </c>
      <c r="K1154" s="14">
        <v>1540</v>
      </c>
      <c r="L1154" s="14">
        <v>1269</v>
      </c>
      <c r="M1154" s="14">
        <v>1646</v>
      </c>
      <c r="N1154" s="12">
        <v>0.63</v>
      </c>
      <c r="O1154" s="12" t="s">
        <v>1653</v>
      </c>
      <c r="P1154" s="12">
        <v>1.01344014670753E-4</v>
      </c>
      <c r="Q1154" s="12">
        <v>3.7912627490714802E-4</v>
      </c>
      <c r="R1154" s="12">
        <v>0.114415322580645</v>
      </c>
      <c r="S1154" s="14">
        <v>19</v>
      </c>
      <c r="T1154" s="12">
        <v>2.7495792731849999E-2</v>
      </c>
      <c r="U1154" s="14">
        <v>1642</v>
      </c>
      <c r="V1154" s="14">
        <v>4</v>
      </c>
      <c r="W1154" s="12">
        <v>5.7999999999999996E-3</v>
      </c>
      <c r="X1154" s="12">
        <v>3.3295792731850002E-2</v>
      </c>
      <c r="Y1154" s="14">
        <v>1642</v>
      </c>
      <c r="Z1154" s="14">
        <v>19</v>
      </c>
      <c r="AA1154" s="12" t="s">
        <v>2370</v>
      </c>
    </row>
    <row r="1155" spans="1:27" ht="14.25" x14ac:dyDescent="0.45">
      <c r="A1155" s="12" t="s">
        <v>1668</v>
      </c>
      <c r="B1155" s="12" t="s">
        <v>1971</v>
      </c>
      <c r="C1155" s="12" t="s">
        <v>1981</v>
      </c>
      <c r="D1155" s="12" t="s">
        <v>1973</v>
      </c>
      <c r="E1155" s="20">
        <v>37520</v>
      </c>
      <c r="F1155" s="20">
        <v>44127</v>
      </c>
      <c r="G1155" s="12">
        <v>13.93</v>
      </c>
      <c r="H1155" s="12">
        <v>14.466666666666701</v>
      </c>
      <c r="I1155" s="13">
        <v>0.96290322580645205</v>
      </c>
      <c r="J1155" s="12" t="s">
        <v>1668</v>
      </c>
      <c r="K1155" s="14">
        <v>833</v>
      </c>
      <c r="L1155" s="14">
        <v>574</v>
      </c>
      <c r="M1155" s="14">
        <v>780</v>
      </c>
      <c r="N1155" s="12">
        <v>13.93</v>
      </c>
      <c r="O1155" s="12" t="s">
        <v>1668</v>
      </c>
      <c r="P1155" s="12">
        <v>2.2408287688310798E-3</v>
      </c>
      <c r="Q1155" s="12">
        <v>4.3846060461803903E-3</v>
      </c>
      <c r="R1155" s="12">
        <v>0.21875</v>
      </c>
      <c r="S1155" s="14">
        <v>20</v>
      </c>
      <c r="T1155" s="12">
        <v>0.35806895671743999</v>
      </c>
      <c r="U1155" s="14">
        <v>865</v>
      </c>
      <c r="V1155" s="14">
        <v>4</v>
      </c>
      <c r="W1155" s="12">
        <v>5.7999999999999996E-3</v>
      </c>
      <c r="X1155" s="12">
        <v>0.36386895671744002</v>
      </c>
      <c r="Y1155" s="14">
        <v>865</v>
      </c>
      <c r="Z1155" s="14">
        <v>19</v>
      </c>
      <c r="AA1155" s="12" t="s">
        <v>2370</v>
      </c>
    </row>
    <row r="1156" spans="1:27" ht="14.25" x14ac:dyDescent="0.45">
      <c r="A1156" s="12" t="s">
        <v>1679</v>
      </c>
      <c r="B1156" s="12" t="s">
        <v>1971</v>
      </c>
      <c r="C1156" s="12" t="s">
        <v>1981</v>
      </c>
      <c r="D1156" s="12" t="s">
        <v>1982</v>
      </c>
      <c r="E1156" s="20">
        <v>36807</v>
      </c>
      <c r="F1156" s="20">
        <v>44395</v>
      </c>
      <c r="G1156" s="12">
        <v>0.21</v>
      </c>
      <c r="H1156" s="12">
        <v>5.5333333333333297</v>
      </c>
      <c r="I1156" s="13">
        <v>3.7951807228915703E-2</v>
      </c>
      <c r="J1156" s="12" t="s">
        <v>1679</v>
      </c>
      <c r="K1156" s="14">
        <v>1634</v>
      </c>
      <c r="L1156" s="14">
        <v>1675</v>
      </c>
      <c r="M1156" s="14">
        <v>1778</v>
      </c>
      <c r="N1156" s="12">
        <v>0.21</v>
      </c>
      <c r="O1156" s="12" t="s">
        <v>1679</v>
      </c>
      <c r="P1156" s="12">
        <v>3.3781338223584198E-5</v>
      </c>
      <c r="Q1156" s="12">
        <v>1.7281458715647099E-4</v>
      </c>
      <c r="R1156" s="12">
        <v>8.36693548387097E-2</v>
      </c>
      <c r="S1156" s="14">
        <v>22</v>
      </c>
      <c r="T1156" s="12">
        <v>1.2067711880663801E-2</v>
      </c>
      <c r="U1156" s="14">
        <v>1741</v>
      </c>
      <c r="V1156" s="14">
        <v>1</v>
      </c>
      <c r="W1156" s="12">
        <v>5.4999999999999997E-3</v>
      </c>
      <c r="X1156" s="12">
        <v>1.7567711880663799E-2</v>
      </c>
      <c r="Y1156" s="14">
        <v>1742</v>
      </c>
      <c r="Z1156" s="14">
        <v>21</v>
      </c>
      <c r="AA1156" s="12" t="s">
        <v>2370</v>
      </c>
    </row>
    <row r="1157" spans="1:27" ht="14.25" x14ac:dyDescent="0.45">
      <c r="A1157" s="12" t="s">
        <v>1690</v>
      </c>
      <c r="B1157" s="12" t="s">
        <v>1971</v>
      </c>
      <c r="C1157" s="12" t="s">
        <v>1981</v>
      </c>
      <c r="D1157" s="12" t="s">
        <v>1982</v>
      </c>
      <c r="E1157" s="20">
        <v>37120</v>
      </c>
      <c r="F1157" s="20">
        <v>44404</v>
      </c>
      <c r="G1157" s="12">
        <v>35.4</v>
      </c>
      <c r="H1157" s="12">
        <v>5.2333333333333298</v>
      </c>
      <c r="I1157" s="13">
        <v>6.76433121019108</v>
      </c>
      <c r="J1157" s="12" t="s">
        <v>1690</v>
      </c>
      <c r="K1157" s="14">
        <v>388</v>
      </c>
      <c r="L1157" s="14">
        <v>1697</v>
      </c>
      <c r="M1157" s="14">
        <v>542</v>
      </c>
      <c r="N1157" s="12">
        <v>35.4</v>
      </c>
      <c r="O1157" s="12" t="s">
        <v>1690</v>
      </c>
      <c r="P1157" s="12">
        <v>5.6945684434041898E-3</v>
      </c>
      <c r="Q1157" s="12">
        <v>3.0801566271346201E-2</v>
      </c>
      <c r="R1157" s="12">
        <v>7.9133064516129004E-2</v>
      </c>
      <c r="S1157" s="14">
        <v>21</v>
      </c>
      <c r="T1157" s="12">
        <v>2.1386442085868</v>
      </c>
      <c r="U1157" s="14">
        <v>431</v>
      </c>
      <c r="V1157" s="14">
        <v>4</v>
      </c>
      <c r="W1157" s="12">
        <v>5.7999999999999996E-3</v>
      </c>
      <c r="X1157" s="12">
        <v>2.1444442085867998</v>
      </c>
      <c r="Y1157" s="14">
        <v>431</v>
      </c>
      <c r="Z1157" s="14">
        <v>20</v>
      </c>
      <c r="AA1157" s="12" t="s">
        <v>2370</v>
      </c>
    </row>
    <row r="1158" spans="1:27" ht="14.25" x14ac:dyDescent="0.45">
      <c r="A1158" s="12" t="s">
        <v>1693</v>
      </c>
      <c r="B1158" s="12" t="s">
        <v>1971</v>
      </c>
      <c r="C1158" s="12" t="s">
        <v>1981</v>
      </c>
      <c r="D1158" s="12" t="s">
        <v>1982</v>
      </c>
      <c r="E1158" s="20">
        <v>36566</v>
      </c>
      <c r="F1158" s="20">
        <v>44424</v>
      </c>
      <c r="G1158" s="12">
        <v>0.03</v>
      </c>
      <c r="H1158" s="12">
        <v>4.56666666666667</v>
      </c>
      <c r="I1158" s="13">
        <v>6.5693430656934299E-3</v>
      </c>
      <c r="J1158" s="12" t="s">
        <v>1693</v>
      </c>
      <c r="K1158" s="14">
        <v>1769</v>
      </c>
      <c r="L1158" s="14">
        <v>1809</v>
      </c>
      <c r="M1158" s="14">
        <v>1895</v>
      </c>
      <c r="N1158" s="12">
        <v>0.03</v>
      </c>
      <c r="O1158" s="12" t="s">
        <v>1693</v>
      </c>
      <c r="P1158" s="12">
        <v>4.8259054605120303E-6</v>
      </c>
      <c r="Q1158" s="12">
        <v>2.9913682448356801E-5</v>
      </c>
      <c r="R1158" s="12">
        <v>6.9052419354838704E-2</v>
      </c>
      <c r="S1158" s="14">
        <v>22</v>
      </c>
      <c r="T1158" s="12">
        <v>2.0505766077915E-3</v>
      </c>
      <c r="U1158" s="14">
        <v>1879</v>
      </c>
      <c r="V1158" s="14">
        <v>1</v>
      </c>
      <c r="W1158" s="12">
        <v>5.4999999999999997E-3</v>
      </c>
      <c r="X1158" s="12">
        <v>7.5505766077915001E-3</v>
      </c>
      <c r="Y1158" s="14">
        <v>1879</v>
      </c>
      <c r="Z1158" s="14">
        <v>22</v>
      </c>
      <c r="AA1158" s="12" t="s">
        <v>2370</v>
      </c>
    </row>
    <row r="1159" spans="1:27" ht="14.25" x14ac:dyDescent="0.45">
      <c r="A1159" s="12" t="s">
        <v>1740</v>
      </c>
      <c r="B1159" s="12" t="s">
        <v>1971</v>
      </c>
      <c r="C1159" s="12" t="s">
        <v>1981</v>
      </c>
      <c r="D1159" s="12" t="s">
        <v>1982</v>
      </c>
      <c r="E1159" s="20">
        <v>36554</v>
      </c>
      <c r="F1159" s="20">
        <v>44445</v>
      </c>
      <c r="G1159" s="12">
        <v>4.8</v>
      </c>
      <c r="H1159" s="12">
        <v>3.8666666666666698</v>
      </c>
      <c r="I1159" s="13">
        <v>1.2413793103448301</v>
      </c>
      <c r="J1159" s="12" t="s">
        <v>1740</v>
      </c>
      <c r="K1159" s="14">
        <v>758</v>
      </c>
      <c r="L1159" s="14">
        <v>1864</v>
      </c>
      <c r="M1159" s="14">
        <v>1046</v>
      </c>
      <c r="N1159" s="12">
        <v>4.8</v>
      </c>
      <c r="O1159" s="12" t="s">
        <v>1740</v>
      </c>
      <c r="P1159" s="12">
        <v>7.7214487368192401E-4</v>
      </c>
      <c r="Q1159" s="12">
        <v>5.6526544764481101E-3</v>
      </c>
      <c r="R1159" s="12">
        <v>5.8467741935483902E-2</v>
      </c>
      <c r="S1159" s="14">
        <v>22</v>
      </c>
      <c r="T1159" s="12">
        <v>0.38224633754107901</v>
      </c>
      <c r="U1159" s="14">
        <v>844</v>
      </c>
      <c r="V1159" s="14">
        <v>1</v>
      </c>
      <c r="W1159" s="12">
        <v>5.4999999999999997E-3</v>
      </c>
      <c r="X1159" s="12">
        <v>0.38774633754107901</v>
      </c>
      <c r="Y1159" s="14">
        <v>844</v>
      </c>
      <c r="Z1159" s="14">
        <v>22</v>
      </c>
      <c r="AA1159" s="12" t="s">
        <v>2370</v>
      </c>
    </row>
    <row r="1160" spans="1:27" ht="14.25" x14ac:dyDescent="0.45">
      <c r="A1160" s="12" t="s">
        <v>1747</v>
      </c>
      <c r="B1160" s="12" t="s">
        <v>1971</v>
      </c>
      <c r="C1160" s="12" t="s">
        <v>1981</v>
      </c>
      <c r="D1160" s="12" t="s">
        <v>1975</v>
      </c>
      <c r="E1160" s="20">
        <v>37645</v>
      </c>
      <c r="F1160" s="20">
        <v>44438</v>
      </c>
      <c r="G1160" s="12">
        <v>11.79</v>
      </c>
      <c r="H1160" s="12">
        <v>4.0999999999999996</v>
      </c>
      <c r="I1160" s="13">
        <v>2.87560975609756</v>
      </c>
      <c r="J1160" s="12" t="s">
        <v>1747</v>
      </c>
      <c r="K1160" s="14">
        <v>563</v>
      </c>
      <c r="L1160" s="14">
        <v>1854</v>
      </c>
      <c r="M1160" s="14">
        <v>814</v>
      </c>
      <c r="N1160" s="12">
        <v>11.79</v>
      </c>
      <c r="O1160" s="12" t="s">
        <v>1747</v>
      </c>
      <c r="P1160" s="12">
        <v>1.8965808459812301E-3</v>
      </c>
      <c r="Q1160" s="12">
        <v>1.309416729026E-2</v>
      </c>
      <c r="R1160" s="12">
        <v>6.1995967741935498E-2</v>
      </c>
      <c r="S1160" s="14">
        <v>19</v>
      </c>
      <c r="T1160" s="12">
        <v>0.88950723736554504</v>
      </c>
      <c r="U1160" s="14">
        <v>640</v>
      </c>
      <c r="V1160" s="14">
        <v>2</v>
      </c>
      <c r="W1160" s="12">
        <v>5.5999999999999999E-3</v>
      </c>
      <c r="X1160" s="12">
        <v>0.89510723736554498</v>
      </c>
      <c r="Y1160" s="14">
        <v>640</v>
      </c>
      <c r="Z1160" s="14">
        <v>19</v>
      </c>
      <c r="AA1160" s="12" t="s">
        <v>2370</v>
      </c>
    </row>
    <row r="1161" spans="1:27" ht="14.25" x14ac:dyDescent="0.45">
      <c r="A1161" s="12" t="s">
        <v>1773</v>
      </c>
      <c r="B1161" s="12" t="s">
        <v>1971</v>
      </c>
      <c r="C1161" s="12" t="s">
        <v>1981</v>
      </c>
      <c r="D1161" s="12" t="s">
        <v>1982</v>
      </c>
      <c r="E1161" s="20">
        <v>36336</v>
      </c>
      <c r="F1161" s="20">
        <v>44414</v>
      </c>
      <c r="G1161" s="12">
        <v>5.5</v>
      </c>
      <c r="H1161" s="12">
        <v>4.9000000000000004</v>
      </c>
      <c r="I1161" s="13">
        <v>1.12244897959184</v>
      </c>
      <c r="J1161" s="12" t="s">
        <v>1773</v>
      </c>
      <c r="K1161" s="14">
        <v>788</v>
      </c>
      <c r="L1161" s="14">
        <v>1748</v>
      </c>
      <c r="M1161" s="14">
        <v>999</v>
      </c>
      <c r="N1161" s="12">
        <v>5.5</v>
      </c>
      <c r="O1161" s="12" t="s">
        <v>1773</v>
      </c>
      <c r="P1161" s="12">
        <v>8.84749334427205E-4</v>
      </c>
      <c r="Q1161" s="12">
        <v>5.1111019784210497E-3</v>
      </c>
      <c r="R1161" s="12">
        <v>7.4092741935483902E-2</v>
      </c>
      <c r="S1161" s="14">
        <v>23</v>
      </c>
      <c r="T1161" s="12">
        <v>0.352621973692336</v>
      </c>
      <c r="U1161" s="14">
        <v>869</v>
      </c>
      <c r="V1161" s="14">
        <v>1</v>
      </c>
      <c r="W1161" s="12">
        <v>5.4999999999999997E-3</v>
      </c>
      <c r="X1161" s="12">
        <v>0.358121973692336</v>
      </c>
      <c r="Y1161" s="14">
        <v>869</v>
      </c>
      <c r="Z1161" s="14">
        <v>23</v>
      </c>
      <c r="AA1161" s="12" t="s">
        <v>2370</v>
      </c>
    </row>
    <row r="1162" spans="1:27" ht="14.25" x14ac:dyDescent="0.45">
      <c r="A1162" s="12" t="s">
        <v>1783</v>
      </c>
      <c r="B1162" s="12" t="s">
        <v>1971</v>
      </c>
      <c r="C1162" s="12" t="s">
        <v>1981</v>
      </c>
      <c r="D1162" s="12" t="s">
        <v>1975</v>
      </c>
      <c r="E1162" s="20">
        <v>37443</v>
      </c>
      <c r="F1162" s="20">
        <v>44336</v>
      </c>
      <c r="G1162" s="12">
        <v>1.5</v>
      </c>
      <c r="H1162" s="12">
        <v>7.5</v>
      </c>
      <c r="I1162" s="13">
        <v>0.2</v>
      </c>
      <c r="J1162" s="12" t="s">
        <v>1783</v>
      </c>
      <c r="K1162" s="14">
        <v>1349</v>
      </c>
      <c r="L1162" s="14">
        <v>1377</v>
      </c>
      <c r="M1162" s="14">
        <v>1480</v>
      </c>
      <c r="N1162" s="12">
        <v>1.5</v>
      </c>
      <c r="O1162" s="12" t="s">
        <v>1783</v>
      </c>
      <c r="P1162" s="12">
        <v>2.41295273025601E-4</v>
      </c>
      <c r="Q1162" s="12">
        <v>9.1070544342775203E-4</v>
      </c>
      <c r="R1162" s="12">
        <v>0.113407258064516</v>
      </c>
      <c r="S1162" s="14">
        <v>20</v>
      </c>
      <c r="T1162" s="12">
        <v>6.5967662952694503E-2</v>
      </c>
      <c r="U1162" s="14">
        <v>1460</v>
      </c>
      <c r="V1162" s="14">
        <v>1</v>
      </c>
      <c r="W1162" s="12">
        <v>5.4999999999999997E-3</v>
      </c>
      <c r="X1162" s="12">
        <v>7.1467662952694494E-2</v>
      </c>
      <c r="Y1162" s="14">
        <v>1460</v>
      </c>
      <c r="Z1162" s="14">
        <v>20</v>
      </c>
      <c r="AA1162" s="12" t="s">
        <v>2370</v>
      </c>
    </row>
    <row r="1163" spans="1:27" ht="14.25" x14ac:dyDescent="0.45">
      <c r="A1163" s="12" t="s">
        <v>1792</v>
      </c>
      <c r="B1163" s="12" t="s">
        <v>1971</v>
      </c>
      <c r="C1163" s="12" t="s">
        <v>1981</v>
      </c>
      <c r="D1163" s="12" t="s">
        <v>1982</v>
      </c>
      <c r="E1163" s="20">
        <v>36725</v>
      </c>
      <c r="F1163" s="20">
        <v>44404</v>
      </c>
      <c r="G1163" s="12">
        <v>0.5</v>
      </c>
      <c r="H1163" s="12">
        <v>5.2333333333333298</v>
      </c>
      <c r="I1163" s="13">
        <v>9.5541401273885301E-2</v>
      </c>
      <c r="J1163" s="12" t="s">
        <v>1792</v>
      </c>
      <c r="K1163" s="14">
        <v>1506</v>
      </c>
      <c r="L1163" s="14">
        <v>1697</v>
      </c>
      <c r="M1163" s="14">
        <v>1689</v>
      </c>
      <c r="N1163" s="12">
        <v>0.5</v>
      </c>
      <c r="O1163" s="12" t="s">
        <v>1792</v>
      </c>
      <c r="P1163" s="12">
        <v>8.0431757675200496E-5</v>
      </c>
      <c r="Q1163" s="12">
        <v>4.3505037106421302E-4</v>
      </c>
      <c r="R1163" s="12">
        <v>7.9133064516129004E-2</v>
      </c>
      <c r="S1163" s="14">
        <v>22</v>
      </c>
      <c r="T1163" s="12">
        <v>3.0206839104333302E-2</v>
      </c>
      <c r="U1163" s="14">
        <v>1620</v>
      </c>
      <c r="V1163" s="14">
        <v>2</v>
      </c>
      <c r="W1163" s="12">
        <v>5.5999999999999999E-3</v>
      </c>
      <c r="X1163" s="12">
        <v>3.5806839104333299E-2</v>
      </c>
      <c r="Y1163" s="14">
        <v>1620</v>
      </c>
      <c r="Z1163" s="14">
        <v>21</v>
      </c>
      <c r="AA1163" s="12" t="s">
        <v>2370</v>
      </c>
    </row>
    <row r="1164" spans="1:27" ht="14.25" x14ac:dyDescent="0.45">
      <c r="A1164" s="12" t="s">
        <v>1827</v>
      </c>
      <c r="B1164" s="12" t="s">
        <v>1971</v>
      </c>
      <c r="C1164" s="12" t="s">
        <v>1981</v>
      </c>
      <c r="D1164" s="12" t="s">
        <v>1982</v>
      </c>
      <c r="E1164" s="20">
        <v>36767</v>
      </c>
      <c r="F1164" s="20">
        <v>44426</v>
      </c>
      <c r="G1164" s="12">
        <v>0.6</v>
      </c>
      <c r="H1164" s="12">
        <v>4.5</v>
      </c>
      <c r="I1164" s="13">
        <v>0.133333333333333</v>
      </c>
      <c r="J1164" s="12" t="s">
        <v>1827</v>
      </c>
      <c r="K1164" s="14">
        <v>1437</v>
      </c>
      <c r="L1164" s="14">
        <v>1839</v>
      </c>
      <c r="M1164" s="14">
        <v>1656</v>
      </c>
      <c r="N1164" s="12">
        <v>0.6</v>
      </c>
      <c r="O1164" s="12" t="s">
        <v>1827</v>
      </c>
      <c r="P1164" s="12">
        <v>9.6518109210240501E-5</v>
      </c>
      <c r="Q1164" s="12">
        <v>6.0713696228516798E-4</v>
      </c>
      <c r="R1164" s="12">
        <v>6.80443548387097E-2</v>
      </c>
      <c r="S1164" s="14">
        <v>22</v>
      </c>
      <c r="T1164" s="12">
        <v>4.1565489238207E-2</v>
      </c>
      <c r="U1164" s="14">
        <v>1551</v>
      </c>
      <c r="V1164" s="14">
        <v>1</v>
      </c>
      <c r="W1164" s="12">
        <v>5.4999999999999997E-3</v>
      </c>
      <c r="X1164" s="12">
        <v>4.7065489238206998E-2</v>
      </c>
      <c r="Y1164" s="14">
        <v>1552</v>
      </c>
      <c r="Z1164" s="14">
        <v>21</v>
      </c>
      <c r="AA1164" s="12" t="s">
        <v>2370</v>
      </c>
    </row>
    <row r="1165" spans="1:27" ht="14.25" x14ac:dyDescent="0.45">
      <c r="A1165" s="12" t="s">
        <v>1847</v>
      </c>
      <c r="B1165" s="12" t="s">
        <v>1971</v>
      </c>
      <c r="C1165" s="12" t="s">
        <v>1981</v>
      </c>
      <c r="D1165" s="12" t="s">
        <v>1982</v>
      </c>
      <c r="E1165" s="20">
        <v>36560</v>
      </c>
      <c r="F1165" s="20">
        <v>44477</v>
      </c>
      <c r="G1165" s="12">
        <v>117.27</v>
      </c>
      <c r="H1165" s="12">
        <v>2.8</v>
      </c>
      <c r="I1165" s="13">
        <v>41.882142857142902</v>
      </c>
      <c r="J1165" s="12" t="s">
        <v>1847</v>
      </c>
      <c r="K1165" s="14">
        <v>56</v>
      </c>
      <c r="L1165" s="14">
        <v>1894</v>
      </c>
      <c r="M1165" s="14">
        <v>360</v>
      </c>
      <c r="N1165" s="12">
        <v>117.27</v>
      </c>
      <c r="O1165" s="12" t="s">
        <v>1847</v>
      </c>
      <c r="P1165" s="12">
        <v>1.8864464445141501E-2</v>
      </c>
      <c r="Q1165" s="12">
        <v>0.19071147741209399</v>
      </c>
      <c r="R1165" s="12">
        <v>4.2338709677419303E-2</v>
      </c>
      <c r="S1165" s="14">
        <v>22</v>
      </c>
      <c r="T1165" s="12">
        <v>12.6268847549487</v>
      </c>
      <c r="U1165" s="14">
        <v>80</v>
      </c>
      <c r="V1165" s="14">
        <v>1</v>
      </c>
      <c r="W1165" s="12">
        <v>5.4999999999999997E-3</v>
      </c>
      <c r="X1165" s="12">
        <v>12.632384754948699</v>
      </c>
      <c r="Y1165" s="14">
        <v>80</v>
      </c>
      <c r="Z1165" s="14">
        <v>22</v>
      </c>
      <c r="AA1165" s="12" t="s">
        <v>2370</v>
      </c>
    </row>
    <row r="1166" spans="1:27" ht="14.25" x14ac:dyDescent="0.45">
      <c r="A1166" s="12" t="s">
        <v>1861</v>
      </c>
      <c r="B1166" s="12" t="s">
        <v>1971</v>
      </c>
      <c r="C1166" s="12" t="s">
        <v>1981</v>
      </c>
      <c r="D1166" s="12" t="s">
        <v>1982</v>
      </c>
      <c r="E1166" s="20">
        <v>37712</v>
      </c>
      <c r="F1166" s="20">
        <v>44480</v>
      </c>
      <c r="G1166" s="12">
        <v>9.4499999999999993</v>
      </c>
      <c r="H1166" s="12">
        <v>2.7</v>
      </c>
      <c r="I1166" s="13">
        <v>3.5</v>
      </c>
      <c r="J1166" s="12" t="s">
        <v>1861</v>
      </c>
      <c r="K1166" s="14">
        <v>519</v>
      </c>
      <c r="L1166" s="14">
        <v>1899</v>
      </c>
      <c r="M1166" s="14">
        <v>855</v>
      </c>
      <c r="N1166" s="12">
        <v>9.4499999999999993</v>
      </c>
      <c r="O1166" s="12" t="s">
        <v>1861</v>
      </c>
      <c r="P1166" s="12">
        <v>1.5201602200612899E-3</v>
      </c>
      <c r="Q1166" s="12">
        <v>1.5937345259985702E-2</v>
      </c>
      <c r="R1166" s="12">
        <v>4.0826612903225798E-2</v>
      </c>
      <c r="S1166" s="14">
        <v>19</v>
      </c>
      <c r="T1166" s="12">
        <v>1.0530900870013999</v>
      </c>
      <c r="U1166" s="14">
        <v>565</v>
      </c>
      <c r="V1166" s="14">
        <v>1</v>
      </c>
      <c r="W1166" s="12">
        <v>5.4999999999999997E-3</v>
      </c>
      <c r="X1166" s="12">
        <v>1.0585900870014</v>
      </c>
      <c r="Y1166" s="14">
        <v>565</v>
      </c>
      <c r="Z1166" s="14">
        <v>19</v>
      </c>
      <c r="AA1166" s="12" t="s">
        <v>2370</v>
      </c>
    </row>
    <row r="1167" spans="1:27" ht="14.25" x14ac:dyDescent="0.45">
      <c r="A1167" s="12" t="s">
        <v>1875</v>
      </c>
      <c r="B1167" s="12" t="s">
        <v>1971</v>
      </c>
      <c r="C1167" s="12" t="s">
        <v>1981</v>
      </c>
      <c r="D1167" s="12" t="s">
        <v>1982</v>
      </c>
      <c r="E1167" s="20">
        <v>37764</v>
      </c>
      <c r="F1167" s="20">
        <v>44424</v>
      </c>
      <c r="G1167" s="12">
        <v>7.0000000000000007E-2</v>
      </c>
      <c r="H1167" s="12">
        <v>4.56666666666667</v>
      </c>
      <c r="I1167" s="13">
        <v>1.5328467153284699E-2</v>
      </c>
      <c r="J1167" s="12" t="s">
        <v>1875</v>
      </c>
      <c r="K1167" s="14">
        <v>1711</v>
      </c>
      <c r="L1167" s="14">
        <v>1809</v>
      </c>
      <c r="M1167" s="14">
        <v>1859</v>
      </c>
      <c r="N1167" s="12">
        <v>7.0000000000000007E-2</v>
      </c>
      <c r="O1167" s="12" t="s">
        <v>1875</v>
      </c>
      <c r="P1167" s="12">
        <v>1.12604460745281E-5</v>
      </c>
      <c r="Q1167" s="12">
        <v>6.9798592379499198E-5</v>
      </c>
      <c r="R1167" s="12">
        <v>6.9052419354838704E-2</v>
      </c>
      <c r="S1167" s="14">
        <v>19</v>
      </c>
      <c r="T1167" s="12">
        <v>4.7846787515135004E-3</v>
      </c>
      <c r="U1167" s="14">
        <v>1821</v>
      </c>
      <c r="V1167" s="14">
        <v>1</v>
      </c>
      <c r="W1167" s="12">
        <v>5.4999999999999997E-3</v>
      </c>
      <c r="X1167" s="12">
        <v>1.0284678751513499E-2</v>
      </c>
      <c r="Y1167" s="14">
        <v>1821</v>
      </c>
      <c r="Z1167" s="14">
        <v>19</v>
      </c>
      <c r="AA1167" s="12" t="s">
        <v>2370</v>
      </c>
    </row>
    <row r="1168" spans="1:27" ht="14.25" x14ac:dyDescent="0.45">
      <c r="A1168" s="12" t="s">
        <v>1879</v>
      </c>
      <c r="B1168" s="12" t="s">
        <v>1971</v>
      </c>
      <c r="C1168" s="12" t="s">
        <v>1981</v>
      </c>
      <c r="D1168" s="12" t="s">
        <v>1982</v>
      </c>
      <c r="E1168" s="20">
        <v>36427</v>
      </c>
      <c r="F1168" s="20">
        <v>44480</v>
      </c>
      <c r="G1168" s="12">
        <v>1</v>
      </c>
      <c r="H1168" s="12">
        <v>2.7</v>
      </c>
      <c r="I1168" s="13">
        <v>0.37037037037037002</v>
      </c>
      <c r="J1168" s="12" t="s">
        <v>1879</v>
      </c>
      <c r="K1168" s="14">
        <v>1166</v>
      </c>
      <c r="L1168" s="14">
        <v>1899</v>
      </c>
      <c r="M1168" s="14">
        <v>1549</v>
      </c>
      <c r="N1168" s="12">
        <v>1</v>
      </c>
      <c r="O1168" s="12" t="s">
        <v>1879</v>
      </c>
      <c r="P1168" s="12">
        <v>1.6086351535040099E-4</v>
      </c>
      <c r="Q1168" s="12">
        <v>1.6864915619032399E-3</v>
      </c>
      <c r="R1168" s="12">
        <v>4.0826612903225798E-2</v>
      </c>
      <c r="S1168" s="14">
        <v>23</v>
      </c>
      <c r="T1168" s="12">
        <v>0.111438104444593</v>
      </c>
      <c r="U1168" s="14">
        <v>1259</v>
      </c>
      <c r="V1168" s="14">
        <v>1</v>
      </c>
      <c r="W1168" s="12">
        <v>5.4999999999999997E-3</v>
      </c>
      <c r="X1168" s="12">
        <v>0.116938104444593</v>
      </c>
      <c r="Y1168" s="14">
        <v>1259</v>
      </c>
      <c r="Z1168" s="14">
        <v>22</v>
      </c>
      <c r="AA1168" s="12" t="s">
        <v>2370</v>
      </c>
    </row>
    <row r="1169" spans="1:27" ht="14.25" x14ac:dyDescent="0.45">
      <c r="A1169" s="12" t="s">
        <v>1885</v>
      </c>
      <c r="B1169" s="12" t="s">
        <v>1971</v>
      </c>
      <c r="C1169" s="12" t="s">
        <v>1981</v>
      </c>
      <c r="D1169" s="12" t="s">
        <v>1993</v>
      </c>
      <c r="E1169" s="20">
        <v>37262</v>
      </c>
      <c r="F1169" s="20">
        <v>44487</v>
      </c>
      <c r="G1169" s="12">
        <v>0.34</v>
      </c>
      <c r="H1169" s="12">
        <v>2.4666666666666699</v>
      </c>
      <c r="I1169" s="13">
        <v>0.13783783783783801</v>
      </c>
      <c r="J1169" s="12" t="s">
        <v>1885</v>
      </c>
      <c r="K1169" s="14">
        <v>1429</v>
      </c>
      <c r="L1169" s="14">
        <v>1912</v>
      </c>
      <c r="M1169" s="14">
        <v>1723</v>
      </c>
      <c r="N1169" s="12">
        <v>0.34</v>
      </c>
      <c r="O1169" s="12" t="s">
        <v>1885</v>
      </c>
      <c r="P1169" s="12">
        <v>5.4693595219136301E-5</v>
      </c>
      <c r="Q1169" s="12">
        <v>6.2764834614615305E-4</v>
      </c>
      <c r="R1169" s="12">
        <v>3.7298387096774202E-2</v>
      </c>
      <c r="S1169" s="14">
        <v>20</v>
      </c>
      <c r="T1169" s="12">
        <v>4.1279031454852198E-2</v>
      </c>
      <c r="U1169" s="14">
        <v>1553</v>
      </c>
      <c r="V1169" s="14">
        <v>1</v>
      </c>
      <c r="W1169" s="12">
        <v>5.4999999999999997E-3</v>
      </c>
      <c r="X1169" s="12">
        <v>4.6779031454852203E-2</v>
      </c>
      <c r="Y1169" s="14">
        <v>1554</v>
      </c>
      <c r="Z1169" s="14">
        <v>20</v>
      </c>
      <c r="AA1169" s="12" t="s">
        <v>2370</v>
      </c>
    </row>
    <row r="1170" spans="1:27" ht="14.25" x14ac:dyDescent="0.45">
      <c r="A1170" s="12" t="s">
        <v>1892</v>
      </c>
      <c r="B1170" s="12" t="s">
        <v>1971</v>
      </c>
      <c r="C1170" s="12" t="s">
        <v>1981</v>
      </c>
      <c r="D1170" s="12" t="s">
        <v>1982</v>
      </c>
      <c r="E1170" s="20">
        <v>36744</v>
      </c>
      <c r="F1170" s="20">
        <v>44511</v>
      </c>
      <c r="G1170" s="12">
        <v>2.75</v>
      </c>
      <c r="H1170" s="12">
        <v>1.6666666666666701</v>
      </c>
      <c r="I1170" s="13">
        <v>1.65</v>
      </c>
      <c r="J1170" s="12" t="s">
        <v>1892</v>
      </c>
      <c r="K1170" s="14">
        <v>711</v>
      </c>
      <c r="L1170" s="14">
        <v>1931</v>
      </c>
      <c r="M1170" s="14">
        <v>1252</v>
      </c>
      <c r="N1170" s="12">
        <v>2.75</v>
      </c>
      <c r="O1170" s="12" t="s">
        <v>1892</v>
      </c>
      <c r="P1170" s="12">
        <v>4.4237466721360201E-4</v>
      </c>
      <c r="Q1170" s="12">
        <v>7.5133199082789504E-3</v>
      </c>
      <c r="R1170" s="12">
        <v>2.5201612903225801E-2</v>
      </c>
      <c r="S1170" s="14">
        <v>22</v>
      </c>
      <c r="T1170" s="12">
        <v>0.48617154428794501</v>
      </c>
      <c r="U1170" s="14">
        <v>791</v>
      </c>
      <c r="V1170" s="14">
        <v>2</v>
      </c>
      <c r="W1170" s="12">
        <v>5.5999999999999999E-3</v>
      </c>
      <c r="X1170" s="12">
        <v>0.49177154428794501</v>
      </c>
      <c r="Y1170" s="14">
        <v>791</v>
      </c>
      <c r="Z1170" s="14">
        <v>21</v>
      </c>
      <c r="AA1170" s="12" t="s">
        <v>2370</v>
      </c>
    </row>
    <row r="1171" spans="1:27" ht="14.25" x14ac:dyDescent="0.45">
      <c r="A1171" s="12" t="s">
        <v>1911</v>
      </c>
      <c r="B1171" s="12" t="s">
        <v>1971</v>
      </c>
      <c r="C1171" s="12" t="s">
        <v>1981</v>
      </c>
      <c r="D1171" s="12" t="s">
        <v>1993</v>
      </c>
      <c r="E1171" s="20">
        <v>37649</v>
      </c>
      <c r="F1171" s="20">
        <v>44482</v>
      </c>
      <c r="G1171" s="12">
        <v>208.91</v>
      </c>
      <c r="H1171" s="12">
        <v>2.6333333333333302</v>
      </c>
      <c r="I1171" s="13">
        <v>79.332911392405094</v>
      </c>
      <c r="J1171" s="12" t="s">
        <v>1911</v>
      </c>
      <c r="K1171" s="14">
        <v>29</v>
      </c>
      <c r="L1171" s="14">
        <v>1907</v>
      </c>
      <c r="M1171" s="14">
        <v>279</v>
      </c>
      <c r="N1171" s="12">
        <v>208.91</v>
      </c>
      <c r="O1171" s="12" t="s">
        <v>1911</v>
      </c>
      <c r="P1171" s="12">
        <v>3.3605996991852301E-2</v>
      </c>
      <c r="Q1171" s="12">
        <v>0.36124457124017401</v>
      </c>
      <c r="R1171" s="12">
        <v>3.9818548387096801E-2</v>
      </c>
      <c r="S1171" s="14">
        <v>19</v>
      </c>
      <c r="T1171" s="12">
        <v>23.838010589705299</v>
      </c>
      <c r="U1171" s="14">
        <v>43</v>
      </c>
      <c r="V1171" s="14">
        <v>2</v>
      </c>
      <c r="W1171" s="12">
        <v>5.5999999999999999E-3</v>
      </c>
      <c r="X1171" s="12">
        <v>23.8436105897053</v>
      </c>
      <c r="Y1171" s="14">
        <v>43</v>
      </c>
      <c r="Z1171" s="14">
        <v>19</v>
      </c>
      <c r="AA1171" s="12" t="s">
        <v>2370</v>
      </c>
    </row>
    <row r="1172" spans="1:27" ht="14.25" x14ac:dyDescent="0.45">
      <c r="A1172" s="12" t="s">
        <v>1944</v>
      </c>
      <c r="B1172" s="12" t="s">
        <v>1971</v>
      </c>
      <c r="C1172" s="12" t="s">
        <v>1981</v>
      </c>
      <c r="D1172" s="12" t="s">
        <v>1974</v>
      </c>
      <c r="E1172" s="20">
        <v>35922</v>
      </c>
      <c r="F1172" s="20">
        <v>44538</v>
      </c>
      <c r="G1172" s="12">
        <v>1.22</v>
      </c>
      <c r="H1172" s="12">
        <v>0.76666666666666705</v>
      </c>
      <c r="I1172" s="13">
        <v>1.59130434782609</v>
      </c>
      <c r="J1172" s="12" t="s">
        <v>1944</v>
      </c>
      <c r="K1172" s="14">
        <v>719</v>
      </c>
      <c r="L1172" s="14">
        <v>1948</v>
      </c>
      <c r="M1172" s="14">
        <v>1519</v>
      </c>
      <c r="N1172" s="12">
        <v>1.22</v>
      </c>
      <c r="O1172" s="12" t="s">
        <v>1944</v>
      </c>
      <c r="P1172" s="12">
        <v>1.96253488727489E-4</v>
      </c>
      <c r="Q1172" s="12">
        <v>7.2460476585773301E-3</v>
      </c>
      <c r="R1172" s="12">
        <v>1.1592741935483901E-2</v>
      </c>
      <c r="S1172" s="14">
        <v>24</v>
      </c>
      <c r="T1172" s="12">
        <v>0.46023748448836399</v>
      </c>
      <c r="U1172" s="14">
        <v>795</v>
      </c>
      <c r="V1172" s="14">
        <v>1</v>
      </c>
      <c r="W1172" s="12">
        <v>5.4999999999999997E-3</v>
      </c>
      <c r="X1172" s="12">
        <v>0.465737484488364</v>
      </c>
      <c r="Y1172" s="14">
        <v>795</v>
      </c>
      <c r="Z1172" s="14">
        <v>24</v>
      </c>
      <c r="AA1172" s="12" t="s">
        <v>2370</v>
      </c>
    </row>
    <row r="1173" spans="1:27" ht="14.25" x14ac:dyDescent="0.45">
      <c r="A1173" s="12" t="s">
        <v>1947</v>
      </c>
      <c r="B1173" s="12" t="s">
        <v>1971</v>
      </c>
      <c r="C1173" s="12" t="s">
        <v>1981</v>
      </c>
      <c r="D1173" s="12" t="s">
        <v>1982</v>
      </c>
      <c r="E1173" s="20">
        <v>36636</v>
      </c>
      <c r="F1173" s="20">
        <v>44382</v>
      </c>
      <c r="G1173" s="12">
        <v>6.72</v>
      </c>
      <c r="H1173" s="12">
        <v>5.9666666666666703</v>
      </c>
      <c r="I1173" s="13">
        <v>1.1262569832402201</v>
      </c>
      <c r="J1173" s="12" t="s">
        <v>1947</v>
      </c>
      <c r="K1173" s="14">
        <v>786</v>
      </c>
      <c r="L1173" s="14">
        <v>1646</v>
      </c>
      <c r="M1173" s="14">
        <v>934</v>
      </c>
      <c r="N1173" s="12">
        <v>6.72</v>
      </c>
      <c r="O1173" s="12" t="s">
        <v>1947</v>
      </c>
      <c r="P1173" s="12">
        <v>1.08100282315469E-3</v>
      </c>
      <c r="Q1173" s="12">
        <v>5.1284418266769501E-3</v>
      </c>
      <c r="R1173" s="12">
        <v>9.0221774193548404E-2</v>
      </c>
      <c r="S1173" s="14">
        <v>22</v>
      </c>
      <c r="T1173" s="12">
        <v>0.36106522003560998</v>
      </c>
      <c r="U1173" s="14">
        <v>863</v>
      </c>
      <c r="V1173" s="14">
        <v>1</v>
      </c>
      <c r="W1173" s="12">
        <v>5.4999999999999997E-3</v>
      </c>
      <c r="X1173" s="12">
        <v>0.36656522003560998</v>
      </c>
      <c r="Y1173" s="14">
        <v>863</v>
      </c>
      <c r="Z1173" s="14">
        <v>22</v>
      </c>
      <c r="AA1173" s="12" t="s">
        <v>2370</v>
      </c>
    </row>
    <row r="1174" spans="1:27" ht="14.25" x14ac:dyDescent="0.45">
      <c r="A1174" s="12" t="s">
        <v>1953</v>
      </c>
      <c r="B1174" s="12" t="s">
        <v>1971</v>
      </c>
      <c r="C1174" s="12" t="s">
        <v>1981</v>
      </c>
      <c r="D1174" s="12" t="s">
        <v>1982</v>
      </c>
      <c r="E1174" s="20">
        <v>36241</v>
      </c>
      <c r="F1174" s="20">
        <v>44459</v>
      </c>
      <c r="G1174" s="12">
        <v>55.01</v>
      </c>
      <c r="H1174" s="12">
        <v>3.4</v>
      </c>
      <c r="I1174" s="13">
        <v>16.1794117647059</v>
      </c>
      <c r="J1174" s="12" t="s">
        <v>1953</v>
      </c>
      <c r="K1174" s="14">
        <v>173</v>
      </c>
      <c r="L1174" s="14">
        <v>1879</v>
      </c>
      <c r="M1174" s="14">
        <v>469</v>
      </c>
      <c r="N1174" s="12">
        <v>55.01</v>
      </c>
      <c r="O1174" s="12" t="s">
        <v>1953</v>
      </c>
      <c r="P1174" s="12">
        <v>8.8491019794255492E-3</v>
      </c>
      <c r="Q1174" s="12">
        <v>7.3673391827883294E-2</v>
      </c>
      <c r="R1174" s="12">
        <v>5.1411290322580599E-2</v>
      </c>
      <c r="S1174" s="14">
        <v>23</v>
      </c>
      <c r="T1174" s="12">
        <v>4.9364283134711604</v>
      </c>
      <c r="U1174" s="14">
        <v>264</v>
      </c>
      <c r="V1174" s="14">
        <v>3</v>
      </c>
      <c r="W1174" s="12">
        <v>5.7000000000000002E-3</v>
      </c>
      <c r="X1174" s="12">
        <v>4.9421283134711604</v>
      </c>
      <c r="Y1174" s="14">
        <v>264</v>
      </c>
      <c r="Z1174" s="14">
        <v>23</v>
      </c>
      <c r="AA1174" s="12" t="s">
        <v>2370</v>
      </c>
    </row>
    <row r="1175" spans="1:27" ht="14.25" x14ac:dyDescent="0.45">
      <c r="A1175" s="12" t="s">
        <v>1958</v>
      </c>
      <c r="B1175" s="12" t="s">
        <v>1971</v>
      </c>
      <c r="C1175" s="12" t="s">
        <v>1981</v>
      </c>
      <c r="D1175" s="12" t="s">
        <v>1993</v>
      </c>
      <c r="E1175" s="20">
        <v>37012</v>
      </c>
      <c r="F1175" s="20">
        <v>44434</v>
      </c>
      <c r="G1175" s="12">
        <v>24.47</v>
      </c>
      <c r="H1175" s="12">
        <v>4.2333333333333298</v>
      </c>
      <c r="I1175" s="13">
        <v>5.7803149606299202</v>
      </c>
      <c r="J1175" s="12" t="s">
        <v>1958</v>
      </c>
      <c r="K1175" s="14">
        <v>417</v>
      </c>
      <c r="L1175" s="14">
        <v>1850</v>
      </c>
      <c r="M1175" s="14">
        <v>686</v>
      </c>
      <c r="N1175" s="12">
        <v>24.47</v>
      </c>
      <c r="O1175" s="12" t="s">
        <v>1958</v>
      </c>
      <c r="P1175" s="12">
        <v>3.9363302206243097E-3</v>
      </c>
      <c r="Q1175" s="12">
        <v>2.6320821496862701E-2</v>
      </c>
      <c r="R1175" s="12">
        <v>6.4012096774193505E-2</v>
      </c>
      <c r="S1175" s="14">
        <v>21</v>
      </c>
      <c r="T1175" s="12">
        <v>1.79266372682733</v>
      </c>
      <c r="U1175" s="14">
        <v>456</v>
      </c>
      <c r="V1175" s="14">
        <v>1</v>
      </c>
      <c r="W1175" s="12">
        <v>5.4999999999999997E-3</v>
      </c>
      <c r="X1175" s="12">
        <v>1.7981637268273301</v>
      </c>
      <c r="Y1175" s="14">
        <v>456</v>
      </c>
      <c r="Z1175" s="14">
        <v>21</v>
      </c>
      <c r="AA1175" s="12" t="s">
        <v>2370</v>
      </c>
    </row>
    <row r="1176" spans="1:27" ht="14.25" x14ac:dyDescent="0.45">
      <c r="A1176" s="12" t="s">
        <v>1959</v>
      </c>
      <c r="B1176" s="12" t="s">
        <v>1971</v>
      </c>
      <c r="C1176" s="12" t="s">
        <v>1981</v>
      </c>
      <c r="D1176" s="12" t="s">
        <v>1982</v>
      </c>
      <c r="E1176" s="20">
        <v>36987</v>
      </c>
      <c r="F1176" s="20">
        <v>44489</v>
      </c>
      <c r="G1176" s="12">
        <v>74.81</v>
      </c>
      <c r="H1176" s="12">
        <v>2.4</v>
      </c>
      <c r="I1176" s="13">
        <v>31.170833333333299</v>
      </c>
      <c r="J1176" s="12" t="s">
        <v>1959</v>
      </c>
      <c r="K1176" s="14">
        <v>76</v>
      </c>
      <c r="L1176" s="14">
        <v>1915</v>
      </c>
      <c r="M1176" s="14">
        <v>416</v>
      </c>
      <c r="N1176" s="12">
        <v>74.81</v>
      </c>
      <c r="O1176" s="12" t="s">
        <v>1959</v>
      </c>
      <c r="P1176" s="12">
        <v>1.20341995833635E-2</v>
      </c>
      <c r="Q1176" s="12">
        <v>0.141937237964229</v>
      </c>
      <c r="R1176" s="12">
        <v>3.6290322580645198E-2</v>
      </c>
      <c r="S1176" s="14">
        <v>21</v>
      </c>
      <c r="T1176" s="12">
        <v>9.3223598571404693</v>
      </c>
      <c r="U1176" s="14">
        <v>114</v>
      </c>
      <c r="V1176" s="14">
        <v>1</v>
      </c>
      <c r="W1176" s="12">
        <v>5.4999999999999997E-3</v>
      </c>
      <c r="X1176" s="12">
        <v>9.3278598571404707</v>
      </c>
      <c r="Y1176" s="14">
        <v>114</v>
      </c>
      <c r="Z1176" s="14">
        <v>21</v>
      </c>
      <c r="AA1176" s="12" t="s">
        <v>2370</v>
      </c>
    </row>
    <row r="1177" spans="1:27" ht="14.25" x14ac:dyDescent="0.45">
      <c r="A1177" s="12" t="s">
        <v>1960</v>
      </c>
      <c r="B1177" s="12" t="s">
        <v>1971</v>
      </c>
      <c r="C1177" s="12" t="s">
        <v>1981</v>
      </c>
      <c r="D1177" s="12" t="s">
        <v>1990</v>
      </c>
      <c r="E1177" s="20">
        <v>36595</v>
      </c>
      <c r="F1177" s="20">
        <v>44490</v>
      </c>
      <c r="G1177" s="12">
        <v>0.01</v>
      </c>
      <c r="H1177" s="12">
        <v>2.3666666666666698</v>
      </c>
      <c r="I1177" s="13">
        <v>4.2253521126760602E-3</v>
      </c>
      <c r="J1177" s="12" t="s">
        <v>1960</v>
      </c>
      <c r="K1177" s="14">
        <v>1783</v>
      </c>
      <c r="L1177" s="14">
        <v>1919</v>
      </c>
      <c r="M1177" s="14">
        <v>1944</v>
      </c>
      <c r="N1177" s="12">
        <v>0.01</v>
      </c>
      <c r="O1177" s="12" t="s">
        <v>1960</v>
      </c>
      <c r="P1177" s="12">
        <v>1.6086351535040101E-6</v>
      </c>
      <c r="Q1177" s="12">
        <v>1.9240255847065199E-5</v>
      </c>
      <c r="R1177" s="12">
        <v>3.5786290322580599E-2</v>
      </c>
      <c r="S1177" s="14">
        <v>22</v>
      </c>
      <c r="T1177" s="12">
        <v>1.2628398086979699E-3</v>
      </c>
      <c r="U1177" s="14">
        <v>1899</v>
      </c>
      <c r="V1177" s="14">
        <v>1</v>
      </c>
      <c r="W1177" s="12">
        <v>5.4999999999999997E-3</v>
      </c>
      <c r="X1177" s="12">
        <v>6.7628398086979702E-3</v>
      </c>
      <c r="Y1177" s="14">
        <v>1899</v>
      </c>
      <c r="Z1177" s="14">
        <v>22</v>
      </c>
      <c r="AA1177" s="12" t="s">
        <v>2370</v>
      </c>
    </row>
    <row r="1178" spans="1:27" ht="14.25" x14ac:dyDescent="0.45">
      <c r="A1178" s="12" t="s">
        <v>27</v>
      </c>
      <c r="B1178" s="12" t="s">
        <v>1971</v>
      </c>
      <c r="C1178" s="12" t="s">
        <v>1981</v>
      </c>
      <c r="D1178" s="12" t="s">
        <v>1990</v>
      </c>
      <c r="E1178" s="20">
        <v>32069</v>
      </c>
      <c r="F1178" s="20">
        <v>44162</v>
      </c>
      <c r="G1178" s="12">
        <v>8.1199999999999992</v>
      </c>
      <c r="H1178" s="12">
        <v>13.3</v>
      </c>
      <c r="I1178" s="13">
        <v>0.61052631578947403</v>
      </c>
      <c r="J1178" s="12" t="s">
        <v>27</v>
      </c>
      <c r="K1178" s="14">
        <v>986</v>
      </c>
      <c r="L1178" s="14">
        <v>652</v>
      </c>
      <c r="M1178" s="14">
        <v>888</v>
      </c>
      <c r="N1178" s="12">
        <v>8.1199999999999992</v>
      </c>
      <c r="O1178" s="12" t="s">
        <v>27</v>
      </c>
      <c r="P1178" s="12">
        <v>1.30621174464526E-3</v>
      </c>
      <c r="Q1178" s="12">
        <v>2.78004819572682E-3</v>
      </c>
      <c r="R1178" s="12">
        <v>0.20110887096774199</v>
      </c>
      <c r="S1178" s="14">
        <v>35</v>
      </c>
      <c r="T1178" s="12">
        <v>0.22273595265712301</v>
      </c>
      <c r="U1178" s="14">
        <v>1006</v>
      </c>
      <c r="V1178" s="14">
        <v>1</v>
      </c>
      <c r="W1178" s="12">
        <v>5.4999999999999997E-3</v>
      </c>
      <c r="X1178" s="12">
        <v>0.22823595265712299</v>
      </c>
      <c r="Y1178" s="14">
        <v>1006</v>
      </c>
      <c r="Z1178" s="14">
        <v>34</v>
      </c>
      <c r="AA1178" s="12" t="s">
        <v>2367</v>
      </c>
    </row>
    <row r="1179" spans="1:27" ht="14.25" x14ac:dyDescent="0.45">
      <c r="A1179" s="12" t="s">
        <v>79</v>
      </c>
      <c r="B1179" s="12" t="s">
        <v>1971</v>
      </c>
      <c r="C1179" s="12" t="s">
        <v>1981</v>
      </c>
      <c r="D1179" s="12" t="s">
        <v>1974</v>
      </c>
      <c r="E1179" s="20">
        <v>29611</v>
      </c>
      <c r="F1179" s="20">
        <v>43164</v>
      </c>
      <c r="G1179" s="12">
        <v>764.65</v>
      </c>
      <c r="H1179" s="12">
        <v>46.566666666666698</v>
      </c>
      <c r="I1179" s="13">
        <v>16.420544022906199</v>
      </c>
      <c r="J1179" s="12" t="s">
        <v>79</v>
      </c>
      <c r="K1179" s="14">
        <v>167</v>
      </c>
      <c r="L1179" s="14">
        <v>77</v>
      </c>
      <c r="M1179" s="14">
        <v>79</v>
      </c>
      <c r="N1179" s="12">
        <v>764.65</v>
      </c>
      <c r="O1179" s="12" t="s">
        <v>79</v>
      </c>
      <c r="P1179" s="12">
        <v>0.123004287012684</v>
      </c>
      <c r="Q1179" s="12">
        <v>7.4771394128528706E-2</v>
      </c>
      <c r="R1179" s="12">
        <v>0.704133064516129</v>
      </c>
      <c r="S1179" s="14">
        <v>41</v>
      </c>
      <c r="T1179" s="12">
        <v>9.2858728960086907</v>
      </c>
      <c r="U1179" s="14">
        <v>115</v>
      </c>
      <c r="V1179" s="14">
        <v>9</v>
      </c>
      <c r="W1179" s="12">
        <v>6.3E-3</v>
      </c>
      <c r="X1179" s="12">
        <v>9.2921728960086902</v>
      </c>
      <c r="Y1179" s="14">
        <v>115</v>
      </c>
      <c r="Z1179" s="14">
        <v>41</v>
      </c>
      <c r="AA1179" s="12" t="s">
        <v>2369</v>
      </c>
    </row>
    <row r="1180" spans="1:27" ht="14.25" x14ac:dyDescent="0.45">
      <c r="A1180" s="12" t="s">
        <v>141</v>
      </c>
      <c r="B1180" s="12" t="s">
        <v>1971</v>
      </c>
      <c r="C1180" s="12" t="s">
        <v>1981</v>
      </c>
      <c r="D1180" s="12" t="s">
        <v>1974</v>
      </c>
      <c r="E1180" s="20">
        <v>32234</v>
      </c>
      <c r="F1180" s="20">
        <v>44063</v>
      </c>
      <c r="G1180" s="12">
        <v>47.2</v>
      </c>
      <c r="H1180" s="12">
        <v>16.600000000000001</v>
      </c>
      <c r="I1180" s="13">
        <v>2.8433734939758999</v>
      </c>
      <c r="J1180" s="12" t="s">
        <v>141</v>
      </c>
      <c r="K1180" s="14">
        <v>567</v>
      </c>
      <c r="L1180" s="14">
        <v>471</v>
      </c>
      <c r="M1180" s="14">
        <v>494</v>
      </c>
      <c r="N1180" s="12">
        <v>47.2</v>
      </c>
      <c r="O1180" s="12" t="s">
        <v>141</v>
      </c>
      <c r="P1180" s="12">
        <v>7.5927579245389197E-3</v>
      </c>
      <c r="Q1180" s="12">
        <v>1.29473785933102E-2</v>
      </c>
      <c r="R1180" s="12">
        <v>0.251008064516129</v>
      </c>
      <c r="S1180" s="14">
        <v>34</v>
      </c>
      <c r="T1180" s="12">
        <v>1.0939395842521</v>
      </c>
      <c r="U1180" s="14">
        <v>557</v>
      </c>
      <c r="V1180" s="14">
        <v>18</v>
      </c>
      <c r="W1180" s="12">
        <v>7.0000000000000001E-3</v>
      </c>
      <c r="X1180" s="12">
        <v>1.1009395842520999</v>
      </c>
      <c r="Y1180" s="14">
        <v>556</v>
      </c>
      <c r="Z1180" s="14">
        <v>34</v>
      </c>
      <c r="AA1180" s="12" t="s">
        <v>2367</v>
      </c>
    </row>
    <row r="1181" spans="1:27" ht="14.25" x14ac:dyDescent="0.45">
      <c r="A1181" s="12" t="s">
        <v>170</v>
      </c>
      <c r="B1181" s="12" t="s">
        <v>1971</v>
      </c>
      <c r="C1181" s="12" t="s">
        <v>1981</v>
      </c>
      <c r="D1181" s="12" t="s">
        <v>2077</v>
      </c>
      <c r="E1181" s="20">
        <v>29178</v>
      </c>
      <c r="F1181" s="20">
        <v>43910</v>
      </c>
      <c r="G1181" s="12">
        <v>0.27</v>
      </c>
      <c r="H1181" s="12">
        <v>21.7</v>
      </c>
      <c r="I1181" s="13">
        <v>1.24423963133641E-2</v>
      </c>
      <c r="J1181" s="12" t="s">
        <v>170</v>
      </c>
      <c r="K1181" s="14">
        <v>1727</v>
      </c>
      <c r="L1181" s="14">
        <v>437</v>
      </c>
      <c r="M1181" s="14">
        <v>1747</v>
      </c>
      <c r="N1181" s="12">
        <v>0.27</v>
      </c>
      <c r="O1181" s="12" t="s">
        <v>170</v>
      </c>
      <c r="P1181" s="12">
        <v>4.3433149144608199E-5</v>
      </c>
      <c r="Q1181" s="12">
        <v>5.6656790259330198E-5</v>
      </c>
      <c r="R1181" s="12">
        <v>0.328125</v>
      </c>
      <c r="S1181" s="14">
        <v>43</v>
      </c>
      <c r="T1181" s="12">
        <v>5.16979248413095E-3</v>
      </c>
      <c r="U1181" s="14">
        <v>1817</v>
      </c>
      <c r="V1181" s="14">
        <v>4</v>
      </c>
      <c r="W1181" s="12">
        <v>5.7999999999999996E-3</v>
      </c>
      <c r="X1181" s="12">
        <v>1.0969792484130899E-2</v>
      </c>
      <c r="Y1181" s="14">
        <v>1812</v>
      </c>
      <c r="Z1181" s="14">
        <v>42</v>
      </c>
      <c r="AA1181" s="12" t="s">
        <v>2369</v>
      </c>
    </row>
    <row r="1182" spans="1:27" ht="14.25" x14ac:dyDescent="0.45">
      <c r="A1182" s="12" t="s">
        <v>180</v>
      </c>
      <c r="B1182" s="12" t="s">
        <v>1971</v>
      </c>
      <c r="C1182" s="12" t="s">
        <v>1981</v>
      </c>
      <c r="D1182" s="12" t="s">
        <v>2003</v>
      </c>
      <c r="E1182" s="20">
        <v>27890</v>
      </c>
      <c r="F1182" s="20">
        <v>43241</v>
      </c>
      <c r="G1182" s="12">
        <v>1105.03</v>
      </c>
      <c r="H1182" s="12">
        <v>44</v>
      </c>
      <c r="I1182" s="13">
        <v>25.114318181818199</v>
      </c>
      <c r="J1182" s="12" t="s">
        <v>180</v>
      </c>
      <c r="K1182" s="14">
        <v>104</v>
      </c>
      <c r="L1182" s="14">
        <v>96</v>
      </c>
      <c r="M1182" s="14">
        <v>48</v>
      </c>
      <c r="N1182" s="12">
        <v>1105.03</v>
      </c>
      <c r="O1182" s="12" t="s">
        <v>180</v>
      </c>
      <c r="P1182" s="12">
        <v>0.17775901036765401</v>
      </c>
      <c r="Q1182" s="12">
        <v>0.114358731380792</v>
      </c>
      <c r="R1182" s="12">
        <v>0.66532258064516103</v>
      </c>
      <c r="S1182" s="14">
        <v>46</v>
      </c>
      <c r="T1182" s="12">
        <v>13.8133836000865</v>
      </c>
      <c r="U1182" s="14">
        <v>76</v>
      </c>
      <c r="V1182" s="14">
        <v>11</v>
      </c>
      <c r="W1182" s="12">
        <v>6.4999999999999997E-3</v>
      </c>
      <c r="X1182" s="12">
        <v>13.8198836000865</v>
      </c>
      <c r="Y1182" s="14">
        <v>76</v>
      </c>
      <c r="Z1182" s="14">
        <v>46</v>
      </c>
      <c r="AA1182" s="12" t="s">
        <v>2371</v>
      </c>
    </row>
    <row r="1183" spans="1:27" ht="14.25" x14ac:dyDescent="0.45">
      <c r="A1183" s="12" t="s">
        <v>184</v>
      </c>
      <c r="B1183" s="12" t="s">
        <v>1971</v>
      </c>
      <c r="C1183" s="12" t="s">
        <v>1981</v>
      </c>
      <c r="D1183" s="12" t="s">
        <v>1993</v>
      </c>
      <c r="E1183" s="20">
        <v>30689</v>
      </c>
      <c r="F1183" s="20">
        <v>43745</v>
      </c>
      <c r="G1183" s="12">
        <v>9.82</v>
      </c>
      <c r="H1183" s="12">
        <v>27.2</v>
      </c>
      <c r="I1183" s="13">
        <v>0.36102941176470599</v>
      </c>
      <c r="J1183" s="12" t="s">
        <v>184</v>
      </c>
      <c r="K1183" s="14">
        <v>1174</v>
      </c>
      <c r="L1183" s="14">
        <v>307</v>
      </c>
      <c r="M1183" s="14">
        <v>850</v>
      </c>
      <c r="N1183" s="12">
        <v>9.82</v>
      </c>
      <c r="O1183" s="12" t="s">
        <v>184</v>
      </c>
      <c r="P1183" s="12">
        <v>1.5796797207409401E-3</v>
      </c>
      <c r="Q1183" s="12">
        <v>1.6439572526581799E-3</v>
      </c>
      <c r="R1183" s="12">
        <v>0.41129032258064502</v>
      </c>
      <c r="S1183" s="14">
        <v>38</v>
      </c>
      <c r="T1183" s="12">
        <v>0.161985317818922</v>
      </c>
      <c r="U1183" s="14">
        <v>1127</v>
      </c>
      <c r="V1183" s="14">
        <v>10</v>
      </c>
      <c r="W1183" s="12">
        <v>6.4000000000000003E-3</v>
      </c>
      <c r="X1183" s="12">
        <v>0.16838531781892199</v>
      </c>
      <c r="Y1183" s="14">
        <v>1125</v>
      </c>
      <c r="Z1183" s="14">
        <v>38</v>
      </c>
      <c r="AA1183" s="12" t="s">
        <v>2369</v>
      </c>
    </row>
    <row r="1184" spans="1:27" ht="14.25" x14ac:dyDescent="0.45">
      <c r="A1184" s="12" t="s">
        <v>233</v>
      </c>
      <c r="B1184" s="12" t="s">
        <v>1971</v>
      </c>
      <c r="C1184" s="12" t="s">
        <v>1981</v>
      </c>
      <c r="D1184" s="12" t="s">
        <v>1975</v>
      </c>
      <c r="E1184" s="20">
        <v>34448</v>
      </c>
      <c r="F1184" s="20">
        <v>43570</v>
      </c>
      <c r="G1184" s="12">
        <v>0.34</v>
      </c>
      <c r="H1184" s="12">
        <v>33.033333333333303</v>
      </c>
      <c r="I1184" s="13">
        <v>1.0292633703330001E-2</v>
      </c>
      <c r="J1184" s="12" t="s">
        <v>233</v>
      </c>
      <c r="K1184" s="14">
        <v>1744</v>
      </c>
      <c r="L1184" s="14">
        <v>238</v>
      </c>
      <c r="M1184" s="14">
        <v>1723</v>
      </c>
      <c r="N1184" s="12">
        <v>0.34</v>
      </c>
      <c r="O1184" s="12" t="s">
        <v>233</v>
      </c>
      <c r="P1184" s="12">
        <v>5.4693595219136301E-5</v>
      </c>
      <c r="Q1184" s="12">
        <v>4.6867787704152702E-5</v>
      </c>
      <c r="R1184" s="12">
        <v>0.499495967741935</v>
      </c>
      <c r="S1184" s="14">
        <v>28</v>
      </c>
      <c r="T1184" s="12">
        <v>4.9802465522271596E-3</v>
      </c>
      <c r="U1184" s="14">
        <v>1819</v>
      </c>
      <c r="V1184" s="14">
        <v>1</v>
      </c>
      <c r="W1184" s="12">
        <v>5.4999999999999997E-3</v>
      </c>
      <c r="X1184" s="12">
        <v>1.04802465522272E-2</v>
      </c>
      <c r="Y1184" s="14">
        <v>1819</v>
      </c>
      <c r="Z1184" s="14">
        <v>28</v>
      </c>
      <c r="AA1184" s="12" t="s">
        <v>2367</v>
      </c>
    </row>
    <row r="1185" spans="1:27" ht="14.25" x14ac:dyDescent="0.45">
      <c r="A1185" s="12" t="s">
        <v>271</v>
      </c>
      <c r="B1185" s="12" t="s">
        <v>1971</v>
      </c>
      <c r="C1185" s="12" t="s">
        <v>1981</v>
      </c>
      <c r="D1185" s="12" t="s">
        <v>1974</v>
      </c>
      <c r="E1185" s="20">
        <v>35219</v>
      </c>
      <c r="F1185" s="20">
        <v>44110</v>
      </c>
      <c r="G1185" s="12">
        <v>0.75</v>
      </c>
      <c r="H1185" s="12">
        <v>15.033333333333299</v>
      </c>
      <c r="I1185" s="13">
        <v>4.9889135254988899E-2</v>
      </c>
      <c r="J1185" s="12" t="s">
        <v>271</v>
      </c>
      <c r="K1185" s="14">
        <v>1609</v>
      </c>
      <c r="L1185" s="14">
        <v>515</v>
      </c>
      <c r="M1185" s="14">
        <v>1613</v>
      </c>
      <c r="N1185" s="12">
        <v>0.75</v>
      </c>
      <c r="O1185" s="12" t="s">
        <v>271</v>
      </c>
      <c r="P1185" s="12">
        <v>1.20647636512801E-4</v>
      </c>
      <c r="Q1185" s="12">
        <v>2.2717153522310899E-4</v>
      </c>
      <c r="R1185" s="12">
        <v>0.227318548387097</v>
      </c>
      <c r="S1185" s="14">
        <v>26</v>
      </c>
      <c r="T1185" s="12">
        <v>1.8722507320674299E-2</v>
      </c>
      <c r="U1185" s="14">
        <v>1695</v>
      </c>
      <c r="V1185" s="14">
        <v>2</v>
      </c>
      <c r="W1185" s="12">
        <v>5.5999999999999999E-3</v>
      </c>
      <c r="X1185" s="12">
        <v>2.43225073206743E-2</v>
      </c>
      <c r="Y1185" s="14">
        <v>1695</v>
      </c>
      <c r="Z1185" s="14">
        <v>26</v>
      </c>
      <c r="AA1185" s="12" t="s">
        <v>2367</v>
      </c>
    </row>
    <row r="1186" spans="1:27" ht="14.25" x14ac:dyDescent="0.45">
      <c r="A1186" s="12" t="s">
        <v>279</v>
      </c>
      <c r="B1186" s="12" t="s">
        <v>1971</v>
      </c>
      <c r="C1186" s="12" t="s">
        <v>1981</v>
      </c>
      <c r="D1186" s="12" t="s">
        <v>1990</v>
      </c>
      <c r="E1186" s="20">
        <v>32234</v>
      </c>
      <c r="F1186" s="20">
        <v>43185</v>
      </c>
      <c r="G1186" s="12">
        <v>609.29</v>
      </c>
      <c r="H1186" s="12">
        <v>45.866666666666703</v>
      </c>
      <c r="I1186" s="13">
        <v>13.2839389534884</v>
      </c>
      <c r="J1186" s="12" t="s">
        <v>279</v>
      </c>
      <c r="K1186" s="14">
        <v>220</v>
      </c>
      <c r="L1186" s="14">
        <v>81</v>
      </c>
      <c r="M1186" s="14">
        <v>113</v>
      </c>
      <c r="N1186" s="12">
        <v>609.29</v>
      </c>
      <c r="O1186" s="12" t="s">
        <v>279</v>
      </c>
      <c r="P1186" s="12">
        <v>9.8012531267845801E-2</v>
      </c>
      <c r="Q1186" s="12">
        <v>6.0488777575519098E-2</v>
      </c>
      <c r="R1186" s="12">
        <v>0.69354838709677402</v>
      </c>
      <c r="S1186" s="14">
        <v>34</v>
      </c>
      <c r="T1186" s="12">
        <v>7.4560185210141601</v>
      </c>
      <c r="U1186" s="14">
        <v>173</v>
      </c>
      <c r="V1186" s="14">
        <v>8</v>
      </c>
      <c r="W1186" s="12">
        <v>6.1999999999999998E-3</v>
      </c>
      <c r="X1186" s="12">
        <v>7.4622185210141598</v>
      </c>
      <c r="Y1186" s="14">
        <v>173</v>
      </c>
      <c r="Z1186" s="14">
        <v>34</v>
      </c>
      <c r="AA1186" s="12" t="s">
        <v>2367</v>
      </c>
    </row>
    <row r="1187" spans="1:27" ht="14.25" x14ac:dyDescent="0.45">
      <c r="A1187" s="12" t="s">
        <v>280</v>
      </c>
      <c r="B1187" s="12" t="s">
        <v>1971</v>
      </c>
      <c r="C1187" s="12" t="s">
        <v>1981</v>
      </c>
      <c r="D1187" s="12" t="s">
        <v>1993</v>
      </c>
      <c r="E1187" s="20">
        <v>29457</v>
      </c>
      <c r="F1187" s="20">
        <v>43896</v>
      </c>
      <c r="G1187" s="12">
        <v>5.31</v>
      </c>
      <c r="H1187" s="12">
        <v>22.1666666666667</v>
      </c>
      <c r="I1187" s="13">
        <v>0.23954887218045101</v>
      </c>
      <c r="J1187" s="12" t="s">
        <v>280</v>
      </c>
      <c r="K1187" s="14">
        <v>1291</v>
      </c>
      <c r="L1187" s="14">
        <v>423</v>
      </c>
      <c r="M1187" s="14">
        <v>1015</v>
      </c>
      <c r="N1187" s="12">
        <v>5.31</v>
      </c>
      <c r="O1187" s="12" t="s">
        <v>280</v>
      </c>
      <c r="P1187" s="12">
        <v>8.5418526651062903E-4</v>
      </c>
      <c r="Q1187" s="12">
        <v>1.09079230930858E-3</v>
      </c>
      <c r="R1187" s="12">
        <v>0.33518145161290303</v>
      </c>
      <c r="S1187" s="14">
        <v>42</v>
      </c>
      <c r="T1187" s="12">
        <v>0.10020646682593499</v>
      </c>
      <c r="U1187" s="14">
        <v>1290</v>
      </c>
      <c r="V1187" s="14">
        <v>2</v>
      </c>
      <c r="W1187" s="12">
        <v>5.5999999999999999E-3</v>
      </c>
      <c r="X1187" s="12">
        <v>0.105806466825935</v>
      </c>
      <c r="Y1187" s="14">
        <v>1290</v>
      </c>
      <c r="Z1187" s="14">
        <v>41</v>
      </c>
      <c r="AA1187" s="12" t="s">
        <v>2369</v>
      </c>
    </row>
    <row r="1188" spans="1:27" ht="14.25" x14ac:dyDescent="0.45">
      <c r="A1188" s="12" t="s">
        <v>283</v>
      </c>
      <c r="B1188" s="12" t="s">
        <v>1971</v>
      </c>
      <c r="C1188" s="12" t="s">
        <v>1981</v>
      </c>
      <c r="D1188" s="12" t="s">
        <v>1975</v>
      </c>
      <c r="E1188" s="20">
        <v>31850</v>
      </c>
      <c r="F1188" s="20">
        <v>44116</v>
      </c>
      <c r="G1188" s="12">
        <v>5.65</v>
      </c>
      <c r="H1188" s="12">
        <v>14.8333333333333</v>
      </c>
      <c r="I1188" s="13">
        <v>0.38089887640449399</v>
      </c>
      <c r="J1188" s="12" t="s">
        <v>283</v>
      </c>
      <c r="K1188" s="14">
        <v>1159</v>
      </c>
      <c r="L1188" s="14">
        <v>534</v>
      </c>
      <c r="M1188" s="14">
        <v>990</v>
      </c>
      <c r="N1188" s="12">
        <v>5.65</v>
      </c>
      <c r="O1188" s="12" t="s">
        <v>283</v>
      </c>
      <c r="P1188" s="12">
        <v>9.0887886172976503E-4</v>
      </c>
      <c r="Q1188" s="12">
        <v>1.73443340068544E-3</v>
      </c>
      <c r="R1188" s="12">
        <v>0.22429435483870999</v>
      </c>
      <c r="S1188" s="14">
        <v>35</v>
      </c>
      <c r="T1188" s="12">
        <v>0.14248504485770599</v>
      </c>
      <c r="U1188" s="14">
        <v>1182</v>
      </c>
      <c r="V1188" s="14">
        <v>1</v>
      </c>
      <c r="W1188" s="12">
        <v>5.4999999999999997E-3</v>
      </c>
      <c r="X1188" s="12">
        <v>0.147985044857706</v>
      </c>
      <c r="Y1188" s="14">
        <v>1182</v>
      </c>
      <c r="Z1188" s="14">
        <v>35</v>
      </c>
      <c r="AA1188" s="12" t="s">
        <v>2369</v>
      </c>
    </row>
    <row r="1189" spans="1:27" ht="14.25" x14ac:dyDescent="0.45">
      <c r="A1189" s="12" t="s">
        <v>322</v>
      </c>
      <c r="B1189" s="12" t="s">
        <v>1971</v>
      </c>
      <c r="C1189" s="12" t="s">
        <v>1981</v>
      </c>
      <c r="D1189" s="12" t="s">
        <v>1993</v>
      </c>
      <c r="E1189" s="20">
        <v>31322</v>
      </c>
      <c r="F1189" s="20">
        <v>44151</v>
      </c>
      <c r="G1189" s="12">
        <v>50.32</v>
      </c>
      <c r="H1189" s="12">
        <v>13.6666666666667</v>
      </c>
      <c r="I1189" s="13">
        <v>3.6819512195122002</v>
      </c>
      <c r="J1189" s="12" t="s">
        <v>322</v>
      </c>
      <c r="K1189" s="14">
        <v>508</v>
      </c>
      <c r="L1189" s="14">
        <v>625</v>
      </c>
      <c r="M1189" s="14">
        <v>485</v>
      </c>
      <c r="N1189" s="12">
        <v>50.32</v>
      </c>
      <c r="O1189" s="12" t="s">
        <v>322</v>
      </c>
      <c r="P1189" s="12">
        <v>8.0946520924321703E-3</v>
      </c>
      <c r="Q1189" s="12">
        <v>1.6765865090226002E-2</v>
      </c>
      <c r="R1189" s="12">
        <v>0.20665322580645201</v>
      </c>
      <c r="S1189" s="14">
        <v>37</v>
      </c>
      <c r="T1189" s="12">
        <v>1.3514160216053299</v>
      </c>
      <c r="U1189" s="14">
        <v>518</v>
      </c>
      <c r="V1189" s="14">
        <v>2</v>
      </c>
      <c r="W1189" s="12">
        <v>5.5999999999999999E-3</v>
      </c>
      <c r="X1189" s="12">
        <v>1.35701602160533</v>
      </c>
      <c r="Y1189" s="14">
        <v>518</v>
      </c>
      <c r="Z1189" s="14">
        <v>36</v>
      </c>
      <c r="AA1189" s="12" t="s">
        <v>2369</v>
      </c>
    </row>
    <row r="1190" spans="1:27" ht="14.25" x14ac:dyDescent="0.45">
      <c r="A1190" s="12" t="s">
        <v>344</v>
      </c>
      <c r="B1190" s="12" t="s">
        <v>1971</v>
      </c>
      <c r="C1190" s="12" t="s">
        <v>1981</v>
      </c>
      <c r="D1190" s="12" t="s">
        <v>1973</v>
      </c>
      <c r="E1190" s="20">
        <v>31207</v>
      </c>
      <c r="F1190" s="20">
        <v>43712</v>
      </c>
      <c r="G1190" s="12">
        <v>41.15</v>
      </c>
      <c r="H1190" s="12">
        <v>28.3</v>
      </c>
      <c r="I1190" s="13">
        <v>1.4540636042402799</v>
      </c>
      <c r="J1190" s="12" t="s">
        <v>344</v>
      </c>
      <c r="K1190" s="14">
        <v>735</v>
      </c>
      <c r="L1190" s="14">
        <v>278</v>
      </c>
      <c r="M1190" s="14">
        <v>512</v>
      </c>
      <c r="N1190" s="12">
        <v>41.15</v>
      </c>
      <c r="O1190" s="12" t="s">
        <v>344</v>
      </c>
      <c r="P1190" s="12">
        <v>6.6195336566689999E-3</v>
      </c>
      <c r="Q1190" s="12">
        <v>6.6211181973590098E-3</v>
      </c>
      <c r="R1190" s="12">
        <v>0.42792338709677402</v>
      </c>
      <c r="S1190" s="14">
        <v>37</v>
      </c>
      <c r="T1190" s="12">
        <v>0.66205239946002503</v>
      </c>
      <c r="U1190" s="14">
        <v>735</v>
      </c>
      <c r="V1190" s="14">
        <v>15</v>
      </c>
      <c r="W1190" s="12">
        <v>6.7999999999999996E-3</v>
      </c>
      <c r="X1190" s="12">
        <v>0.66885239946002595</v>
      </c>
      <c r="Y1190" s="14">
        <v>735</v>
      </c>
      <c r="Z1190" s="14">
        <v>37</v>
      </c>
      <c r="AA1190" s="12" t="s">
        <v>2369</v>
      </c>
    </row>
    <row r="1191" spans="1:27" ht="14.25" x14ac:dyDescent="0.45">
      <c r="A1191" s="12" t="s">
        <v>376</v>
      </c>
      <c r="B1191" s="12" t="s">
        <v>1971</v>
      </c>
      <c r="C1191" s="12" t="s">
        <v>1981</v>
      </c>
      <c r="D1191" s="12" t="s">
        <v>1974</v>
      </c>
      <c r="E1191" s="20">
        <v>33104</v>
      </c>
      <c r="F1191" s="20">
        <v>44194</v>
      </c>
      <c r="G1191" s="12">
        <v>0.71</v>
      </c>
      <c r="H1191" s="12">
        <v>12.233333333333301</v>
      </c>
      <c r="I1191" s="13">
        <v>5.8038147138964602E-2</v>
      </c>
      <c r="J1191" s="12" t="s">
        <v>376</v>
      </c>
      <c r="K1191" s="14">
        <v>1584</v>
      </c>
      <c r="L1191" s="14">
        <v>745</v>
      </c>
      <c r="M1191" s="14">
        <v>1624</v>
      </c>
      <c r="N1191" s="12">
        <v>0.71</v>
      </c>
      <c r="O1191" s="12" t="s">
        <v>376</v>
      </c>
      <c r="P1191" s="12">
        <v>1.1421309589878501E-4</v>
      </c>
      <c r="Q1191" s="12">
        <v>2.6427828262957898E-4</v>
      </c>
      <c r="R1191" s="12">
        <v>0.18497983870967699</v>
      </c>
      <c r="S1191" s="14">
        <v>32</v>
      </c>
      <c r="T1191" s="12">
        <v>2.0800383760553098E-2</v>
      </c>
      <c r="U1191" s="14">
        <v>1680</v>
      </c>
      <c r="V1191" s="14">
        <v>1</v>
      </c>
      <c r="W1191" s="12">
        <v>5.4999999999999997E-3</v>
      </c>
      <c r="X1191" s="12">
        <v>2.63003837605531E-2</v>
      </c>
      <c r="Y1191" s="14">
        <v>1680</v>
      </c>
      <c r="Z1191" s="14">
        <v>31</v>
      </c>
      <c r="AA1191" s="12" t="s">
        <v>2367</v>
      </c>
    </row>
    <row r="1192" spans="1:27" ht="14.25" x14ac:dyDescent="0.45">
      <c r="A1192" s="12" t="s">
        <v>393</v>
      </c>
      <c r="B1192" s="12" t="s">
        <v>1971</v>
      </c>
      <c r="C1192" s="12" t="s">
        <v>1981</v>
      </c>
      <c r="D1192" s="12" t="s">
        <v>1974</v>
      </c>
      <c r="E1192" s="20">
        <v>32555</v>
      </c>
      <c r="F1192" s="20">
        <v>43908</v>
      </c>
      <c r="G1192" s="12">
        <v>1.23</v>
      </c>
      <c r="H1192" s="12">
        <v>21.766666666666701</v>
      </c>
      <c r="I1192" s="13">
        <v>5.6508422664624802E-2</v>
      </c>
      <c r="J1192" s="12" t="s">
        <v>393</v>
      </c>
      <c r="K1192" s="14">
        <v>1589</v>
      </c>
      <c r="L1192" s="14">
        <v>433</v>
      </c>
      <c r="M1192" s="14">
        <v>1516</v>
      </c>
      <c r="N1192" s="12">
        <v>1.23</v>
      </c>
      <c r="O1192" s="12" t="s">
        <v>393</v>
      </c>
      <c r="P1192" s="12">
        <v>1.9786212388099301E-4</v>
      </c>
      <c r="Q1192" s="12">
        <v>2.5731264060094999E-4</v>
      </c>
      <c r="R1192" s="12">
        <v>0.329133064516129</v>
      </c>
      <c r="S1192" s="14">
        <v>33</v>
      </c>
      <c r="T1192" s="12">
        <v>2.3501869683096598E-2</v>
      </c>
      <c r="U1192" s="14">
        <v>1660</v>
      </c>
      <c r="V1192" s="14">
        <v>2</v>
      </c>
      <c r="W1192" s="12">
        <v>5.5999999999999999E-3</v>
      </c>
      <c r="X1192" s="12">
        <v>2.9101869683096599E-2</v>
      </c>
      <c r="Y1192" s="14">
        <v>1659</v>
      </c>
      <c r="Z1192" s="14">
        <v>33</v>
      </c>
      <c r="AA1192" s="12" t="s">
        <v>2367</v>
      </c>
    </row>
    <row r="1193" spans="1:27" ht="14.25" x14ac:dyDescent="0.45">
      <c r="A1193" s="12" t="s">
        <v>459</v>
      </c>
      <c r="B1193" s="12" t="s">
        <v>1971</v>
      </c>
      <c r="C1193" s="12" t="s">
        <v>1981</v>
      </c>
      <c r="D1193" s="12" t="s">
        <v>2020</v>
      </c>
      <c r="E1193" s="20">
        <v>31254</v>
      </c>
      <c r="F1193" s="20">
        <v>43838</v>
      </c>
      <c r="G1193" s="12">
        <v>1600.09</v>
      </c>
      <c r="H1193" s="12">
        <v>24.1</v>
      </c>
      <c r="I1193" s="13">
        <v>66.393775933609902</v>
      </c>
      <c r="J1193" s="12" t="s">
        <v>459</v>
      </c>
      <c r="K1193" s="14">
        <v>36</v>
      </c>
      <c r="L1193" s="14">
        <v>384</v>
      </c>
      <c r="M1193" s="14">
        <v>30</v>
      </c>
      <c r="N1193" s="12">
        <v>1600.09</v>
      </c>
      <c r="O1193" s="12" t="s">
        <v>459</v>
      </c>
      <c r="P1193" s="12">
        <v>0.25739610227702298</v>
      </c>
      <c r="Q1193" s="12">
        <v>0.30232586576230502</v>
      </c>
      <c r="R1193" s="12">
        <v>0.36441532258064502</v>
      </c>
      <c r="S1193" s="14">
        <v>37</v>
      </c>
      <c r="T1193" s="12">
        <v>28.547720445532399</v>
      </c>
      <c r="U1193" s="14">
        <v>30</v>
      </c>
      <c r="V1193" s="14">
        <v>22</v>
      </c>
      <c r="W1193" s="12">
        <v>7.3000000000000001E-3</v>
      </c>
      <c r="X1193" s="12">
        <v>28.555020445532399</v>
      </c>
      <c r="Y1193" s="14">
        <v>30</v>
      </c>
      <c r="Z1193" s="14">
        <v>36</v>
      </c>
      <c r="AA1193" s="12" t="s">
        <v>2369</v>
      </c>
    </row>
    <row r="1194" spans="1:27" ht="14.25" x14ac:dyDescent="0.45">
      <c r="A1194" s="12" t="s">
        <v>489</v>
      </c>
      <c r="B1194" s="12" t="s">
        <v>1971</v>
      </c>
      <c r="C1194" s="12" t="s">
        <v>1981</v>
      </c>
      <c r="D1194" s="12" t="s">
        <v>1974</v>
      </c>
      <c r="E1194" s="20">
        <v>32065</v>
      </c>
      <c r="F1194" s="20">
        <v>44188</v>
      </c>
      <c r="G1194" s="12">
        <v>23.68</v>
      </c>
      <c r="H1194" s="12">
        <v>12.4333333333333</v>
      </c>
      <c r="I1194" s="13">
        <v>1.9045576407506699</v>
      </c>
      <c r="J1194" s="12" t="s">
        <v>489</v>
      </c>
      <c r="K1194" s="14">
        <v>671</v>
      </c>
      <c r="L1194" s="14">
        <v>737</v>
      </c>
      <c r="M1194" s="14">
        <v>691</v>
      </c>
      <c r="N1194" s="12">
        <v>23.68</v>
      </c>
      <c r="O1194" s="12" t="s">
        <v>489</v>
      </c>
      <c r="P1194" s="12">
        <v>3.8092480434974898E-3</v>
      </c>
      <c r="Q1194" s="12">
        <v>8.6724550537677601E-3</v>
      </c>
      <c r="R1194" s="12">
        <v>0.188004032258065</v>
      </c>
      <c r="S1194" s="14">
        <v>35</v>
      </c>
      <c r="T1194" s="12">
        <v>0.684875242491641</v>
      </c>
      <c r="U1194" s="14">
        <v>722</v>
      </c>
      <c r="V1194" s="14">
        <v>6</v>
      </c>
      <c r="W1194" s="12">
        <v>6.0000000000000001E-3</v>
      </c>
      <c r="X1194" s="12">
        <v>0.69087524249164101</v>
      </c>
      <c r="Y1194" s="14">
        <v>722</v>
      </c>
      <c r="Z1194" s="14">
        <v>34</v>
      </c>
      <c r="AA1194" s="12" t="s">
        <v>2367</v>
      </c>
    </row>
    <row r="1195" spans="1:27" ht="14.25" x14ac:dyDescent="0.45">
      <c r="A1195" s="12" t="s">
        <v>537</v>
      </c>
      <c r="B1195" s="12" t="s">
        <v>1971</v>
      </c>
      <c r="C1195" s="12" t="s">
        <v>1981</v>
      </c>
      <c r="D1195" s="12" t="s">
        <v>1975</v>
      </c>
      <c r="E1195" s="20">
        <v>29977</v>
      </c>
      <c r="F1195" s="20">
        <v>44158</v>
      </c>
      <c r="G1195" s="12">
        <v>173.66</v>
      </c>
      <c r="H1195" s="12">
        <v>13.4333333333333</v>
      </c>
      <c r="I1195" s="13">
        <v>12.9275434243176</v>
      </c>
      <c r="J1195" s="12" t="s">
        <v>537</v>
      </c>
      <c r="K1195" s="14">
        <v>228</v>
      </c>
      <c r="L1195" s="14">
        <v>642</v>
      </c>
      <c r="M1195" s="14">
        <v>307</v>
      </c>
      <c r="N1195" s="12">
        <v>173.66</v>
      </c>
      <c r="O1195" s="12" t="s">
        <v>537</v>
      </c>
      <c r="P1195" s="12">
        <v>2.7935558075750599E-2</v>
      </c>
      <c r="Q1195" s="12">
        <v>5.8865920833373497E-2</v>
      </c>
      <c r="R1195" s="12">
        <v>0.203125</v>
      </c>
      <c r="S1195" s="14">
        <v>40</v>
      </c>
      <c r="T1195" s="12">
        <v>4.7267034799264902</v>
      </c>
      <c r="U1195" s="14">
        <v>276</v>
      </c>
      <c r="V1195" s="14">
        <v>7</v>
      </c>
      <c r="W1195" s="12">
        <v>6.1000000000000004E-3</v>
      </c>
      <c r="X1195" s="12">
        <v>4.7328034799264902</v>
      </c>
      <c r="Y1195" s="14">
        <v>276</v>
      </c>
      <c r="Z1195" s="14">
        <v>40</v>
      </c>
      <c r="AA1195" s="12" t="s">
        <v>2369</v>
      </c>
    </row>
    <row r="1196" spans="1:27" ht="14.25" x14ac:dyDescent="0.45">
      <c r="A1196" s="12" t="s">
        <v>558</v>
      </c>
      <c r="B1196" s="12" t="s">
        <v>1971</v>
      </c>
      <c r="C1196" s="12" t="s">
        <v>1981</v>
      </c>
      <c r="D1196" s="12" t="s">
        <v>1974</v>
      </c>
      <c r="E1196" s="20">
        <v>27187</v>
      </c>
      <c r="F1196" s="20">
        <v>43528</v>
      </c>
      <c r="G1196" s="12">
        <v>578.04999999999995</v>
      </c>
      <c r="H1196" s="12">
        <v>34.433333333333302</v>
      </c>
      <c r="I1196" s="13">
        <v>16.787512100677599</v>
      </c>
      <c r="J1196" s="12" t="s">
        <v>558</v>
      </c>
      <c r="K1196" s="14">
        <v>162</v>
      </c>
      <c r="L1196" s="14">
        <v>230</v>
      </c>
      <c r="M1196" s="14">
        <v>125</v>
      </c>
      <c r="N1196" s="12">
        <v>578.04999999999995</v>
      </c>
      <c r="O1196" s="12" t="s">
        <v>558</v>
      </c>
      <c r="P1196" s="12">
        <v>9.29871550482992E-2</v>
      </c>
      <c r="Q1196" s="12">
        <v>7.64423932584819E-2</v>
      </c>
      <c r="R1196" s="12">
        <v>0.52066532258064502</v>
      </c>
      <c r="S1196" s="14">
        <v>48</v>
      </c>
      <c r="T1196" s="12">
        <v>8.2646678929663402</v>
      </c>
      <c r="U1196" s="14">
        <v>143</v>
      </c>
      <c r="V1196" s="14">
        <v>4</v>
      </c>
      <c r="W1196" s="12">
        <v>5.7999999999999996E-3</v>
      </c>
      <c r="X1196" s="12">
        <v>8.2704678929663409</v>
      </c>
      <c r="Y1196" s="14">
        <v>143</v>
      </c>
      <c r="Z1196" s="14">
        <v>48</v>
      </c>
      <c r="AA1196" s="12" t="s">
        <v>2371</v>
      </c>
    </row>
    <row r="1197" spans="1:27" ht="14.25" x14ac:dyDescent="0.45">
      <c r="A1197" s="12" t="s">
        <v>563</v>
      </c>
      <c r="B1197" s="12" t="s">
        <v>1971</v>
      </c>
      <c r="C1197" s="12" t="s">
        <v>1981</v>
      </c>
      <c r="D1197" s="12" t="s">
        <v>1974</v>
      </c>
      <c r="E1197" s="20">
        <v>29288</v>
      </c>
      <c r="F1197" s="20">
        <v>44140</v>
      </c>
      <c r="G1197" s="12">
        <v>86.84</v>
      </c>
      <c r="H1197" s="12">
        <v>14.033333333333299</v>
      </c>
      <c r="I1197" s="13">
        <v>6.1881235154394298</v>
      </c>
      <c r="J1197" s="12" t="s">
        <v>563</v>
      </c>
      <c r="K1197" s="14">
        <v>402</v>
      </c>
      <c r="L1197" s="14">
        <v>607</v>
      </c>
      <c r="M1197" s="14">
        <v>400</v>
      </c>
      <c r="N1197" s="12">
        <v>86.84</v>
      </c>
      <c r="O1197" s="12" t="s">
        <v>563</v>
      </c>
      <c r="P1197" s="12">
        <v>1.3969387673028799E-2</v>
      </c>
      <c r="Q1197" s="12">
        <v>2.8177788850569801E-2</v>
      </c>
      <c r="R1197" s="12">
        <v>0.212197580645161</v>
      </c>
      <c r="S1197" s="14">
        <v>42</v>
      </c>
      <c r="T1197" s="12">
        <v>2.2849638408991901</v>
      </c>
      <c r="U1197" s="14">
        <v>414</v>
      </c>
      <c r="V1197" s="14">
        <v>2</v>
      </c>
      <c r="W1197" s="12">
        <v>5.5999999999999999E-3</v>
      </c>
      <c r="X1197" s="12">
        <v>2.29056384089919</v>
      </c>
      <c r="Y1197" s="14">
        <v>414</v>
      </c>
      <c r="Z1197" s="14">
        <v>42</v>
      </c>
      <c r="AA1197" s="12" t="s">
        <v>2369</v>
      </c>
    </row>
    <row r="1198" spans="1:27" ht="14.25" x14ac:dyDescent="0.45">
      <c r="A1198" s="12" t="s">
        <v>577</v>
      </c>
      <c r="B1198" s="12" t="s">
        <v>1971</v>
      </c>
      <c r="C1198" s="12" t="s">
        <v>1981</v>
      </c>
      <c r="D1198" s="12" t="s">
        <v>2020</v>
      </c>
      <c r="E1198" s="20">
        <v>29515</v>
      </c>
      <c r="F1198" s="20">
        <v>42842</v>
      </c>
      <c r="G1198" s="12">
        <v>558.72</v>
      </c>
      <c r="H1198" s="12">
        <v>57.3</v>
      </c>
      <c r="I1198" s="13">
        <v>9.75078534031414</v>
      </c>
      <c r="J1198" s="12" t="s">
        <v>577</v>
      </c>
      <c r="K1198" s="14">
        <v>303</v>
      </c>
      <c r="L1198" s="14">
        <v>23</v>
      </c>
      <c r="M1198" s="14">
        <v>130</v>
      </c>
      <c r="N1198" s="12">
        <v>558.72</v>
      </c>
      <c r="O1198" s="12" t="s">
        <v>577</v>
      </c>
      <c r="P1198" s="12">
        <v>8.9877663296575996E-2</v>
      </c>
      <c r="Q1198" s="12">
        <v>4.4400466435598002E-2</v>
      </c>
      <c r="R1198" s="12">
        <v>0.86643145161290303</v>
      </c>
      <c r="S1198" s="14">
        <v>42</v>
      </c>
      <c r="T1198" s="12">
        <v>6.1454415258464801</v>
      </c>
      <c r="U1198" s="14">
        <v>215</v>
      </c>
      <c r="V1198" s="14">
        <v>9</v>
      </c>
      <c r="W1198" s="12">
        <v>6.3E-3</v>
      </c>
      <c r="X1198" s="12">
        <v>6.1517415258464796</v>
      </c>
      <c r="Y1198" s="14">
        <v>215</v>
      </c>
      <c r="Z1198" s="14">
        <v>41</v>
      </c>
      <c r="AA1198" s="12" t="s">
        <v>2369</v>
      </c>
    </row>
    <row r="1199" spans="1:27" ht="14.25" x14ac:dyDescent="0.45">
      <c r="A1199" s="12" t="s">
        <v>590</v>
      </c>
      <c r="B1199" s="12" t="s">
        <v>1971</v>
      </c>
      <c r="C1199" s="12" t="s">
        <v>1981</v>
      </c>
      <c r="D1199" s="12" t="s">
        <v>1973</v>
      </c>
      <c r="E1199" s="20">
        <v>32823</v>
      </c>
      <c r="F1199" s="20">
        <v>44215</v>
      </c>
      <c r="G1199" s="12">
        <v>84.75</v>
      </c>
      <c r="H1199" s="12">
        <v>11.533333333333299</v>
      </c>
      <c r="I1199" s="13">
        <v>7.3482658959537597</v>
      </c>
      <c r="J1199" s="12" t="s">
        <v>590</v>
      </c>
      <c r="K1199" s="14">
        <v>371</v>
      </c>
      <c r="L1199" s="14">
        <v>840</v>
      </c>
      <c r="M1199" s="14">
        <v>402</v>
      </c>
      <c r="N1199" s="12">
        <v>84.75</v>
      </c>
      <c r="O1199" s="12" t="s">
        <v>590</v>
      </c>
      <c r="P1199" s="12">
        <v>1.3633182925946501E-2</v>
      </c>
      <c r="Q1199" s="12">
        <v>3.3460528755997997E-2</v>
      </c>
      <c r="R1199" s="12">
        <v>0.17439516129032301</v>
      </c>
      <c r="S1199" s="14">
        <v>33</v>
      </c>
      <c r="T1199" s="12">
        <v>2.6025274069728601</v>
      </c>
      <c r="U1199" s="14">
        <v>395</v>
      </c>
      <c r="V1199" s="14">
        <v>2</v>
      </c>
      <c r="W1199" s="12">
        <v>5.5999999999999999E-3</v>
      </c>
      <c r="X1199" s="12">
        <v>2.6081274069728599</v>
      </c>
      <c r="Y1199" s="14">
        <v>395</v>
      </c>
      <c r="Z1199" s="14">
        <v>32</v>
      </c>
      <c r="AA1199" s="12" t="s">
        <v>2367</v>
      </c>
    </row>
    <row r="1200" spans="1:27" ht="14.25" x14ac:dyDescent="0.45">
      <c r="A1200" s="12" t="s">
        <v>646</v>
      </c>
      <c r="B1200" s="12" t="s">
        <v>1971</v>
      </c>
      <c r="C1200" s="12" t="s">
        <v>1981</v>
      </c>
      <c r="D1200" s="12" t="s">
        <v>1974</v>
      </c>
      <c r="E1200" s="20">
        <v>34421</v>
      </c>
      <c r="F1200" s="20">
        <v>44221</v>
      </c>
      <c r="G1200" s="12">
        <v>6.34</v>
      </c>
      <c r="H1200" s="12">
        <v>11.3333333333333</v>
      </c>
      <c r="I1200" s="13">
        <v>0.55941176470588205</v>
      </c>
      <c r="J1200" s="12" t="s">
        <v>646</v>
      </c>
      <c r="K1200" s="14">
        <v>1016</v>
      </c>
      <c r="L1200" s="14">
        <v>860</v>
      </c>
      <c r="M1200" s="14">
        <v>947</v>
      </c>
      <c r="N1200" s="12">
        <v>6.34</v>
      </c>
      <c r="O1200" s="12" t="s">
        <v>646</v>
      </c>
      <c r="P1200" s="12">
        <v>1.01987468732154E-3</v>
      </c>
      <c r="Q1200" s="12">
        <v>2.5472966961758601E-3</v>
      </c>
      <c r="R1200" s="12">
        <v>0.171370967741935</v>
      </c>
      <c r="S1200" s="14">
        <v>28</v>
      </c>
      <c r="T1200" s="12">
        <v>0.197451344285549</v>
      </c>
      <c r="U1200" s="14">
        <v>1055</v>
      </c>
      <c r="V1200" s="14">
        <v>2</v>
      </c>
      <c r="W1200" s="12">
        <v>5.5999999999999999E-3</v>
      </c>
      <c r="X1200" s="12">
        <v>0.203051344285549</v>
      </c>
      <c r="Y1200" s="14">
        <v>1055</v>
      </c>
      <c r="Z1200" s="14">
        <v>28</v>
      </c>
      <c r="AA1200" s="12" t="s">
        <v>2367</v>
      </c>
    </row>
    <row r="1201" spans="1:27" ht="14.25" x14ac:dyDescent="0.45">
      <c r="A1201" s="12" t="s">
        <v>652</v>
      </c>
      <c r="B1201" s="12" t="s">
        <v>1971</v>
      </c>
      <c r="C1201" s="12" t="s">
        <v>1981</v>
      </c>
      <c r="D1201" s="12" t="s">
        <v>2020</v>
      </c>
      <c r="E1201" s="20">
        <v>32731</v>
      </c>
      <c r="F1201" s="20">
        <v>44173</v>
      </c>
      <c r="G1201" s="12">
        <v>2.36</v>
      </c>
      <c r="H1201" s="12">
        <v>12.9333333333333</v>
      </c>
      <c r="I1201" s="13">
        <v>0.18247422680412401</v>
      </c>
      <c r="J1201" s="12" t="s">
        <v>652</v>
      </c>
      <c r="K1201" s="14">
        <v>1366</v>
      </c>
      <c r="L1201" s="14">
        <v>680</v>
      </c>
      <c r="M1201" s="14">
        <v>1297</v>
      </c>
      <c r="N1201" s="12">
        <v>2.36</v>
      </c>
      <c r="O1201" s="12" t="s">
        <v>652</v>
      </c>
      <c r="P1201" s="12">
        <v>3.7963789622694601E-4</v>
      </c>
      <c r="Q1201" s="12">
        <v>8.3090135817892802E-4</v>
      </c>
      <c r="R1201" s="12">
        <v>0.195564516129032</v>
      </c>
      <c r="S1201" s="14">
        <v>33</v>
      </c>
      <c r="T1201" s="12">
        <v>6.6167755994693503E-2</v>
      </c>
      <c r="U1201" s="14">
        <v>1458</v>
      </c>
      <c r="V1201" s="14">
        <v>1</v>
      </c>
      <c r="W1201" s="12">
        <v>5.4999999999999997E-3</v>
      </c>
      <c r="X1201" s="12">
        <v>7.1667755994693494E-2</v>
      </c>
      <c r="Y1201" s="14">
        <v>1458</v>
      </c>
      <c r="Z1201" s="14">
        <v>32</v>
      </c>
      <c r="AA1201" s="12" t="s">
        <v>2367</v>
      </c>
    </row>
    <row r="1202" spans="1:27" ht="14.25" x14ac:dyDescent="0.45">
      <c r="A1202" s="12" t="s">
        <v>669</v>
      </c>
      <c r="B1202" s="12" t="s">
        <v>1971</v>
      </c>
      <c r="C1202" s="12" t="s">
        <v>1981</v>
      </c>
      <c r="D1202" s="12" t="s">
        <v>1974</v>
      </c>
      <c r="E1202" s="20">
        <v>35117</v>
      </c>
      <c r="F1202" s="20">
        <v>44280</v>
      </c>
      <c r="G1202" s="12">
        <v>93.72</v>
      </c>
      <c r="H1202" s="12">
        <v>9.3666666666666707</v>
      </c>
      <c r="I1202" s="13">
        <v>10.0056939501779</v>
      </c>
      <c r="J1202" s="12" t="s">
        <v>669</v>
      </c>
      <c r="K1202" s="14">
        <v>295</v>
      </c>
      <c r="L1202" s="14">
        <v>1063</v>
      </c>
      <c r="M1202" s="14">
        <v>393</v>
      </c>
      <c r="N1202" s="12">
        <v>93.72</v>
      </c>
      <c r="O1202" s="12" t="s">
        <v>669</v>
      </c>
      <c r="P1202" s="12">
        <v>1.5076128658639601E-2</v>
      </c>
      <c r="Q1202" s="12">
        <v>4.5561199728495802E-2</v>
      </c>
      <c r="R1202" s="12">
        <v>0.141633064516129</v>
      </c>
      <c r="S1202" s="14">
        <v>26</v>
      </c>
      <c r="T1202" s="12">
        <v>3.4129298077299701</v>
      </c>
      <c r="U1202" s="14">
        <v>348</v>
      </c>
      <c r="V1202" s="14">
        <v>4</v>
      </c>
      <c r="W1202" s="12">
        <v>5.7999999999999996E-3</v>
      </c>
      <c r="X1202" s="12">
        <v>3.4187298077299699</v>
      </c>
      <c r="Y1202" s="14">
        <v>348</v>
      </c>
      <c r="Z1202" s="14">
        <v>26</v>
      </c>
      <c r="AA1202" s="12" t="s">
        <v>2367</v>
      </c>
    </row>
    <row r="1203" spans="1:27" ht="14.25" x14ac:dyDescent="0.45">
      <c r="A1203" s="12" t="s">
        <v>685</v>
      </c>
      <c r="B1203" s="12" t="s">
        <v>1971</v>
      </c>
      <c r="C1203" s="12" t="s">
        <v>1981</v>
      </c>
      <c r="D1203" s="12" t="s">
        <v>1974</v>
      </c>
      <c r="E1203" s="20">
        <v>34634</v>
      </c>
      <c r="F1203" s="20">
        <v>44121</v>
      </c>
      <c r="G1203" s="12">
        <v>1.98</v>
      </c>
      <c r="H1203" s="12">
        <v>14.6666666666667</v>
      </c>
      <c r="I1203" s="13">
        <v>0.13500000000000001</v>
      </c>
      <c r="J1203" s="12" t="s">
        <v>685</v>
      </c>
      <c r="K1203" s="14">
        <v>1433</v>
      </c>
      <c r="L1203" s="14">
        <v>547</v>
      </c>
      <c r="M1203" s="14">
        <v>1418</v>
      </c>
      <c r="N1203" s="12">
        <v>1.98</v>
      </c>
      <c r="O1203" s="12" t="s">
        <v>685</v>
      </c>
      <c r="P1203" s="12">
        <v>3.1850976039379401E-4</v>
      </c>
      <c r="Q1203" s="12">
        <v>6.1472617431373197E-4</v>
      </c>
      <c r="R1203" s="12">
        <v>0.22177419354838701</v>
      </c>
      <c r="S1203" s="14">
        <v>28</v>
      </c>
      <c r="T1203" s="12">
        <v>5.0364501909375498E-2</v>
      </c>
      <c r="U1203" s="14">
        <v>1518</v>
      </c>
      <c r="V1203" s="14">
        <v>3</v>
      </c>
      <c r="W1203" s="12">
        <v>5.7000000000000002E-3</v>
      </c>
      <c r="X1203" s="12">
        <v>5.6064501909375501E-2</v>
      </c>
      <c r="Y1203" s="14">
        <v>1516</v>
      </c>
      <c r="Z1203" s="14">
        <v>27</v>
      </c>
      <c r="AA1203" s="12" t="s">
        <v>2367</v>
      </c>
    </row>
    <row r="1204" spans="1:27" ht="14.25" x14ac:dyDescent="0.45">
      <c r="A1204" s="12" t="s">
        <v>688</v>
      </c>
      <c r="B1204" s="12" t="s">
        <v>1971</v>
      </c>
      <c r="C1204" s="12" t="s">
        <v>1981</v>
      </c>
      <c r="D1204" s="12" t="s">
        <v>1993</v>
      </c>
      <c r="E1204" s="20">
        <v>31359</v>
      </c>
      <c r="F1204" s="20">
        <v>43745</v>
      </c>
      <c r="G1204" s="12">
        <v>166.38</v>
      </c>
      <c r="H1204" s="12">
        <v>27.2</v>
      </c>
      <c r="I1204" s="13">
        <v>6.1169117647058799</v>
      </c>
      <c r="J1204" s="12" t="s">
        <v>688</v>
      </c>
      <c r="K1204" s="14">
        <v>405</v>
      </c>
      <c r="L1204" s="14">
        <v>307</v>
      </c>
      <c r="M1204" s="14">
        <v>309</v>
      </c>
      <c r="N1204" s="12">
        <v>166.38</v>
      </c>
      <c r="O1204" s="12" t="s">
        <v>688</v>
      </c>
      <c r="P1204" s="12">
        <v>2.6764471683999699E-2</v>
      </c>
      <c r="Q1204" s="12">
        <v>2.7853524205424501E-2</v>
      </c>
      <c r="R1204" s="12">
        <v>0.41129032258064502</v>
      </c>
      <c r="S1204" s="14">
        <v>37</v>
      </c>
      <c r="T1204" s="12">
        <v>2.7445129509890198</v>
      </c>
      <c r="U1204" s="14">
        <v>388</v>
      </c>
      <c r="V1204" s="14">
        <v>16</v>
      </c>
      <c r="W1204" s="12">
        <v>6.8999999999999999E-3</v>
      </c>
      <c r="X1204" s="12">
        <v>2.7514129509890202</v>
      </c>
      <c r="Y1204" s="14">
        <v>388</v>
      </c>
      <c r="Z1204" s="14">
        <v>36</v>
      </c>
      <c r="AA1204" s="12" t="s">
        <v>2369</v>
      </c>
    </row>
    <row r="1205" spans="1:27" ht="14.25" x14ac:dyDescent="0.45">
      <c r="A1205" s="12" t="s">
        <v>704</v>
      </c>
      <c r="B1205" s="12" t="s">
        <v>1971</v>
      </c>
      <c r="C1205" s="12" t="s">
        <v>1981</v>
      </c>
      <c r="D1205" s="12" t="s">
        <v>1990</v>
      </c>
      <c r="E1205" s="20">
        <v>32459</v>
      </c>
      <c r="F1205" s="20">
        <v>44203</v>
      </c>
      <c r="G1205" s="12">
        <v>17.7</v>
      </c>
      <c r="H1205" s="12">
        <v>11.9333333333333</v>
      </c>
      <c r="I1205" s="13">
        <v>1.4832402234636901</v>
      </c>
      <c r="J1205" s="12" t="s">
        <v>704</v>
      </c>
      <c r="K1205" s="14">
        <v>733</v>
      </c>
      <c r="L1205" s="14">
        <v>787</v>
      </c>
      <c r="M1205" s="14">
        <v>741</v>
      </c>
      <c r="N1205" s="12">
        <v>17.7</v>
      </c>
      <c r="O1205" s="12" t="s">
        <v>704</v>
      </c>
      <c r="P1205" s="12">
        <v>2.8472842217021001E-3</v>
      </c>
      <c r="Q1205" s="12">
        <v>6.75397472709687E-3</v>
      </c>
      <c r="R1205" s="12">
        <v>0.180443548387097</v>
      </c>
      <c r="S1205" s="14">
        <v>34</v>
      </c>
      <c r="T1205" s="12">
        <v>0.52889657875738305</v>
      </c>
      <c r="U1205" s="14">
        <v>775</v>
      </c>
      <c r="V1205" s="14">
        <v>12</v>
      </c>
      <c r="W1205" s="12">
        <v>6.6E-3</v>
      </c>
      <c r="X1205" s="12">
        <v>0.53549657875738299</v>
      </c>
      <c r="Y1205" s="14">
        <v>775</v>
      </c>
      <c r="Z1205" s="14">
        <v>33</v>
      </c>
      <c r="AA1205" s="12" t="s">
        <v>2367</v>
      </c>
    </row>
    <row r="1206" spans="1:27" ht="14.25" x14ac:dyDescent="0.45">
      <c r="A1206" s="12" t="s">
        <v>776</v>
      </c>
      <c r="B1206" s="12" t="s">
        <v>1971</v>
      </c>
      <c r="C1206" s="12" t="s">
        <v>1981</v>
      </c>
      <c r="D1206" s="12" t="s">
        <v>1975</v>
      </c>
      <c r="E1206" s="20">
        <v>30244</v>
      </c>
      <c r="F1206" s="20">
        <v>44207</v>
      </c>
      <c r="G1206" s="12">
        <v>0.01</v>
      </c>
      <c r="H1206" s="12">
        <v>11.8</v>
      </c>
      <c r="I1206" s="13">
        <v>8.4745762711864404E-4</v>
      </c>
      <c r="J1206" s="12" t="s">
        <v>776</v>
      </c>
      <c r="K1206" s="14">
        <v>1832</v>
      </c>
      <c r="L1206" s="14">
        <v>798</v>
      </c>
      <c r="M1206" s="14">
        <v>1944</v>
      </c>
      <c r="N1206" s="12">
        <v>0.01</v>
      </c>
      <c r="O1206" s="12" t="s">
        <v>776</v>
      </c>
      <c r="P1206" s="12">
        <v>1.6086351535040101E-6</v>
      </c>
      <c r="Q1206" s="12">
        <v>3.8589213704565802E-6</v>
      </c>
      <c r="R1206" s="12">
        <v>0.178427419354839</v>
      </c>
      <c r="S1206" s="14">
        <v>40</v>
      </c>
      <c r="T1206" s="12">
        <v>3.0150640390993598E-4</v>
      </c>
      <c r="U1206" s="14">
        <v>1954</v>
      </c>
      <c r="V1206" s="14">
        <v>1</v>
      </c>
      <c r="W1206" s="12">
        <v>5.4999999999999997E-3</v>
      </c>
      <c r="X1206" s="12">
        <v>5.8015064039099399E-3</v>
      </c>
      <c r="Y1206" s="14">
        <v>1954</v>
      </c>
      <c r="Z1206" s="14">
        <v>39</v>
      </c>
      <c r="AA1206" s="12" t="s">
        <v>2369</v>
      </c>
    </row>
    <row r="1207" spans="1:27" ht="14.25" x14ac:dyDescent="0.45">
      <c r="A1207" s="12" t="s">
        <v>810</v>
      </c>
      <c r="B1207" s="12" t="s">
        <v>1971</v>
      </c>
      <c r="C1207" s="12" t="s">
        <v>1981</v>
      </c>
      <c r="D1207" s="12" t="s">
        <v>1975</v>
      </c>
      <c r="E1207" s="20">
        <v>29886</v>
      </c>
      <c r="F1207" s="20">
        <v>44137</v>
      </c>
      <c r="G1207" s="12">
        <v>5.25</v>
      </c>
      <c r="H1207" s="12">
        <v>14.133333333333301</v>
      </c>
      <c r="I1207" s="13">
        <v>0.37146226415094302</v>
      </c>
      <c r="J1207" s="12" t="s">
        <v>810</v>
      </c>
      <c r="K1207" s="14">
        <v>1165</v>
      </c>
      <c r="L1207" s="14">
        <v>599</v>
      </c>
      <c r="M1207" s="14">
        <v>1019</v>
      </c>
      <c r="N1207" s="12">
        <v>5.25</v>
      </c>
      <c r="O1207" s="12" t="s">
        <v>810</v>
      </c>
      <c r="P1207" s="12">
        <v>8.4453345558960495E-4</v>
      </c>
      <c r="Q1207" s="12">
        <v>1.6914635299513101E-3</v>
      </c>
      <c r="R1207" s="12">
        <v>0.21370967741935501</v>
      </c>
      <c r="S1207" s="14">
        <v>41</v>
      </c>
      <c r="T1207" s="12">
        <v>0.13738647520656699</v>
      </c>
      <c r="U1207" s="14">
        <v>1190</v>
      </c>
      <c r="V1207" s="14">
        <v>2</v>
      </c>
      <c r="W1207" s="12">
        <v>5.5999999999999999E-3</v>
      </c>
      <c r="X1207" s="12">
        <v>0.14298647520656699</v>
      </c>
      <c r="Y1207" s="14">
        <v>1189</v>
      </c>
      <c r="Z1207" s="14">
        <v>40</v>
      </c>
      <c r="AA1207" s="12" t="s">
        <v>2369</v>
      </c>
    </row>
    <row r="1208" spans="1:27" ht="14.25" x14ac:dyDescent="0.45">
      <c r="A1208" s="12" t="s">
        <v>822</v>
      </c>
      <c r="B1208" s="12" t="s">
        <v>1971</v>
      </c>
      <c r="C1208" s="12" t="s">
        <v>1981</v>
      </c>
      <c r="D1208" s="12" t="s">
        <v>1993</v>
      </c>
      <c r="E1208" s="20">
        <v>32729</v>
      </c>
      <c r="F1208" s="20">
        <v>44216</v>
      </c>
      <c r="G1208" s="12">
        <v>2.71</v>
      </c>
      <c r="H1208" s="12">
        <v>11.5</v>
      </c>
      <c r="I1208" s="13">
        <v>0.23565217391304399</v>
      </c>
      <c r="J1208" s="12" t="s">
        <v>822</v>
      </c>
      <c r="K1208" s="14">
        <v>1299</v>
      </c>
      <c r="L1208" s="14">
        <v>841</v>
      </c>
      <c r="M1208" s="14">
        <v>1255</v>
      </c>
      <c r="N1208" s="12">
        <v>2.71</v>
      </c>
      <c r="O1208" s="12" t="s">
        <v>822</v>
      </c>
      <c r="P1208" s="12">
        <v>4.3594012659958699E-4</v>
      </c>
      <c r="Q1208" s="12">
        <v>1.07304858769096E-3</v>
      </c>
      <c r="R1208" s="12">
        <v>0.17389112903225801</v>
      </c>
      <c r="S1208" s="14">
        <v>33</v>
      </c>
      <c r="T1208" s="12">
        <v>8.3413291478169505E-2</v>
      </c>
      <c r="U1208" s="14">
        <v>1344</v>
      </c>
      <c r="V1208" s="14">
        <v>4</v>
      </c>
      <c r="W1208" s="12">
        <v>5.7999999999999996E-3</v>
      </c>
      <c r="X1208" s="12">
        <v>8.9213291478169504E-2</v>
      </c>
      <c r="Y1208" s="14">
        <v>1344</v>
      </c>
      <c r="Z1208" s="14">
        <v>32</v>
      </c>
      <c r="AA1208" s="12" t="s">
        <v>2367</v>
      </c>
    </row>
    <row r="1209" spans="1:27" ht="14.25" x14ac:dyDescent="0.45">
      <c r="A1209" s="12" t="s">
        <v>852</v>
      </c>
      <c r="B1209" s="12" t="s">
        <v>1971</v>
      </c>
      <c r="C1209" s="12" t="s">
        <v>1981</v>
      </c>
      <c r="D1209" s="12" t="s">
        <v>1995</v>
      </c>
      <c r="E1209" s="20">
        <v>33363</v>
      </c>
      <c r="F1209" s="20">
        <v>44307</v>
      </c>
      <c r="G1209" s="12">
        <v>28.69</v>
      </c>
      <c r="H1209" s="12">
        <v>8.4666666666666703</v>
      </c>
      <c r="I1209" s="13">
        <v>3.38858267716535</v>
      </c>
      <c r="J1209" s="12" t="s">
        <v>852</v>
      </c>
      <c r="K1209" s="14">
        <v>531</v>
      </c>
      <c r="L1209" s="14">
        <v>1215</v>
      </c>
      <c r="M1209" s="14">
        <v>579</v>
      </c>
      <c r="N1209" s="12">
        <v>28.69</v>
      </c>
      <c r="O1209" s="12" t="s">
        <v>852</v>
      </c>
      <c r="P1209" s="12">
        <v>4.6151742554029996E-3</v>
      </c>
      <c r="Q1209" s="12">
        <v>1.5430003447997401E-2</v>
      </c>
      <c r="R1209" s="12">
        <v>0.12802419354838701</v>
      </c>
      <c r="S1209" s="14">
        <v>31</v>
      </c>
      <c r="T1209" s="12">
        <v>1.13744425007745</v>
      </c>
      <c r="U1209" s="14">
        <v>543</v>
      </c>
      <c r="V1209" s="14">
        <v>2</v>
      </c>
      <c r="W1209" s="12">
        <v>5.5999999999999999E-3</v>
      </c>
      <c r="X1209" s="12">
        <v>1.14304425007745</v>
      </c>
      <c r="Y1209" s="14">
        <v>543</v>
      </c>
      <c r="Z1209" s="14">
        <v>31</v>
      </c>
      <c r="AA1209" s="12" t="s">
        <v>2367</v>
      </c>
    </row>
    <row r="1210" spans="1:27" ht="14.25" x14ac:dyDescent="0.45">
      <c r="A1210" s="12" t="s">
        <v>867</v>
      </c>
      <c r="B1210" s="12" t="s">
        <v>1971</v>
      </c>
      <c r="C1210" s="12" t="s">
        <v>1981</v>
      </c>
      <c r="D1210" s="12" t="s">
        <v>2003</v>
      </c>
      <c r="E1210" s="20">
        <v>33211</v>
      </c>
      <c r="F1210" s="20">
        <v>44285</v>
      </c>
      <c r="G1210" s="12">
        <v>1.21</v>
      </c>
      <c r="H1210" s="12">
        <v>9.1999999999999993</v>
      </c>
      <c r="I1210" s="13">
        <v>0.13152173913043499</v>
      </c>
      <c r="J1210" s="12" t="s">
        <v>867</v>
      </c>
      <c r="K1210" s="14">
        <v>1440</v>
      </c>
      <c r="L1210" s="14">
        <v>1105</v>
      </c>
      <c r="M1210" s="14">
        <v>1521</v>
      </c>
      <c r="N1210" s="12">
        <v>1.21</v>
      </c>
      <c r="O1210" s="12" t="s">
        <v>867</v>
      </c>
      <c r="P1210" s="12">
        <v>1.9464485357398499E-4</v>
      </c>
      <c r="Q1210" s="12">
        <v>5.9888781877585895E-4</v>
      </c>
      <c r="R1210" s="12">
        <v>0.13911290322580599</v>
      </c>
      <c r="S1210" s="14">
        <v>32</v>
      </c>
      <c r="T1210" s="12">
        <v>4.4729670682515599E-2</v>
      </c>
      <c r="U1210" s="14">
        <v>1539</v>
      </c>
      <c r="V1210" s="14">
        <v>2</v>
      </c>
      <c r="W1210" s="12">
        <v>5.5999999999999999E-3</v>
      </c>
      <c r="X1210" s="12">
        <v>5.03296706825156E-2</v>
      </c>
      <c r="Y1210" s="14">
        <v>1539</v>
      </c>
      <c r="Z1210" s="14">
        <v>31</v>
      </c>
      <c r="AA1210" s="12" t="s">
        <v>2367</v>
      </c>
    </row>
    <row r="1211" spans="1:27" ht="14.25" x14ac:dyDescent="0.45">
      <c r="A1211" s="12" t="s">
        <v>896</v>
      </c>
      <c r="B1211" s="12" t="s">
        <v>1971</v>
      </c>
      <c r="C1211" s="12" t="s">
        <v>1981</v>
      </c>
      <c r="D1211" s="12" t="s">
        <v>1974</v>
      </c>
      <c r="E1211" s="20">
        <v>34275</v>
      </c>
      <c r="F1211" s="20">
        <v>44287</v>
      </c>
      <c r="G1211" s="12">
        <v>0.06</v>
      </c>
      <c r="H1211" s="12">
        <v>9.1333333333333293</v>
      </c>
      <c r="I1211" s="13">
        <v>6.5693430656934299E-3</v>
      </c>
      <c r="J1211" s="12" t="s">
        <v>896</v>
      </c>
      <c r="K1211" s="14">
        <v>1769</v>
      </c>
      <c r="L1211" s="14">
        <v>1119</v>
      </c>
      <c r="M1211" s="14">
        <v>1867</v>
      </c>
      <c r="N1211" s="12">
        <v>0.06</v>
      </c>
      <c r="O1211" s="12" t="s">
        <v>896</v>
      </c>
      <c r="P1211" s="12">
        <v>9.6518109210240504E-6</v>
      </c>
      <c r="Q1211" s="12">
        <v>2.9913682448356801E-5</v>
      </c>
      <c r="R1211" s="12">
        <v>0.13810483870967699</v>
      </c>
      <c r="S1211" s="14">
        <v>29</v>
      </c>
      <c r="T1211" s="12">
        <v>2.2315480625607E-3</v>
      </c>
      <c r="U1211" s="14">
        <v>1872</v>
      </c>
      <c r="V1211" s="14">
        <v>1</v>
      </c>
      <c r="W1211" s="12">
        <v>5.4999999999999997E-3</v>
      </c>
      <c r="X1211" s="12">
        <v>7.7315480625607001E-3</v>
      </c>
      <c r="Y1211" s="14">
        <v>1872</v>
      </c>
      <c r="Z1211" s="14">
        <v>28</v>
      </c>
      <c r="AA1211" s="12" t="s">
        <v>2367</v>
      </c>
    </row>
    <row r="1212" spans="1:27" ht="14.25" x14ac:dyDescent="0.45">
      <c r="A1212" s="12" t="s">
        <v>930</v>
      </c>
      <c r="B1212" s="12" t="s">
        <v>1971</v>
      </c>
      <c r="C1212" s="12" t="s">
        <v>1981</v>
      </c>
      <c r="D1212" s="12" t="s">
        <v>1975</v>
      </c>
      <c r="E1212" s="20">
        <v>34189</v>
      </c>
      <c r="F1212" s="20">
        <v>44137</v>
      </c>
      <c r="G1212" s="12">
        <v>0.11</v>
      </c>
      <c r="H1212" s="12">
        <v>14.133333333333301</v>
      </c>
      <c r="I1212" s="13">
        <v>7.78301886792453E-3</v>
      </c>
      <c r="J1212" s="12" t="s">
        <v>930</v>
      </c>
      <c r="K1212" s="14">
        <v>1759</v>
      </c>
      <c r="L1212" s="14">
        <v>599</v>
      </c>
      <c r="M1212" s="14">
        <v>1826</v>
      </c>
      <c r="N1212" s="12">
        <v>0.11</v>
      </c>
      <c r="O1212" s="12" t="s">
        <v>930</v>
      </c>
      <c r="P1212" s="12">
        <v>1.7694986688544098E-5</v>
      </c>
      <c r="Q1212" s="12">
        <v>3.5440188246598803E-5</v>
      </c>
      <c r="R1212" s="12">
        <v>0.21370967741935501</v>
      </c>
      <c r="S1212" s="14">
        <v>29</v>
      </c>
      <c r="T1212" s="12">
        <v>2.8785737662328299E-3</v>
      </c>
      <c r="U1212" s="14">
        <v>1860</v>
      </c>
      <c r="V1212" s="14">
        <v>2</v>
      </c>
      <c r="W1212" s="12">
        <v>5.5999999999999999E-3</v>
      </c>
      <c r="X1212" s="12">
        <v>8.4785737662328303E-3</v>
      </c>
      <c r="Y1212" s="14">
        <v>1858</v>
      </c>
      <c r="Z1212" s="14">
        <v>28</v>
      </c>
      <c r="AA1212" s="12" t="s">
        <v>2367</v>
      </c>
    </row>
    <row r="1213" spans="1:27" ht="14.25" x14ac:dyDescent="0.45">
      <c r="A1213" s="12" t="s">
        <v>969</v>
      </c>
      <c r="B1213" s="12" t="s">
        <v>1971</v>
      </c>
      <c r="C1213" s="12" t="s">
        <v>1981</v>
      </c>
      <c r="D1213" s="12" t="s">
        <v>1990</v>
      </c>
      <c r="E1213" s="20">
        <v>34796</v>
      </c>
      <c r="F1213" s="20">
        <v>44299</v>
      </c>
      <c r="G1213" s="12">
        <v>2</v>
      </c>
      <c r="H1213" s="12">
        <v>8.7333333333333307</v>
      </c>
      <c r="I1213" s="13">
        <v>0.229007633587786</v>
      </c>
      <c r="J1213" s="12" t="s">
        <v>969</v>
      </c>
      <c r="K1213" s="14">
        <v>1306</v>
      </c>
      <c r="L1213" s="14">
        <v>1164</v>
      </c>
      <c r="M1213" s="14">
        <v>1359</v>
      </c>
      <c r="N1213" s="12">
        <v>2</v>
      </c>
      <c r="O1213" s="12" t="s">
        <v>969</v>
      </c>
      <c r="P1213" s="12">
        <v>3.2172703070080199E-4</v>
      </c>
      <c r="Q1213" s="12">
        <v>1.04279249247452E-3</v>
      </c>
      <c r="R1213" s="12">
        <v>0.132056451612903</v>
      </c>
      <c r="S1213" s="14">
        <v>27</v>
      </c>
      <c r="T1213" s="12">
        <v>7.7239294430937896E-2</v>
      </c>
      <c r="U1213" s="14">
        <v>1386</v>
      </c>
      <c r="V1213" s="14">
        <v>1</v>
      </c>
      <c r="W1213" s="12">
        <v>5.4999999999999997E-3</v>
      </c>
      <c r="X1213" s="12">
        <v>8.2739294430937901E-2</v>
      </c>
      <c r="Y1213" s="14">
        <v>1386</v>
      </c>
      <c r="Z1213" s="14">
        <v>27</v>
      </c>
      <c r="AA1213" s="12" t="s">
        <v>2367</v>
      </c>
    </row>
    <row r="1214" spans="1:27" ht="14.25" x14ac:dyDescent="0.45">
      <c r="A1214" s="12" t="s">
        <v>996</v>
      </c>
      <c r="B1214" s="12" t="s">
        <v>1971</v>
      </c>
      <c r="C1214" s="12" t="s">
        <v>1981</v>
      </c>
      <c r="D1214" s="12" t="s">
        <v>1974</v>
      </c>
      <c r="E1214" s="20">
        <v>31917</v>
      </c>
      <c r="F1214" s="20">
        <v>44290</v>
      </c>
      <c r="G1214" s="12">
        <v>10.02</v>
      </c>
      <c r="H1214" s="12">
        <v>9.0333333333333297</v>
      </c>
      <c r="I1214" s="13">
        <v>1.1092250922509199</v>
      </c>
      <c r="J1214" s="12" t="s">
        <v>996</v>
      </c>
      <c r="K1214" s="14">
        <v>790</v>
      </c>
      <c r="L1214" s="14">
        <v>1133</v>
      </c>
      <c r="M1214" s="14">
        <v>840</v>
      </c>
      <c r="N1214" s="12">
        <v>10.02</v>
      </c>
      <c r="O1214" s="12" t="s">
        <v>996</v>
      </c>
      <c r="P1214" s="12">
        <v>1.6118524238110199E-3</v>
      </c>
      <c r="Q1214" s="12">
        <v>5.0508866474978297E-3</v>
      </c>
      <c r="R1214" s="12">
        <v>0.13659274193548401</v>
      </c>
      <c r="S1214" s="14">
        <v>35</v>
      </c>
      <c r="T1214" s="12">
        <v>0.376124881361527</v>
      </c>
      <c r="U1214" s="14">
        <v>850</v>
      </c>
      <c r="V1214" s="14">
        <v>4</v>
      </c>
      <c r="W1214" s="12">
        <v>5.7999999999999996E-3</v>
      </c>
      <c r="X1214" s="12">
        <v>0.38192488136152702</v>
      </c>
      <c r="Y1214" s="14">
        <v>850</v>
      </c>
      <c r="Z1214" s="14">
        <v>35</v>
      </c>
      <c r="AA1214" s="12" t="s">
        <v>2369</v>
      </c>
    </row>
    <row r="1215" spans="1:27" ht="14.25" x14ac:dyDescent="0.45">
      <c r="A1215" s="12" t="s">
        <v>1002</v>
      </c>
      <c r="B1215" s="12" t="s">
        <v>1971</v>
      </c>
      <c r="C1215" s="12" t="s">
        <v>1981</v>
      </c>
      <c r="D1215" s="12" t="s">
        <v>1974</v>
      </c>
      <c r="E1215" s="20">
        <v>27687</v>
      </c>
      <c r="F1215" s="20">
        <v>43290</v>
      </c>
      <c r="G1215" s="12">
        <v>424.72</v>
      </c>
      <c r="H1215" s="12">
        <v>42.366666666666703</v>
      </c>
      <c r="I1215" s="13">
        <v>10.0248623131393</v>
      </c>
      <c r="J1215" s="12" t="s">
        <v>1002</v>
      </c>
      <c r="K1215" s="14">
        <v>294</v>
      </c>
      <c r="L1215" s="14">
        <v>118</v>
      </c>
      <c r="M1215" s="14">
        <v>174</v>
      </c>
      <c r="N1215" s="12">
        <v>424.72</v>
      </c>
      <c r="O1215" s="12" t="s">
        <v>1002</v>
      </c>
      <c r="P1215" s="12">
        <v>6.8321952239622299E-2</v>
      </c>
      <c r="Q1215" s="12">
        <v>4.5648483390948201E-2</v>
      </c>
      <c r="R1215" s="12">
        <v>0.640625</v>
      </c>
      <c r="S1215" s="14">
        <v>47</v>
      </c>
      <c r="T1215" s="12">
        <v>5.4151034209200999</v>
      </c>
      <c r="U1215" s="14">
        <v>246</v>
      </c>
      <c r="V1215" s="14">
        <v>10</v>
      </c>
      <c r="W1215" s="12">
        <v>6.4000000000000003E-3</v>
      </c>
      <c r="X1215" s="12">
        <v>5.4215034209201001</v>
      </c>
      <c r="Y1215" s="14">
        <v>246</v>
      </c>
      <c r="Z1215" s="14">
        <v>46</v>
      </c>
      <c r="AA1215" s="12" t="s">
        <v>2371</v>
      </c>
    </row>
    <row r="1216" spans="1:27" ht="14.25" x14ac:dyDescent="0.45">
      <c r="A1216" s="12" t="s">
        <v>1027</v>
      </c>
      <c r="B1216" s="12" t="s">
        <v>1971</v>
      </c>
      <c r="C1216" s="12" t="s">
        <v>1981</v>
      </c>
      <c r="D1216" s="12" t="s">
        <v>1978</v>
      </c>
      <c r="E1216" s="20">
        <v>34520</v>
      </c>
      <c r="F1216" s="20">
        <v>44291</v>
      </c>
      <c r="G1216" s="12">
        <v>2</v>
      </c>
      <c r="H1216" s="12">
        <v>9</v>
      </c>
      <c r="I1216" s="13">
        <v>0.22222222222222199</v>
      </c>
      <c r="J1216" s="12" t="s">
        <v>1027</v>
      </c>
      <c r="K1216" s="14">
        <v>1317</v>
      </c>
      <c r="L1216" s="14">
        <v>1137</v>
      </c>
      <c r="M1216" s="14">
        <v>1359</v>
      </c>
      <c r="N1216" s="12">
        <v>2</v>
      </c>
      <c r="O1216" s="12" t="s">
        <v>1027</v>
      </c>
      <c r="P1216" s="12">
        <v>3.2172703070080199E-4</v>
      </c>
      <c r="Q1216" s="12">
        <v>1.0118949371419499E-3</v>
      </c>
      <c r="R1216" s="12">
        <v>0.13608870967741901</v>
      </c>
      <c r="S1216" s="14">
        <v>28</v>
      </c>
      <c r="T1216" s="12">
        <v>7.5308197222651696E-2</v>
      </c>
      <c r="U1216" s="14">
        <v>1399</v>
      </c>
      <c r="V1216" s="14">
        <v>1</v>
      </c>
      <c r="W1216" s="12">
        <v>5.4999999999999997E-3</v>
      </c>
      <c r="X1216" s="12">
        <v>8.0808197222651701E-2</v>
      </c>
      <c r="Y1216" s="14">
        <v>1399</v>
      </c>
      <c r="Z1216" s="14">
        <v>28</v>
      </c>
      <c r="AA1216" s="12" t="s">
        <v>2367</v>
      </c>
    </row>
    <row r="1217" spans="1:27" ht="14.25" x14ac:dyDescent="0.45">
      <c r="A1217" s="12" t="s">
        <v>1048</v>
      </c>
      <c r="B1217" s="12" t="s">
        <v>1971</v>
      </c>
      <c r="C1217" s="12" t="s">
        <v>1981</v>
      </c>
      <c r="D1217" s="12" t="s">
        <v>1974</v>
      </c>
      <c r="E1217" s="20">
        <v>30955</v>
      </c>
      <c r="F1217" s="20">
        <v>44200</v>
      </c>
      <c r="G1217" s="12">
        <v>23</v>
      </c>
      <c r="H1217" s="12">
        <v>12.033333333333299</v>
      </c>
      <c r="I1217" s="13">
        <v>1.91135734072022</v>
      </c>
      <c r="J1217" s="12" t="s">
        <v>1048</v>
      </c>
      <c r="K1217" s="14">
        <v>668</v>
      </c>
      <c r="L1217" s="14">
        <v>767</v>
      </c>
      <c r="M1217" s="14">
        <v>699</v>
      </c>
      <c r="N1217" s="12">
        <v>23</v>
      </c>
      <c r="O1217" s="12" t="s">
        <v>1048</v>
      </c>
      <c r="P1217" s="12">
        <v>3.6998608530592202E-3</v>
      </c>
      <c r="Q1217" s="12">
        <v>8.7034176726474895E-3</v>
      </c>
      <c r="R1217" s="12">
        <v>0.18195564516129001</v>
      </c>
      <c r="S1217" s="14">
        <v>38</v>
      </c>
      <c r="T1217" s="12">
        <v>0.68270838653018895</v>
      </c>
      <c r="U1217" s="14">
        <v>724</v>
      </c>
      <c r="V1217" s="14">
        <v>2</v>
      </c>
      <c r="W1217" s="12">
        <v>5.5999999999999999E-3</v>
      </c>
      <c r="X1217" s="12">
        <v>0.688308386530189</v>
      </c>
      <c r="Y1217" s="14">
        <v>724</v>
      </c>
      <c r="Z1217" s="14">
        <v>37</v>
      </c>
      <c r="AA1217" s="12" t="s">
        <v>2369</v>
      </c>
    </row>
    <row r="1218" spans="1:27" ht="14.25" x14ac:dyDescent="0.45">
      <c r="A1218" s="12" t="s">
        <v>1050</v>
      </c>
      <c r="B1218" s="12" t="s">
        <v>1971</v>
      </c>
      <c r="C1218" s="12" t="s">
        <v>1981</v>
      </c>
      <c r="D1218" s="12" t="s">
        <v>1974</v>
      </c>
      <c r="E1218" s="20">
        <v>30068</v>
      </c>
      <c r="F1218" s="20">
        <v>44337</v>
      </c>
      <c r="G1218" s="12">
        <v>0.1</v>
      </c>
      <c r="H1218" s="12">
        <v>7.4666666666666703</v>
      </c>
      <c r="I1218" s="13">
        <v>1.33928571428571E-2</v>
      </c>
      <c r="J1218" s="12" t="s">
        <v>1050</v>
      </c>
      <c r="K1218" s="14">
        <v>1718</v>
      </c>
      <c r="L1218" s="14">
        <v>1428</v>
      </c>
      <c r="M1218" s="14">
        <v>1833</v>
      </c>
      <c r="N1218" s="12">
        <v>0.1</v>
      </c>
      <c r="O1218" s="12" t="s">
        <v>1050</v>
      </c>
      <c r="P1218" s="12">
        <v>1.6086351535040099E-5</v>
      </c>
      <c r="Q1218" s="12">
        <v>6.0984739515251198E-5</v>
      </c>
      <c r="R1218" s="12">
        <v>0.112903225806452</v>
      </c>
      <c r="S1218" s="14">
        <v>40</v>
      </c>
      <c r="T1218" s="12">
        <v>4.4147844022672097E-3</v>
      </c>
      <c r="U1218" s="14">
        <v>1828</v>
      </c>
      <c r="V1218" s="14">
        <v>1</v>
      </c>
      <c r="W1218" s="12">
        <v>5.4999999999999997E-3</v>
      </c>
      <c r="X1218" s="12">
        <v>9.9147844022672103E-3</v>
      </c>
      <c r="Y1218" s="14">
        <v>1828</v>
      </c>
      <c r="Z1218" s="14">
        <v>40</v>
      </c>
      <c r="AA1218" s="12" t="s">
        <v>2369</v>
      </c>
    </row>
    <row r="1219" spans="1:27" ht="14.25" x14ac:dyDescent="0.45">
      <c r="A1219" s="12" t="s">
        <v>1064</v>
      </c>
      <c r="B1219" s="12" t="s">
        <v>1971</v>
      </c>
      <c r="C1219" s="12" t="s">
        <v>1981</v>
      </c>
      <c r="D1219" s="12" t="s">
        <v>1983</v>
      </c>
      <c r="E1219" s="20">
        <v>34380</v>
      </c>
      <c r="F1219" s="20">
        <v>44334</v>
      </c>
      <c r="G1219" s="12">
        <v>0.27</v>
      </c>
      <c r="H1219" s="12">
        <v>7.56666666666667</v>
      </c>
      <c r="I1219" s="13">
        <v>3.5682819383259901E-2</v>
      </c>
      <c r="J1219" s="12" t="s">
        <v>1064</v>
      </c>
      <c r="K1219" s="14">
        <v>1641</v>
      </c>
      <c r="L1219" s="14">
        <v>1269</v>
      </c>
      <c r="M1219" s="14">
        <v>1747</v>
      </c>
      <c r="N1219" s="12">
        <v>0.27</v>
      </c>
      <c r="O1219" s="12" t="s">
        <v>1064</v>
      </c>
      <c r="P1219" s="12">
        <v>4.3433149144608199E-5</v>
      </c>
      <c r="Q1219" s="12">
        <v>1.6248268924592E-4</v>
      </c>
      <c r="R1219" s="12">
        <v>0.114415322580645</v>
      </c>
      <c r="S1219" s="14">
        <v>28</v>
      </c>
      <c r="T1219" s="12">
        <v>1.1783911170792799E-2</v>
      </c>
      <c r="U1219" s="14">
        <v>1745</v>
      </c>
      <c r="V1219" s="14">
        <v>1</v>
      </c>
      <c r="W1219" s="12">
        <v>5.4999999999999997E-3</v>
      </c>
      <c r="X1219" s="12">
        <v>1.7283911170792799E-2</v>
      </c>
      <c r="Y1219" s="14">
        <v>1745</v>
      </c>
      <c r="Z1219" s="14">
        <v>28</v>
      </c>
      <c r="AA1219" s="12" t="s">
        <v>2367</v>
      </c>
    </row>
    <row r="1220" spans="1:27" ht="14.25" x14ac:dyDescent="0.45">
      <c r="A1220" s="12" t="s">
        <v>1069</v>
      </c>
      <c r="B1220" s="12" t="s">
        <v>1971</v>
      </c>
      <c r="C1220" s="12" t="s">
        <v>1981</v>
      </c>
      <c r="D1220" s="12" t="s">
        <v>1993</v>
      </c>
      <c r="E1220" s="20">
        <v>32573</v>
      </c>
      <c r="F1220" s="20">
        <v>43572</v>
      </c>
      <c r="G1220" s="12">
        <v>5</v>
      </c>
      <c r="H1220" s="12">
        <v>32.966666666666697</v>
      </c>
      <c r="I1220" s="13">
        <v>0.15166835187057601</v>
      </c>
      <c r="J1220" s="12" t="s">
        <v>1069</v>
      </c>
      <c r="K1220" s="14">
        <v>1409</v>
      </c>
      <c r="L1220" s="14">
        <v>241</v>
      </c>
      <c r="M1220" s="14">
        <v>1034</v>
      </c>
      <c r="N1220" s="12">
        <v>5</v>
      </c>
      <c r="O1220" s="12" t="s">
        <v>1069</v>
      </c>
      <c r="P1220" s="12">
        <v>8.0431757675200502E-4</v>
      </c>
      <c r="Q1220" s="12">
        <v>6.9062596822124704E-4</v>
      </c>
      <c r="R1220" s="12">
        <v>0.49848790322580599</v>
      </c>
      <c r="S1220" s="14">
        <v>33</v>
      </c>
      <c r="T1220" s="12">
        <v>7.3326032142028097E-2</v>
      </c>
      <c r="U1220" s="14">
        <v>1419</v>
      </c>
      <c r="V1220" s="14">
        <v>1</v>
      </c>
      <c r="W1220" s="12">
        <v>5.4999999999999997E-3</v>
      </c>
      <c r="X1220" s="12">
        <v>7.8826032142028102E-2</v>
      </c>
      <c r="Y1220" s="14">
        <v>1420</v>
      </c>
      <c r="Z1220" s="14">
        <v>33</v>
      </c>
      <c r="AA1220" s="12" t="s">
        <v>2367</v>
      </c>
    </row>
    <row r="1221" spans="1:27" ht="14.25" x14ac:dyDescent="0.45">
      <c r="A1221" s="12" t="s">
        <v>1114</v>
      </c>
      <c r="B1221" s="12" t="s">
        <v>1971</v>
      </c>
      <c r="C1221" s="12" t="s">
        <v>1981</v>
      </c>
      <c r="D1221" s="12" t="s">
        <v>1974</v>
      </c>
      <c r="E1221" s="20">
        <v>32299</v>
      </c>
      <c r="F1221" s="20">
        <v>44273</v>
      </c>
      <c r="G1221" s="12">
        <v>11.26</v>
      </c>
      <c r="H1221" s="12">
        <v>9.6</v>
      </c>
      <c r="I1221" s="13">
        <v>1.1729166666666699</v>
      </c>
      <c r="J1221" s="12" t="s">
        <v>1114</v>
      </c>
      <c r="K1221" s="14">
        <v>776</v>
      </c>
      <c r="L1221" s="14">
        <v>1029</v>
      </c>
      <c r="M1221" s="14">
        <v>824</v>
      </c>
      <c r="N1221" s="12">
        <v>11.26</v>
      </c>
      <c r="O1221" s="12" t="s">
        <v>1114</v>
      </c>
      <c r="P1221" s="12">
        <v>1.8113231828455101E-3</v>
      </c>
      <c r="Q1221" s="12">
        <v>5.3409079651023398E-3</v>
      </c>
      <c r="R1221" s="12">
        <v>0.14516129032258099</v>
      </c>
      <c r="S1221" s="14">
        <v>34</v>
      </c>
      <c r="T1221" s="12">
        <v>0.40173136717560298</v>
      </c>
      <c r="U1221" s="14">
        <v>826</v>
      </c>
      <c r="V1221" s="14">
        <v>1</v>
      </c>
      <c r="W1221" s="12">
        <v>5.4999999999999997E-3</v>
      </c>
      <c r="X1221" s="12">
        <v>0.40723136717560299</v>
      </c>
      <c r="Y1221" s="14">
        <v>827</v>
      </c>
      <c r="Z1221" s="14">
        <v>34</v>
      </c>
      <c r="AA1221" s="12" t="s">
        <v>2367</v>
      </c>
    </row>
    <row r="1222" spans="1:27" ht="14.25" x14ac:dyDescent="0.45">
      <c r="A1222" s="12" t="s">
        <v>1120</v>
      </c>
      <c r="B1222" s="12" t="s">
        <v>1971</v>
      </c>
      <c r="C1222" s="12" t="s">
        <v>1981</v>
      </c>
      <c r="D1222" s="12" t="s">
        <v>1975</v>
      </c>
      <c r="E1222" s="20">
        <v>33885</v>
      </c>
      <c r="F1222" s="20">
        <v>42989</v>
      </c>
      <c r="G1222" s="12">
        <v>97.27</v>
      </c>
      <c r="H1222" s="12">
        <v>52.4</v>
      </c>
      <c r="I1222" s="13">
        <v>1.8562977099236599</v>
      </c>
      <c r="J1222" s="12" t="s">
        <v>1120</v>
      </c>
      <c r="K1222" s="14">
        <v>681</v>
      </c>
      <c r="L1222" s="14">
        <v>55</v>
      </c>
      <c r="M1222" s="14">
        <v>390</v>
      </c>
      <c r="N1222" s="12">
        <v>97.27</v>
      </c>
      <c r="O1222" s="12" t="s">
        <v>1120</v>
      </c>
      <c r="P1222" s="12">
        <v>1.5647194138133501E-2</v>
      </c>
      <c r="Q1222" s="12">
        <v>8.4527021452497492E-3</v>
      </c>
      <c r="R1222" s="12">
        <v>0.79233870967741904</v>
      </c>
      <c r="S1222" s="14">
        <v>30</v>
      </c>
      <c r="T1222" s="12">
        <v>1.11506366425812</v>
      </c>
      <c r="U1222" s="14">
        <v>549</v>
      </c>
      <c r="V1222" s="14">
        <v>2</v>
      </c>
      <c r="W1222" s="12">
        <v>5.5999999999999999E-3</v>
      </c>
      <c r="X1222" s="12">
        <v>1.12066366425812</v>
      </c>
      <c r="Y1222" s="14">
        <v>549</v>
      </c>
      <c r="Z1222" s="14">
        <v>29</v>
      </c>
      <c r="AA1222" s="12" t="s">
        <v>2367</v>
      </c>
    </row>
    <row r="1223" spans="1:27" ht="14.25" x14ac:dyDescent="0.45">
      <c r="A1223" s="12" t="s">
        <v>1134</v>
      </c>
      <c r="B1223" s="12" t="s">
        <v>1971</v>
      </c>
      <c r="C1223" s="12" t="s">
        <v>1981</v>
      </c>
      <c r="D1223" s="12" t="s">
        <v>1982</v>
      </c>
      <c r="E1223" s="20">
        <v>33313</v>
      </c>
      <c r="F1223" s="20">
        <v>43314</v>
      </c>
      <c r="G1223" s="12">
        <v>431.88</v>
      </c>
      <c r="H1223" s="12">
        <v>41.566666666666698</v>
      </c>
      <c r="I1223" s="13">
        <v>10.3900561347233</v>
      </c>
      <c r="J1223" s="12" t="s">
        <v>1134</v>
      </c>
      <c r="K1223" s="14">
        <v>284</v>
      </c>
      <c r="L1223" s="14">
        <v>138</v>
      </c>
      <c r="M1223" s="14">
        <v>168</v>
      </c>
      <c r="N1223" s="12">
        <v>431.88</v>
      </c>
      <c r="O1223" s="12" t="s">
        <v>1134</v>
      </c>
      <c r="P1223" s="12">
        <v>6.9473735009531107E-2</v>
      </c>
      <c r="Q1223" s="12">
        <v>4.7311403397062197E-2</v>
      </c>
      <c r="R1223" s="12">
        <v>0.62852822580645196</v>
      </c>
      <c r="S1223" s="14">
        <v>31</v>
      </c>
      <c r="T1223" s="12">
        <v>5.5622277751738096</v>
      </c>
      <c r="U1223" s="14">
        <v>240</v>
      </c>
      <c r="V1223" s="14">
        <v>5</v>
      </c>
      <c r="W1223" s="12">
        <v>5.8999999999999999E-3</v>
      </c>
      <c r="X1223" s="12">
        <v>5.5681277751738101</v>
      </c>
      <c r="Y1223" s="14">
        <v>240</v>
      </c>
      <c r="Z1223" s="14">
        <v>31</v>
      </c>
      <c r="AA1223" s="12" t="s">
        <v>2367</v>
      </c>
    </row>
    <row r="1224" spans="1:27" ht="14.25" x14ac:dyDescent="0.45">
      <c r="A1224" s="12" t="s">
        <v>1206</v>
      </c>
      <c r="B1224" s="12" t="s">
        <v>1971</v>
      </c>
      <c r="C1224" s="12" t="s">
        <v>1981</v>
      </c>
      <c r="D1224" s="12" t="s">
        <v>1975</v>
      </c>
      <c r="E1224" s="20">
        <v>32773</v>
      </c>
      <c r="F1224" s="20">
        <v>44336</v>
      </c>
      <c r="G1224" s="12">
        <v>3.24</v>
      </c>
      <c r="H1224" s="12">
        <v>7.5</v>
      </c>
      <c r="I1224" s="13">
        <v>0.432</v>
      </c>
      <c r="J1224" s="12" t="s">
        <v>1206</v>
      </c>
      <c r="K1224" s="14">
        <v>1116</v>
      </c>
      <c r="L1224" s="14">
        <v>1377</v>
      </c>
      <c r="M1224" s="14">
        <v>1199</v>
      </c>
      <c r="N1224" s="12">
        <v>3.24</v>
      </c>
      <c r="O1224" s="12" t="s">
        <v>1206</v>
      </c>
      <c r="P1224" s="12">
        <v>5.2119778973529901E-4</v>
      </c>
      <c r="Q1224" s="12">
        <v>1.9671237578039401E-3</v>
      </c>
      <c r="R1224" s="12">
        <v>0.113407258064516</v>
      </c>
      <c r="S1224" s="14">
        <v>33</v>
      </c>
      <c r="T1224" s="12">
        <v>0.14249015197782</v>
      </c>
      <c r="U1224" s="14">
        <v>1181</v>
      </c>
      <c r="V1224" s="14">
        <v>1</v>
      </c>
      <c r="W1224" s="12">
        <v>5.4999999999999997E-3</v>
      </c>
      <c r="X1224" s="12">
        <v>0.14799015197782001</v>
      </c>
      <c r="Y1224" s="14">
        <v>1181</v>
      </c>
      <c r="Z1224" s="14">
        <v>32</v>
      </c>
      <c r="AA1224" s="12" t="s">
        <v>2367</v>
      </c>
    </row>
    <row r="1225" spans="1:27" ht="14.25" x14ac:dyDescent="0.45">
      <c r="A1225" s="12" t="s">
        <v>1256</v>
      </c>
      <c r="B1225" s="12" t="s">
        <v>1971</v>
      </c>
      <c r="C1225" s="12" t="s">
        <v>1981</v>
      </c>
      <c r="D1225" s="12" t="s">
        <v>1974</v>
      </c>
      <c r="E1225" s="20">
        <v>34106</v>
      </c>
      <c r="F1225" s="20">
        <v>44327</v>
      </c>
      <c r="G1225" s="12">
        <v>0.54</v>
      </c>
      <c r="H1225" s="12">
        <v>7.8</v>
      </c>
      <c r="I1225" s="13">
        <v>6.9230769230769207E-2</v>
      </c>
      <c r="J1225" s="12" t="s">
        <v>1256</v>
      </c>
      <c r="K1225" s="14">
        <v>1565</v>
      </c>
      <c r="L1225" s="14">
        <v>1252</v>
      </c>
      <c r="M1225" s="14">
        <v>1669</v>
      </c>
      <c r="N1225" s="12">
        <v>0.54</v>
      </c>
      <c r="O1225" s="12" t="s">
        <v>1256</v>
      </c>
      <c r="P1225" s="12">
        <v>8.6866298289216506E-5</v>
      </c>
      <c r="Q1225" s="12">
        <v>3.1524419195576E-4</v>
      </c>
      <c r="R1225" s="12">
        <v>0.117943548387097</v>
      </c>
      <c r="S1225" s="14">
        <v>29</v>
      </c>
      <c r="T1225" s="12">
        <v>2.2960248183080598E-2</v>
      </c>
      <c r="U1225" s="14">
        <v>1664</v>
      </c>
      <c r="V1225" s="14">
        <v>1</v>
      </c>
      <c r="W1225" s="12">
        <v>5.4999999999999997E-3</v>
      </c>
      <c r="X1225" s="12">
        <v>2.84602481830806E-2</v>
      </c>
      <c r="Y1225" s="14">
        <v>1664</v>
      </c>
      <c r="Z1225" s="14">
        <v>29</v>
      </c>
      <c r="AA1225" s="12" t="s">
        <v>2367</v>
      </c>
    </row>
    <row r="1226" spans="1:27" ht="14.25" x14ac:dyDescent="0.45">
      <c r="A1226" s="12" t="s">
        <v>1270</v>
      </c>
      <c r="B1226" s="12" t="s">
        <v>1971</v>
      </c>
      <c r="C1226" s="12" t="s">
        <v>1981</v>
      </c>
      <c r="D1226" s="12" t="s">
        <v>1975</v>
      </c>
      <c r="E1226" s="20">
        <v>32228</v>
      </c>
      <c r="F1226" s="20">
        <v>44334</v>
      </c>
      <c r="G1226" s="12">
        <v>4.05</v>
      </c>
      <c r="H1226" s="12">
        <v>7.56666666666667</v>
      </c>
      <c r="I1226" s="13">
        <v>0.53524229074889895</v>
      </c>
      <c r="J1226" s="12" t="s">
        <v>1270</v>
      </c>
      <c r="K1226" s="14">
        <v>1028</v>
      </c>
      <c r="L1226" s="14">
        <v>1269</v>
      </c>
      <c r="M1226" s="14">
        <v>1116</v>
      </c>
      <c r="N1226" s="12">
        <v>4.05</v>
      </c>
      <c r="O1226" s="12" t="s">
        <v>1270</v>
      </c>
      <c r="P1226" s="12">
        <v>6.5149723716912398E-4</v>
      </c>
      <c r="Q1226" s="12">
        <v>2.4372403386888099E-3</v>
      </c>
      <c r="R1226" s="12">
        <v>0.114415322580645</v>
      </c>
      <c r="S1226" s="14">
        <v>34</v>
      </c>
      <c r="T1226" s="12">
        <v>0.17675866756189301</v>
      </c>
      <c r="U1226" s="14">
        <v>1096</v>
      </c>
      <c r="V1226" s="14">
        <v>1</v>
      </c>
      <c r="W1226" s="12">
        <v>5.4999999999999997E-3</v>
      </c>
      <c r="X1226" s="12">
        <v>0.18225866756189299</v>
      </c>
      <c r="Y1226" s="14">
        <v>1096</v>
      </c>
      <c r="Z1226" s="14">
        <v>34</v>
      </c>
      <c r="AA1226" s="12" t="s">
        <v>2367</v>
      </c>
    </row>
    <row r="1227" spans="1:27" ht="14.25" x14ac:dyDescent="0.45">
      <c r="A1227" s="12" t="s">
        <v>1288</v>
      </c>
      <c r="B1227" s="12" t="s">
        <v>1971</v>
      </c>
      <c r="C1227" s="12" t="s">
        <v>1981</v>
      </c>
      <c r="D1227" s="12" t="s">
        <v>1974</v>
      </c>
      <c r="E1227" s="20">
        <v>32100</v>
      </c>
      <c r="F1227" s="20">
        <v>44266</v>
      </c>
      <c r="G1227" s="12">
        <v>4.55</v>
      </c>
      <c r="H1227" s="12">
        <v>9.8333333333333304</v>
      </c>
      <c r="I1227" s="13">
        <v>0.46271186440678003</v>
      </c>
      <c r="J1227" s="12" t="s">
        <v>1288</v>
      </c>
      <c r="K1227" s="14">
        <v>1090</v>
      </c>
      <c r="L1227" s="14">
        <v>982</v>
      </c>
      <c r="M1227" s="14">
        <v>1068</v>
      </c>
      <c r="N1227" s="12">
        <v>4.55</v>
      </c>
      <c r="O1227" s="12" t="s">
        <v>1288</v>
      </c>
      <c r="P1227" s="12">
        <v>7.3192899484432396E-4</v>
      </c>
      <c r="Q1227" s="12">
        <v>2.10697106826929E-3</v>
      </c>
      <c r="R1227" s="12">
        <v>0.148689516129032</v>
      </c>
      <c r="S1227" s="14">
        <v>35</v>
      </c>
      <c r="T1227" s="12">
        <v>0.159133029073493</v>
      </c>
      <c r="U1227" s="14">
        <v>1132</v>
      </c>
      <c r="V1227" s="14">
        <v>2</v>
      </c>
      <c r="W1227" s="12">
        <v>5.5999999999999999E-3</v>
      </c>
      <c r="X1227" s="12">
        <v>0.16473302907349299</v>
      </c>
      <c r="Y1227" s="14">
        <v>1132</v>
      </c>
      <c r="Z1227" s="14">
        <v>34</v>
      </c>
      <c r="AA1227" s="12" t="s">
        <v>2367</v>
      </c>
    </row>
    <row r="1228" spans="1:27" ht="14.25" x14ac:dyDescent="0.45">
      <c r="A1228" s="12" t="s">
        <v>1306</v>
      </c>
      <c r="B1228" s="12" t="s">
        <v>1971</v>
      </c>
      <c r="C1228" s="12" t="s">
        <v>1981</v>
      </c>
      <c r="D1228" s="12" t="s">
        <v>1975</v>
      </c>
      <c r="E1228" s="20">
        <v>33522</v>
      </c>
      <c r="F1228" s="20">
        <v>44335</v>
      </c>
      <c r="G1228" s="12">
        <v>3.15</v>
      </c>
      <c r="H1228" s="12">
        <v>7.5333333333333297</v>
      </c>
      <c r="I1228" s="13">
        <v>0.41814159292035402</v>
      </c>
      <c r="J1228" s="12" t="s">
        <v>1306</v>
      </c>
      <c r="K1228" s="14">
        <v>1126</v>
      </c>
      <c r="L1228" s="14">
        <v>1332</v>
      </c>
      <c r="M1228" s="14">
        <v>1209</v>
      </c>
      <c r="N1228" s="12">
        <v>3.15</v>
      </c>
      <c r="O1228" s="12" t="s">
        <v>1306</v>
      </c>
      <c r="P1228" s="12">
        <v>5.0672007335376295E-4</v>
      </c>
      <c r="Q1228" s="12">
        <v>1.90401912398059E-3</v>
      </c>
      <c r="R1228" s="12">
        <v>0.113911290322581</v>
      </c>
      <c r="S1228" s="14">
        <v>31</v>
      </c>
      <c r="T1228" s="12">
        <v>0.13800319799955299</v>
      </c>
      <c r="U1228" s="14">
        <v>1188</v>
      </c>
      <c r="V1228" s="14">
        <v>1</v>
      </c>
      <c r="W1228" s="12">
        <v>5.4999999999999997E-3</v>
      </c>
      <c r="X1228" s="12">
        <v>0.14350319799955299</v>
      </c>
      <c r="Y1228" s="14">
        <v>1188</v>
      </c>
      <c r="Z1228" s="14">
        <v>30</v>
      </c>
      <c r="AA1228" s="12" t="s">
        <v>2367</v>
      </c>
    </row>
    <row r="1229" spans="1:27" ht="14.25" x14ac:dyDescent="0.45">
      <c r="A1229" s="12" t="s">
        <v>1346</v>
      </c>
      <c r="B1229" s="12" t="s">
        <v>1971</v>
      </c>
      <c r="C1229" s="12" t="s">
        <v>1981</v>
      </c>
      <c r="D1229" s="12" t="s">
        <v>1997</v>
      </c>
      <c r="E1229" s="20">
        <v>33859</v>
      </c>
      <c r="F1229" s="20">
        <v>44334</v>
      </c>
      <c r="G1229" s="12">
        <v>4.38</v>
      </c>
      <c r="H1229" s="12">
        <v>7.56666666666667</v>
      </c>
      <c r="I1229" s="13">
        <v>0.57885462555066103</v>
      </c>
      <c r="J1229" s="12" t="s">
        <v>1346</v>
      </c>
      <c r="K1229" s="14">
        <v>1007</v>
      </c>
      <c r="L1229" s="14">
        <v>1269</v>
      </c>
      <c r="M1229" s="14">
        <v>1077</v>
      </c>
      <c r="N1229" s="12">
        <v>4.38</v>
      </c>
      <c r="O1229" s="12" t="s">
        <v>1346</v>
      </c>
      <c r="P1229" s="12">
        <v>7.0458219723475602E-4</v>
      </c>
      <c r="Q1229" s="12">
        <v>2.6358302922116E-3</v>
      </c>
      <c r="R1229" s="12">
        <v>0.114415322580645</v>
      </c>
      <c r="S1229" s="14">
        <v>30</v>
      </c>
      <c r="T1229" s="12">
        <v>0.19116122565952801</v>
      </c>
      <c r="U1229" s="14">
        <v>1068</v>
      </c>
      <c r="V1229" s="14">
        <v>1</v>
      </c>
      <c r="W1229" s="12">
        <v>5.4999999999999997E-3</v>
      </c>
      <c r="X1229" s="12">
        <v>0.19666122565952801</v>
      </c>
      <c r="Y1229" s="14">
        <v>1068</v>
      </c>
      <c r="Z1229" s="14">
        <v>29</v>
      </c>
      <c r="AA1229" s="12" t="s">
        <v>2367</v>
      </c>
    </row>
    <row r="1230" spans="1:27" ht="14.25" x14ac:dyDescent="0.45">
      <c r="A1230" s="12" t="s">
        <v>1353</v>
      </c>
      <c r="B1230" s="12" t="s">
        <v>1971</v>
      </c>
      <c r="C1230" s="12" t="s">
        <v>1981</v>
      </c>
      <c r="D1230" s="12" t="s">
        <v>1974</v>
      </c>
      <c r="E1230" s="20">
        <v>20944</v>
      </c>
      <c r="F1230" s="20">
        <v>44371</v>
      </c>
      <c r="G1230" s="12">
        <v>4.58</v>
      </c>
      <c r="H1230" s="12">
        <v>6.3333333333333304</v>
      </c>
      <c r="I1230" s="13">
        <v>0.723157894736842</v>
      </c>
      <c r="J1230" s="12" t="s">
        <v>1353</v>
      </c>
      <c r="K1230" s="14">
        <v>923</v>
      </c>
      <c r="L1230" s="14">
        <v>1557</v>
      </c>
      <c r="M1230" s="14">
        <v>1062</v>
      </c>
      <c r="N1230" s="12">
        <v>4.58</v>
      </c>
      <c r="O1230" s="12" t="s">
        <v>1353</v>
      </c>
      <c r="P1230" s="12">
        <v>7.3675490030483605E-4</v>
      </c>
      <c r="Q1230" s="12">
        <v>3.2929191559729798E-3</v>
      </c>
      <c r="R1230" s="12">
        <v>9.5766129032257993E-2</v>
      </c>
      <c r="S1230" s="14">
        <v>65</v>
      </c>
      <c r="T1230" s="12">
        <v>0.23343575600974201</v>
      </c>
      <c r="U1230" s="14">
        <v>992</v>
      </c>
      <c r="V1230" s="14">
        <v>1</v>
      </c>
      <c r="W1230" s="12">
        <v>5.4999999999999997E-3</v>
      </c>
      <c r="X1230" s="12">
        <v>0.23893575600974201</v>
      </c>
      <c r="Y1230" s="14">
        <v>992</v>
      </c>
      <c r="Z1230" s="14">
        <v>65</v>
      </c>
      <c r="AA1230" s="12" t="s">
        <v>2371</v>
      </c>
    </row>
    <row r="1231" spans="1:27" ht="14.25" x14ac:dyDescent="0.45">
      <c r="A1231" s="12" t="s">
        <v>1373</v>
      </c>
      <c r="B1231" s="12" t="s">
        <v>1971</v>
      </c>
      <c r="C1231" s="12" t="s">
        <v>1981</v>
      </c>
      <c r="D1231" s="12" t="s">
        <v>2020</v>
      </c>
      <c r="E1231" s="20">
        <v>31936</v>
      </c>
      <c r="F1231" s="20">
        <v>44370</v>
      </c>
      <c r="G1231" s="12">
        <v>4.1399999999999997</v>
      </c>
      <c r="H1231" s="12">
        <v>6.3666666666666698</v>
      </c>
      <c r="I1231" s="13">
        <v>0.65026178010471203</v>
      </c>
      <c r="J1231" s="12" t="s">
        <v>1373</v>
      </c>
      <c r="K1231" s="14">
        <v>966</v>
      </c>
      <c r="L1231" s="14">
        <v>1504</v>
      </c>
      <c r="M1231" s="14">
        <v>1105</v>
      </c>
      <c r="N1231" s="12">
        <v>4.1399999999999997</v>
      </c>
      <c r="O1231" s="12" t="s">
        <v>1373</v>
      </c>
      <c r="P1231" s="12">
        <v>6.6597495355066004E-4</v>
      </c>
      <c r="Q1231" s="12">
        <v>2.9609847139719001E-3</v>
      </c>
      <c r="R1231" s="12">
        <v>9.6270161290322606E-2</v>
      </c>
      <c r="S1231" s="14">
        <v>35</v>
      </c>
      <c r="T1231" s="12">
        <v>0.21003560538139401</v>
      </c>
      <c r="U1231" s="14">
        <v>1028</v>
      </c>
      <c r="V1231" s="14">
        <v>1</v>
      </c>
      <c r="W1231" s="12">
        <v>5.4999999999999997E-3</v>
      </c>
      <c r="X1231" s="12">
        <v>0.21553560538139399</v>
      </c>
      <c r="Y1231" s="14">
        <v>1028</v>
      </c>
      <c r="Z1231" s="14">
        <v>35</v>
      </c>
      <c r="AA1231" s="12" t="s">
        <v>2369</v>
      </c>
    </row>
    <row r="1232" spans="1:27" ht="14.25" x14ac:dyDescent="0.45">
      <c r="A1232" s="12" t="s">
        <v>1381</v>
      </c>
      <c r="B1232" s="12" t="s">
        <v>1971</v>
      </c>
      <c r="C1232" s="12" t="s">
        <v>1981</v>
      </c>
      <c r="D1232" s="12" t="s">
        <v>1993</v>
      </c>
      <c r="E1232" s="20">
        <v>24561</v>
      </c>
      <c r="F1232" s="20">
        <v>44295</v>
      </c>
      <c r="G1232" s="12">
        <v>4.05</v>
      </c>
      <c r="H1232" s="12">
        <v>8.8666666666666707</v>
      </c>
      <c r="I1232" s="13">
        <v>0.45676691729323299</v>
      </c>
      <c r="J1232" s="12" t="s">
        <v>1381</v>
      </c>
      <c r="K1232" s="14">
        <v>1094</v>
      </c>
      <c r="L1232" s="14">
        <v>1156</v>
      </c>
      <c r="M1232" s="14">
        <v>1116</v>
      </c>
      <c r="N1232" s="12">
        <v>4.05</v>
      </c>
      <c r="O1232" s="12" t="s">
        <v>1381</v>
      </c>
      <c r="P1232" s="12">
        <v>6.5149723716912398E-4</v>
      </c>
      <c r="Q1232" s="12">
        <v>2.0799005897833098E-3</v>
      </c>
      <c r="R1232" s="12">
        <v>0.134072580645161</v>
      </c>
      <c r="S1232" s="14">
        <v>55</v>
      </c>
      <c r="T1232" s="12">
        <v>0.15442493325529899</v>
      </c>
      <c r="U1232" s="14">
        <v>1145</v>
      </c>
      <c r="V1232" s="14">
        <v>1</v>
      </c>
      <c r="W1232" s="12">
        <v>5.4999999999999997E-3</v>
      </c>
      <c r="X1232" s="12">
        <v>0.159924933255299</v>
      </c>
      <c r="Y1232" s="14">
        <v>1145</v>
      </c>
      <c r="Z1232" s="14">
        <v>55</v>
      </c>
      <c r="AA1232" s="12" t="s">
        <v>2371</v>
      </c>
    </row>
    <row r="1233" spans="1:27" ht="14.25" x14ac:dyDescent="0.45">
      <c r="A1233" s="12" t="s">
        <v>1434</v>
      </c>
      <c r="B1233" s="12" t="s">
        <v>1971</v>
      </c>
      <c r="C1233" s="12" t="s">
        <v>1981</v>
      </c>
      <c r="D1233" s="12" t="s">
        <v>2072</v>
      </c>
      <c r="E1233" s="20">
        <v>31203</v>
      </c>
      <c r="F1233" s="20">
        <v>44204</v>
      </c>
      <c r="G1233" s="12">
        <v>19.850000000000001</v>
      </c>
      <c r="H1233" s="12">
        <v>11.9</v>
      </c>
      <c r="I1233" s="13">
        <v>1.6680672268907599</v>
      </c>
      <c r="J1233" s="12" t="s">
        <v>1434</v>
      </c>
      <c r="K1233" s="14">
        <v>708</v>
      </c>
      <c r="L1233" s="14">
        <v>793</v>
      </c>
      <c r="M1233" s="14">
        <v>721</v>
      </c>
      <c r="N1233" s="12">
        <v>19.850000000000001</v>
      </c>
      <c r="O1233" s="12" t="s">
        <v>1434</v>
      </c>
      <c r="P1233" s="12">
        <v>3.19314077970546E-3</v>
      </c>
      <c r="Q1233" s="12">
        <v>7.5955895176642299E-3</v>
      </c>
      <c r="R1233" s="12">
        <v>0.179939516129032</v>
      </c>
      <c r="S1233" s="14">
        <v>37</v>
      </c>
      <c r="T1233" s="12">
        <v>0.59446712409296898</v>
      </c>
      <c r="U1233" s="14">
        <v>754</v>
      </c>
      <c r="V1233" s="14">
        <v>4</v>
      </c>
      <c r="W1233" s="12">
        <v>5.7999999999999996E-3</v>
      </c>
      <c r="X1233" s="12">
        <v>0.60026712409296901</v>
      </c>
      <c r="Y1233" s="14">
        <v>754</v>
      </c>
      <c r="Z1233" s="14">
        <v>37</v>
      </c>
      <c r="AA1233" s="12" t="s">
        <v>2369</v>
      </c>
    </row>
    <row r="1234" spans="1:27" ht="14.25" x14ac:dyDescent="0.45">
      <c r="A1234" s="12" t="s">
        <v>1437</v>
      </c>
      <c r="B1234" s="12" t="s">
        <v>1971</v>
      </c>
      <c r="C1234" s="12" t="s">
        <v>1981</v>
      </c>
      <c r="D1234" s="12" t="s">
        <v>1974</v>
      </c>
      <c r="E1234" s="20">
        <v>34877</v>
      </c>
      <c r="F1234" s="20">
        <v>44334</v>
      </c>
      <c r="G1234" s="12">
        <v>0.36</v>
      </c>
      <c r="H1234" s="12">
        <v>7.56666666666667</v>
      </c>
      <c r="I1234" s="13">
        <v>4.7577092511013198E-2</v>
      </c>
      <c r="J1234" s="12" t="s">
        <v>1437</v>
      </c>
      <c r="K1234" s="14">
        <v>1616</v>
      </c>
      <c r="L1234" s="14">
        <v>1269</v>
      </c>
      <c r="M1234" s="14">
        <v>1718</v>
      </c>
      <c r="N1234" s="12">
        <v>0.36</v>
      </c>
      <c r="O1234" s="12" t="s">
        <v>1437</v>
      </c>
      <c r="P1234" s="12">
        <v>5.7910865526144299E-5</v>
      </c>
      <c r="Q1234" s="12">
        <v>2.1664358566122701E-4</v>
      </c>
      <c r="R1234" s="12">
        <v>0.114415322580645</v>
      </c>
      <c r="S1234" s="14">
        <v>27</v>
      </c>
      <c r="T1234" s="12">
        <v>1.5711881561057101E-2</v>
      </c>
      <c r="U1234" s="14">
        <v>1714</v>
      </c>
      <c r="V1234" s="14">
        <v>2</v>
      </c>
      <c r="W1234" s="12">
        <v>5.5999999999999999E-3</v>
      </c>
      <c r="X1234" s="12">
        <v>2.1311881561057101E-2</v>
      </c>
      <c r="Y1234" s="14">
        <v>1713</v>
      </c>
      <c r="Z1234" s="14">
        <v>27</v>
      </c>
      <c r="AA1234" s="12" t="s">
        <v>2367</v>
      </c>
    </row>
    <row r="1235" spans="1:27" ht="14.25" x14ac:dyDescent="0.45">
      <c r="A1235" s="12" t="s">
        <v>1457</v>
      </c>
      <c r="B1235" s="12" t="s">
        <v>1971</v>
      </c>
      <c r="C1235" s="12" t="s">
        <v>1981</v>
      </c>
      <c r="D1235" s="12" t="s">
        <v>1990</v>
      </c>
      <c r="E1235" s="20">
        <v>31206</v>
      </c>
      <c r="F1235" s="20">
        <v>44373</v>
      </c>
      <c r="G1235" s="12">
        <v>1.58</v>
      </c>
      <c r="H1235" s="12">
        <v>6.2666666666666702</v>
      </c>
      <c r="I1235" s="13">
        <v>0.25212765957446798</v>
      </c>
      <c r="J1235" s="12" t="s">
        <v>1457</v>
      </c>
      <c r="K1235" s="14">
        <v>1273</v>
      </c>
      <c r="L1235" s="14">
        <v>1629</v>
      </c>
      <c r="M1235" s="14">
        <v>1470</v>
      </c>
      <c r="N1235" s="12">
        <v>1.58</v>
      </c>
      <c r="O1235" s="12" t="s">
        <v>1457</v>
      </c>
      <c r="P1235" s="12">
        <v>2.5416435425363302E-4</v>
      </c>
      <c r="Q1235" s="12">
        <v>1.1480701600658401E-3</v>
      </c>
      <c r="R1235" s="12">
        <v>9.4758064516129004E-2</v>
      </c>
      <c r="S1235" s="14">
        <v>37</v>
      </c>
      <c r="T1235" s="12">
        <v>8.1285548288625997E-2</v>
      </c>
      <c r="U1235" s="14">
        <v>1349</v>
      </c>
      <c r="V1235" s="14">
        <v>1</v>
      </c>
      <c r="W1235" s="12">
        <v>5.4999999999999997E-3</v>
      </c>
      <c r="X1235" s="12">
        <v>8.6785548288626002E-2</v>
      </c>
      <c r="Y1235" s="14">
        <v>1349</v>
      </c>
      <c r="Z1235" s="14">
        <v>37</v>
      </c>
      <c r="AA1235" s="12" t="s">
        <v>2369</v>
      </c>
    </row>
    <row r="1236" spans="1:27" ht="14.25" x14ac:dyDescent="0.45">
      <c r="A1236" s="12" t="s">
        <v>1483</v>
      </c>
      <c r="B1236" s="12" t="s">
        <v>1971</v>
      </c>
      <c r="C1236" s="12" t="s">
        <v>1981</v>
      </c>
      <c r="D1236" s="12" t="s">
        <v>1975</v>
      </c>
      <c r="E1236" s="20">
        <v>31049</v>
      </c>
      <c r="F1236" s="20">
        <v>43606</v>
      </c>
      <c r="G1236" s="12">
        <v>0.53</v>
      </c>
      <c r="H1236" s="12">
        <v>31.8333333333333</v>
      </c>
      <c r="I1236" s="13">
        <v>1.6649214659685899E-2</v>
      </c>
      <c r="J1236" s="12" t="s">
        <v>1483</v>
      </c>
      <c r="K1236" s="14">
        <v>1708</v>
      </c>
      <c r="L1236" s="14">
        <v>246</v>
      </c>
      <c r="M1236" s="14">
        <v>1673</v>
      </c>
      <c r="N1236" s="12">
        <v>0.53</v>
      </c>
      <c r="O1236" s="12" t="s">
        <v>1483</v>
      </c>
      <c r="P1236" s="12">
        <v>8.5257663135712494E-5</v>
      </c>
      <c r="Q1236" s="12">
        <v>7.5812652096865206E-5</v>
      </c>
      <c r="R1236" s="12">
        <v>0.48135080645161299</v>
      </c>
      <c r="S1236" s="14">
        <v>37</v>
      </c>
      <c r="T1236" s="12">
        <v>7.9354531236432903E-3</v>
      </c>
      <c r="U1236" s="14">
        <v>1777</v>
      </c>
      <c r="V1236" s="14">
        <v>1</v>
      </c>
      <c r="W1236" s="12">
        <v>5.4999999999999997E-3</v>
      </c>
      <c r="X1236" s="12">
        <v>1.34354531236433E-2</v>
      </c>
      <c r="Y1236" s="14">
        <v>1778</v>
      </c>
      <c r="Z1236" s="14">
        <v>37</v>
      </c>
      <c r="AA1236" s="12" t="s">
        <v>2369</v>
      </c>
    </row>
    <row r="1237" spans="1:27" ht="14.25" x14ac:dyDescent="0.45">
      <c r="A1237" s="12" t="s">
        <v>1498</v>
      </c>
      <c r="B1237" s="12" t="s">
        <v>1971</v>
      </c>
      <c r="C1237" s="12" t="s">
        <v>1981</v>
      </c>
      <c r="D1237" s="12" t="s">
        <v>1993</v>
      </c>
      <c r="E1237" s="20">
        <v>34220</v>
      </c>
      <c r="F1237" s="20">
        <v>44373</v>
      </c>
      <c r="G1237" s="12">
        <v>3.6</v>
      </c>
      <c r="H1237" s="12">
        <v>6.2666666666666702</v>
      </c>
      <c r="I1237" s="13">
        <v>0.57446808510638303</v>
      </c>
      <c r="J1237" s="12" t="s">
        <v>1498</v>
      </c>
      <c r="K1237" s="14">
        <v>1008</v>
      </c>
      <c r="L1237" s="14">
        <v>1629</v>
      </c>
      <c r="M1237" s="14">
        <v>1155</v>
      </c>
      <c r="N1237" s="12">
        <v>3.6</v>
      </c>
      <c r="O1237" s="12" t="s">
        <v>1498</v>
      </c>
      <c r="P1237" s="12">
        <v>5.7910865526144303E-4</v>
      </c>
      <c r="Q1237" s="12">
        <v>2.6158560609094998E-3</v>
      </c>
      <c r="R1237" s="12">
        <v>9.4758064516129004E-2</v>
      </c>
      <c r="S1237" s="14">
        <v>29</v>
      </c>
      <c r="T1237" s="12">
        <v>0.185207578379148</v>
      </c>
      <c r="U1237" s="14">
        <v>1074</v>
      </c>
      <c r="V1237" s="14">
        <v>1</v>
      </c>
      <c r="W1237" s="12">
        <v>5.4999999999999997E-3</v>
      </c>
      <c r="X1237" s="12">
        <v>0.19070757837914801</v>
      </c>
      <c r="Y1237" s="14">
        <v>1074</v>
      </c>
      <c r="Z1237" s="14">
        <v>28</v>
      </c>
      <c r="AA1237" s="12" t="s">
        <v>2367</v>
      </c>
    </row>
    <row r="1238" spans="1:27" ht="14.25" x14ac:dyDescent="0.45">
      <c r="A1238" s="12" t="s">
        <v>1520</v>
      </c>
      <c r="B1238" s="12" t="s">
        <v>1971</v>
      </c>
      <c r="C1238" s="12" t="s">
        <v>1981</v>
      </c>
      <c r="D1238" s="12" t="s">
        <v>1983</v>
      </c>
      <c r="E1238" s="20">
        <v>34446</v>
      </c>
      <c r="F1238" s="20">
        <v>44334</v>
      </c>
      <c r="G1238" s="12">
        <v>1.37</v>
      </c>
      <c r="H1238" s="12">
        <v>7.56666666666667</v>
      </c>
      <c r="I1238" s="13">
        <v>0.181057268722467</v>
      </c>
      <c r="J1238" s="12" t="s">
        <v>1520</v>
      </c>
      <c r="K1238" s="14">
        <v>1367</v>
      </c>
      <c r="L1238" s="14">
        <v>1269</v>
      </c>
      <c r="M1238" s="14">
        <v>1494</v>
      </c>
      <c r="N1238" s="12">
        <v>1.37</v>
      </c>
      <c r="O1238" s="12" t="s">
        <v>1520</v>
      </c>
      <c r="P1238" s="12">
        <v>2.20383016030049E-4</v>
      </c>
      <c r="Q1238" s="12">
        <v>8.2444920098855901E-4</v>
      </c>
      <c r="R1238" s="12">
        <v>0.114415322580645</v>
      </c>
      <c r="S1238" s="14">
        <v>28</v>
      </c>
      <c r="T1238" s="12">
        <v>5.9792438162911798E-2</v>
      </c>
      <c r="U1238" s="14">
        <v>1481</v>
      </c>
      <c r="V1238" s="14">
        <v>1</v>
      </c>
      <c r="W1238" s="12">
        <v>5.4999999999999997E-3</v>
      </c>
      <c r="X1238" s="12">
        <v>6.5292438162911803E-2</v>
      </c>
      <c r="Y1238" s="14">
        <v>1481</v>
      </c>
      <c r="Z1238" s="14">
        <v>28</v>
      </c>
      <c r="AA1238" s="12" t="s">
        <v>2367</v>
      </c>
    </row>
    <row r="1239" spans="1:27" ht="14.25" x14ac:dyDescent="0.45">
      <c r="A1239" s="12" t="s">
        <v>1742</v>
      </c>
      <c r="B1239" s="12" t="s">
        <v>1971</v>
      </c>
      <c r="C1239" s="12" t="s">
        <v>1981</v>
      </c>
      <c r="D1239" s="12" t="s">
        <v>1990</v>
      </c>
      <c r="E1239" s="20">
        <v>30827</v>
      </c>
      <c r="F1239" s="20">
        <v>44406</v>
      </c>
      <c r="G1239" s="12">
        <v>0.06</v>
      </c>
      <c r="H1239" s="12">
        <v>5.1666666666666696</v>
      </c>
      <c r="I1239" s="13">
        <v>1.1612903225806499E-2</v>
      </c>
      <c r="J1239" s="12" t="s">
        <v>1742</v>
      </c>
      <c r="K1239" s="14">
        <v>1732</v>
      </c>
      <c r="L1239" s="14">
        <v>1715</v>
      </c>
      <c r="M1239" s="14">
        <v>1867</v>
      </c>
      <c r="N1239" s="12">
        <v>0.06</v>
      </c>
      <c r="O1239" s="12" t="s">
        <v>1742</v>
      </c>
      <c r="P1239" s="12">
        <v>9.6518109210240504E-6</v>
      </c>
      <c r="Q1239" s="12">
        <v>5.28796709087082E-5</v>
      </c>
      <c r="R1239" s="12">
        <v>7.8125E-2</v>
      </c>
      <c r="S1239" s="14">
        <v>38</v>
      </c>
      <c r="T1239" s="12">
        <v>3.66692234133266E-3</v>
      </c>
      <c r="U1239" s="14">
        <v>1844</v>
      </c>
      <c r="V1239" s="14">
        <v>1</v>
      </c>
      <c r="W1239" s="12">
        <v>5.4999999999999997E-3</v>
      </c>
      <c r="X1239" s="12">
        <v>9.1669223413326593E-3</v>
      </c>
      <c r="Y1239" s="14">
        <v>1844</v>
      </c>
      <c r="Z1239" s="14">
        <v>38</v>
      </c>
      <c r="AA1239" s="12" t="s">
        <v>2369</v>
      </c>
    </row>
    <row r="1240" spans="1:27" ht="14.25" x14ac:dyDescent="0.45">
      <c r="A1240" s="12" t="s">
        <v>1744</v>
      </c>
      <c r="B1240" s="12" t="s">
        <v>1971</v>
      </c>
      <c r="C1240" s="12" t="s">
        <v>1981</v>
      </c>
      <c r="D1240" s="12" t="s">
        <v>1982</v>
      </c>
      <c r="E1240" s="20">
        <v>35348</v>
      </c>
      <c r="F1240" s="20">
        <v>44445</v>
      </c>
      <c r="G1240" s="12">
        <v>8.39</v>
      </c>
      <c r="H1240" s="12">
        <v>3.8666666666666698</v>
      </c>
      <c r="I1240" s="13">
        <v>2.1698275862069001</v>
      </c>
      <c r="J1240" s="12" t="s">
        <v>1744</v>
      </c>
      <c r="K1240" s="14">
        <v>633</v>
      </c>
      <c r="L1240" s="14">
        <v>1864</v>
      </c>
      <c r="M1240" s="14">
        <v>881</v>
      </c>
      <c r="N1240" s="12">
        <v>8.39</v>
      </c>
      <c r="O1240" s="12" t="s">
        <v>1744</v>
      </c>
      <c r="P1240" s="12">
        <v>1.3496448937898599E-3</v>
      </c>
      <c r="Q1240" s="12">
        <v>9.8803689702915993E-3</v>
      </c>
      <c r="R1240" s="12">
        <v>5.8467741935483902E-2</v>
      </c>
      <c r="S1240" s="14">
        <v>26</v>
      </c>
      <c r="T1240" s="12">
        <v>0.66813474416034502</v>
      </c>
      <c r="U1240" s="14">
        <v>733</v>
      </c>
      <c r="V1240" s="14">
        <v>1</v>
      </c>
      <c r="W1240" s="12">
        <v>5.4999999999999997E-3</v>
      </c>
      <c r="X1240" s="12">
        <v>0.67363474416034497</v>
      </c>
      <c r="Y1240" s="14">
        <v>733</v>
      </c>
      <c r="Z1240" s="14">
        <v>25</v>
      </c>
      <c r="AA1240" s="12" t="s">
        <v>2367</v>
      </c>
    </row>
    <row r="1241" spans="1:27" ht="14.25" x14ac:dyDescent="0.45">
      <c r="A1241" s="12" t="s">
        <v>1789</v>
      </c>
      <c r="B1241" s="12" t="s">
        <v>1971</v>
      </c>
      <c r="C1241" s="12" t="s">
        <v>1981</v>
      </c>
      <c r="D1241" s="12" t="s">
        <v>1993</v>
      </c>
      <c r="E1241" s="20">
        <v>27656</v>
      </c>
      <c r="F1241" s="20">
        <v>44063</v>
      </c>
      <c r="G1241" s="12">
        <v>1</v>
      </c>
      <c r="H1241" s="12">
        <v>16.600000000000001</v>
      </c>
      <c r="I1241" s="13">
        <v>6.02409638554217E-2</v>
      </c>
      <c r="J1241" s="12" t="s">
        <v>1789</v>
      </c>
      <c r="K1241" s="14">
        <v>1581</v>
      </c>
      <c r="L1241" s="14">
        <v>471</v>
      </c>
      <c r="M1241" s="14">
        <v>1549</v>
      </c>
      <c r="N1241" s="12">
        <v>1</v>
      </c>
      <c r="O1241" s="12" t="s">
        <v>1789</v>
      </c>
      <c r="P1241" s="12">
        <v>1.6086351535040099E-4</v>
      </c>
      <c r="Q1241" s="12">
        <v>2.7430886850233501E-4</v>
      </c>
      <c r="R1241" s="12">
        <v>0.251008064516129</v>
      </c>
      <c r="S1241" s="14">
        <v>47</v>
      </c>
      <c r="T1241" s="12">
        <v>2.3176686107036E-2</v>
      </c>
      <c r="U1241" s="14">
        <v>1661</v>
      </c>
      <c r="V1241" s="14">
        <v>1</v>
      </c>
      <c r="W1241" s="12">
        <v>5.4999999999999997E-3</v>
      </c>
      <c r="X1241" s="12">
        <v>2.8676686107036001E-2</v>
      </c>
      <c r="Y1241" s="14">
        <v>1661</v>
      </c>
      <c r="Z1241" s="14">
        <v>46</v>
      </c>
      <c r="AA1241" s="12" t="s">
        <v>2371</v>
      </c>
    </row>
    <row r="1242" spans="1:27" ht="14.25" x14ac:dyDescent="0.45">
      <c r="A1242" s="12" t="s">
        <v>1790</v>
      </c>
      <c r="B1242" s="12" t="s">
        <v>1971</v>
      </c>
      <c r="C1242" s="12" t="s">
        <v>1981</v>
      </c>
      <c r="D1242" s="12" t="s">
        <v>1975</v>
      </c>
      <c r="E1242" s="20">
        <v>29338</v>
      </c>
      <c r="F1242" s="20">
        <v>44336</v>
      </c>
      <c r="G1242" s="12">
        <v>0.01</v>
      </c>
      <c r="H1242" s="12">
        <v>7.5</v>
      </c>
      <c r="I1242" s="13">
        <v>1.33333333333333E-3</v>
      </c>
      <c r="J1242" s="12" t="s">
        <v>1790</v>
      </c>
      <c r="K1242" s="14">
        <v>1820</v>
      </c>
      <c r="L1242" s="14">
        <v>1377</v>
      </c>
      <c r="M1242" s="14">
        <v>1944</v>
      </c>
      <c r="N1242" s="12">
        <v>0.01</v>
      </c>
      <c r="O1242" s="12" t="s">
        <v>1790</v>
      </c>
      <c r="P1242" s="12">
        <v>1.6086351535040101E-6</v>
      </c>
      <c r="Q1242" s="12">
        <v>6.0713696228516799E-6</v>
      </c>
      <c r="R1242" s="12">
        <v>0.113407258064516</v>
      </c>
      <c r="S1242" s="14">
        <v>42</v>
      </c>
      <c r="T1242" s="12">
        <v>4.3978441968463001E-4</v>
      </c>
      <c r="U1242" s="14">
        <v>1937</v>
      </c>
      <c r="V1242" s="14">
        <v>1</v>
      </c>
      <c r="W1242" s="12">
        <v>5.4999999999999997E-3</v>
      </c>
      <c r="X1242" s="12">
        <v>5.93978441968463E-3</v>
      </c>
      <c r="Y1242" s="14">
        <v>1937</v>
      </c>
      <c r="Z1242" s="14">
        <v>42</v>
      </c>
      <c r="AA1242" s="12" t="s">
        <v>2369</v>
      </c>
    </row>
    <row r="1243" spans="1:27" ht="14.25" x14ac:dyDescent="0.45">
      <c r="A1243" s="12" t="s">
        <v>1799</v>
      </c>
      <c r="B1243" s="12" t="s">
        <v>1971</v>
      </c>
      <c r="C1243" s="12" t="s">
        <v>1981</v>
      </c>
      <c r="D1243" s="12" t="s">
        <v>1993</v>
      </c>
      <c r="E1243" s="20">
        <v>33721</v>
      </c>
      <c r="F1243" s="20">
        <v>44336</v>
      </c>
      <c r="G1243" s="12">
        <v>5.0599999999999996</v>
      </c>
      <c r="H1243" s="12">
        <v>7.5</v>
      </c>
      <c r="I1243" s="13">
        <v>0.67466666666666697</v>
      </c>
      <c r="J1243" s="12" t="s">
        <v>1799</v>
      </c>
      <c r="K1243" s="14">
        <v>947</v>
      </c>
      <c r="L1243" s="14">
        <v>1377</v>
      </c>
      <c r="M1243" s="14">
        <v>1032</v>
      </c>
      <c r="N1243" s="12">
        <v>5.0599999999999996</v>
      </c>
      <c r="O1243" s="12" t="s">
        <v>1799</v>
      </c>
      <c r="P1243" s="12">
        <v>8.1396938767302899E-4</v>
      </c>
      <c r="Q1243" s="12">
        <v>3.0721130291629498E-3</v>
      </c>
      <c r="R1243" s="12">
        <v>0.113407258064516</v>
      </c>
      <c r="S1243" s="14">
        <v>30</v>
      </c>
      <c r="T1243" s="12">
        <v>0.22253091636042299</v>
      </c>
      <c r="U1243" s="14">
        <v>1007</v>
      </c>
      <c r="V1243" s="14">
        <v>1</v>
      </c>
      <c r="W1243" s="12">
        <v>5.4999999999999997E-3</v>
      </c>
      <c r="X1243" s="12">
        <v>0.228030916360423</v>
      </c>
      <c r="Y1243" s="14">
        <v>1007</v>
      </c>
      <c r="Z1243" s="14">
        <v>30</v>
      </c>
      <c r="AA1243" s="12" t="s">
        <v>2367</v>
      </c>
    </row>
    <row r="1244" spans="1:27" ht="14.25" x14ac:dyDescent="0.45">
      <c r="A1244" s="12" t="s">
        <v>1806</v>
      </c>
      <c r="B1244" s="12" t="s">
        <v>1971</v>
      </c>
      <c r="C1244" s="12" t="s">
        <v>1981</v>
      </c>
      <c r="D1244" s="12" t="s">
        <v>1974</v>
      </c>
      <c r="E1244" s="20">
        <v>30396</v>
      </c>
      <c r="F1244" s="20">
        <v>44438</v>
      </c>
      <c r="G1244" s="12">
        <v>166.25</v>
      </c>
      <c r="H1244" s="12">
        <v>4.0999999999999996</v>
      </c>
      <c r="I1244" s="13">
        <v>40.548780487804898</v>
      </c>
      <c r="J1244" s="12" t="s">
        <v>1806</v>
      </c>
      <c r="K1244" s="14">
        <v>60</v>
      </c>
      <c r="L1244" s="14">
        <v>1854</v>
      </c>
      <c r="M1244" s="14">
        <v>310</v>
      </c>
      <c r="N1244" s="12">
        <v>166.25</v>
      </c>
      <c r="O1244" s="12" t="s">
        <v>1806</v>
      </c>
      <c r="P1244" s="12">
        <v>2.6743559427004199E-2</v>
      </c>
      <c r="Q1244" s="12">
        <v>0.18463997557300499</v>
      </c>
      <c r="R1244" s="12">
        <v>6.1995967741935498E-2</v>
      </c>
      <c r="S1244" s="14">
        <v>39</v>
      </c>
      <c r="T1244" s="12">
        <v>12.5428819518254</v>
      </c>
      <c r="U1244" s="14">
        <v>82</v>
      </c>
      <c r="V1244" s="14">
        <v>2</v>
      </c>
      <c r="W1244" s="12">
        <v>5.5999999999999999E-3</v>
      </c>
      <c r="X1244" s="12">
        <v>12.5484819518254</v>
      </c>
      <c r="Y1244" s="14">
        <v>82</v>
      </c>
      <c r="Z1244" s="14">
        <v>39</v>
      </c>
      <c r="AA1244" s="12" t="s">
        <v>2369</v>
      </c>
    </row>
    <row r="1245" spans="1:27" ht="14.25" x14ac:dyDescent="0.45">
      <c r="A1245" s="12" t="s">
        <v>1817</v>
      </c>
      <c r="B1245" s="12" t="s">
        <v>1971</v>
      </c>
      <c r="C1245" s="12" t="s">
        <v>1981</v>
      </c>
      <c r="D1245" s="12" t="s">
        <v>1974</v>
      </c>
      <c r="E1245" s="20">
        <v>27451</v>
      </c>
      <c r="F1245" s="20">
        <v>44405</v>
      </c>
      <c r="G1245" s="12">
        <v>0.27</v>
      </c>
      <c r="H1245" s="12">
        <v>5.2</v>
      </c>
      <c r="I1245" s="13">
        <v>5.1923076923076898E-2</v>
      </c>
      <c r="J1245" s="12" t="s">
        <v>1817</v>
      </c>
      <c r="K1245" s="14">
        <v>1602</v>
      </c>
      <c r="L1245" s="14">
        <v>1707</v>
      </c>
      <c r="M1245" s="14">
        <v>1747</v>
      </c>
      <c r="N1245" s="12">
        <v>0.27</v>
      </c>
      <c r="O1245" s="12" t="s">
        <v>1817</v>
      </c>
      <c r="P1245" s="12">
        <v>4.3433149144608199E-5</v>
      </c>
      <c r="Q1245" s="12">
        <v>2.3643314396682E-4</v>
      </c>
      <c r="R1245" s="12">
        <v>7.8629032258064502E-2</v>
      </c>
      <c r="S1245" s="14">
        <v>47</v>
      </c>
      <c r="T1245" s="12">
        <v>1.64058145908491E-2</v>
      </c>
      <c r="U1245" s="14">
        <v>1706</v>
      </c>
      <c r="V1245" s="14">
        <v>1</v>
      </c>
      <c r="W1245" s="12">
        <v>5.4999999999999997E-3</v>
      </c>
      <c r="X1245" s="12">
        <v>2.1905814590849101E-2</v>
      </c>
      <c r="Y1245" s="14">
        <v>1706</v>
      </c>
      <c r="Z1245" s="14">
        <v>47</v>
      </c>
      <c r="AA1245" s="12" t="s">
        <v>2371</v>
      </c>
    </row>
    <row r="1246" spans="1:27" ht="14.25" x14ac:dyDescent="0.45">
      <c r="A1246" s="12" t="s">
        <v>1835</v>
      </c>
      <c r="B1246" s="12" t="s">
        <v>1971</v>
      </c>
      <c r="C1246" s="12" t="s">
        <v>1981</v>
      </c>
      <c r="D1246" s="12" t="s">
        <v>2020</v>
      </c>
      <c r="E1246" s="20">
        <v>33862</v>
      </c>
      <c r="F1246" s="20">
        <v>44414</v>
      </c>
      <c r="G1246" s="12">
        <v>0.12</v>
      </c>
      <c r="H1246" s="12">
        <v>4.9000000000000004</v>
      </c>
      <c r="I1246" s="13">
        <v>2.4489795918367301E-2</v>
      </c>
      <c r="J1246" s="12" t="s">
        <v>1835</v>
      </c>
      <c r="K1246" s="14">
        <v>1671</v>
      </c>
      <c r="L1246" s="14">
        <v>1748</v>
      </c>
      <c r="M1246" s="14">
        <v>1818</v>
      </c>
      <c r="N1246" s="12">
        <v>0.12</v>
      </c>
      <c r="O1246" s="12" t="s">
        <v>1835</v>
      </c>
      <c r="P1246" s="12">
        <v>1.9303621842048101E-5</v>
      </c>
      <c r="Q1246" s="12">
        <v>1.1151495225645901E-4</v>
      </c>
      <c r="R1246" s="12">
        <v>7.4092741935483902E-2</v>
      </c>
      <c r="S1246" s="14">
        <v>30</v>
      </c>
      <c r="T1246" s="12">
        <v>7.69357033510552E-3</v>
      </c>
      <c r="U1246" s="14">
        <v>1780</v>
      </c>
      <c r="V1246" s="14">
        <v>2</v>
      </c>
      <c r="W1246" s="12">
        <v>5.5999999999999999E-3</v>
      </c>
      <c r="X1246" s="12">
        <v>1.32935703351055E-2</v>
      </c>
      <c r="Y1246" s="14">
        <v>1780</v>
      </c>
      <c r="Z1246" s="14">
        <v>29</v>
      </c>
      <c r="AA1246" s="12" t="s">
        <v>2367</v>
      </c>
    </row>
    <row r="1247" spans="1:27" ht="14.25" x14ac:dyDescent="0.45">
      <c r="A1247" s="12" t="s">
        <v>1843</v>
      </c>
      <c r="B1247" s="12" t="s">
        <v>1971</v>
      </c>
      <c r="C1247" s="12" t="s">
        <v>1981</v>
      </c>
      <c r="D1247" s="12" t="s">
        <v>1974</v>
      </c>
      <c r="E1247" s="20">
        <v>34093</v>
      </c>
      <c r="F1247" s="20">
        <v>44452</v>
      </c>
      <c r="G1247" s="12">
        <v>38.75</v>
      </c>
      <c r="H1247" s="12">
        <v>3.6333333333333302</v>
      </c>
      <c r="I1247" s="13">
        <v>10.665137614678899</v>
      </c>
      <c r="J1247" s="12" t="s">
        <v>1843</v>
      </c>
      <c r="K1247" s="14">
        <v>270</v>
      </c>
      <c r="L1247" s="14">
        <v>1872</v>
      </c>
      <c r="M1247" s="14">
        <v>526</v>
      </c>
      <c r="N1247" s="12">
        <v>38.75</v>
      </c>
      <c r="O1247" s="12" t="s">
        <v>1843</v>
      </c>
      <c r="P1247" s="12">
        <v>6.2334612198280404E-3</v>
      </c>
      <c r="Q1247" s="12">
        <v>4.8563994402970698E-2</v>
      </c>
      <c r="R1247" s="12">
        <v>5.4939516129032299E-2</v>
      </c>
      <c r="S1247" s="14">
        <v>29</v>
      </c>
      <c r="T1247" s="12">
        <v>3.26900444592922</v>
      </c>
      <c r="U1247" s="14">
        <v>356</v>
      </c>
      <c r="V1247" s="14">
        <v>2</v>
      </c>
      <c r="W1247" s="12">
        <v>5.5999999999999999E-3</v>
      </c>
      <c r="X1247" s="12">
        <v>3.2746044459292198</v>
      </c>
      <c r="Y1247" s="14">
        <v>356</v>
      </c>
      <c r="Z1247" s="14">
        <v>29</v>
      </c>
      <c r="AA1247" s="12" t="s">
        <v>2367</v>
      </c>
    </row>
    <row r="1248" spans="1:27" ht="14.25" x14ac:dyDescent="0.45">
      <c r="A1248" s="12" t="s">
        <v>1844</v>
      </c>
      <c r="B1248" s="12" t="s">
        <v>1971</v>
      </c>
      <c r="C1248" s="12" t="s">
        <v>1981</v>
      </c>
      <c r="D1248" s="12" t="s">
        <v>1975</v>
      </c>
      <c r="E1248" s="20">
        <v>31715</v>
      </c>
      <c r="F1248" s="20">
        <v>44489</v>
      </c>
      <c r="G1248" s="12">
        <v>6.45</v>
      </c>
      <c r="H1248" s="12">
        <v>2.4</v>
      </c>
      <c r="I1248" s="13">
        <v>2.6875</v>
      </c>
      <c r="J1248" s="12" t="s">
        <v>1844</v>
      </c>
      <c r="K1248" s="14">
        <v>576</v>
      </c>
      <c r="L1248" s="14">
        <v>1915</v>
      </c>
      <c r="M1248" s="14">
        <v>940</v>
      </c>
      <c r="N1248" s="12">
        <v>6.45</v>
      </c>
      <c r="O1248" s="12" t="s">
        <v>1844</v>
      </c>
      <c r="P1248" s="12">
        <v>1.03756967401009E-3</v>
      </c>
      <c r="Q1248" s="12">
        <v>1.2237604396060401E-2</v>
      </c>
      <c r="R1248" s="12">
        <v>3.6290322580645198E-2</v>
      </c>
      <c r="S1248" s="14">
        <v>36</v>
      </c>
      <c r="T1248" s="12">
        <v>0.80375913752915396</v>
      </c>
      <c r="U1248" s="14">
        <v>667</v>
      </c>
      <c r="V1248" s="14">
        <v>1</v>
      </c>
      <c r="W1248" s="12">
        <v>5.4999999999999997E-3</v>
      </c>
      <c r="X1248" s="12">
        <v>0.80925913752915402</v>
      </c>
      <c r="Y1248" s="14">
        <v>667</v>
      </c>
      <c r="Z1248" s="14">
        <v>35</v>
      </c>
      <c r="AA1248" s="12" t="s">
        <v>2369</v>
      </c>
    </row>
    <row r="1249" spans="1:27" ht="14.25" x14ac:dyDescent="0.45">
      <c r="A1249" s="12" t="s">
        <v>1854</v>
      </c>
      <c r="B1249" s="12" t="s">
        <v>1971</v>
      </c>
      <c r="C1249" s="12" t="s">
        <v>1981</v>
      </c>
      <c r="D1249" s="12" t="s">
        <v>1975</v>
      </c>
      <c r="E1249" s="20">
        <v>28733</v>
      </c>
      <c r="F1249" s="20">
        <v>43882</v>
      </c>
      <c r="G1249" s="12">
        <v>43.13</v>
      </c>
      <c r="H1249" s="12">
        <v>22.633333333333301</v>
      </c>
      <c r="I1249" s="13">
        <v>1.9055964653902799</v>
      </c>
      <c r="J1249" s="12" t="s">
        <v>1854</v>
      </c>
      <c r="K1249" s="14">
        <v>669</v>
      </c>
      <c r="L1249" s="14">
        <v>416</v>
      </c>
      <c r="M1249" s="14">
        <v>504</v>
      </c>
      <c r="N1249" s="12">
        <v>43.13</v>
      </c>
      <c r="O1249" s="12" t="s">
        <v>1854</v>
      </c>
      <c r="P1249" s="12">
        <v>6.9380434170627902E-3</v>
      </c>
      <c r="Q1249" s="12">
        <v>8.6771853700380597E-3</v>
      </c>
      <c r="R1249" s="12">
        <v>0.34223790322580599</v>
      </c>
      <c r="S1249" s="14">
        <v>44</v>
      </c>
      <c r="T1249" s="12">
        <v>0.80250071376723298</v>
      </c>
      <c r="U1249" s="14">
        <v>668</v>
      </c>
      <c r="V1249" s="14">
        <v>2</v>
      </c>
      <c r="W1249" s="12">
        <v>5.5999999999999999E-3</v>
      </c>
      <c r="X1249" s="12">
        <v>0.80810071376723303</v>
      </c>
      <c r="Y1249" s="14">
        <v>668</v>
      </c>
      <c r="Z1249" s="14">
        <v>43</v>
      </c>
      <c r="AA1249" s="12" t="s">
        <v>2369</v>
      </c>
    </row>
    <row r="1250" spans="1:27" ht="14.25" x14ac:dyDescent="0.45">
      <c r="A1250" s="12" t="s">
        <v>1856</v>
      </c>
      <c r="B1250" s="12" t="s">
        <v>1971</v>
      </c>
      <c r="C1250" s="12" t="s">
        <v>1981</v>
      </c>
      <c r="D1250" s="12" t="s">
        <v>1993</v>
      </c>
      <c r="E1250" s="20">
        <v>27477</v>
      </c>
      <c r="F1250" s="20">
        <v>44456</v>
      </c>
      <c r="G1250" s="12">
        <v>12.73</v>
      </c>
      <c r="H1250" s="12">
        <v>3.5</v>
      </c>
      <c r="I1250" s="13">
        <v>3.6371428571428601</v>
      </c>
      <c r="J1250" s="12" t="s">
        <v>1856</v>
      </c>
      <c r="K1250" s="14">
        <v>510</v>
      </c>
      <c r="L1250" s="14">
        <v>1878</v>
      </c>
      <c r="M1250" s="14">
        <v>796</v>
      </c>
      <c r="N1250" s="12">
        <v>12.73</v>
      </c>
      <c r="O1250" s="12" t="s">
        <v>1856</v>
      </c>
      <c r="P1250" s="12">
        <v>2.0477925504106E-3</v>
      </c>
      <c r="Q1250" s="12">
        <v>1.6561828992621801E-2</v>
      </c>
      <c r="R1250" s="12">
        <v>5.2923387096774202E-2</v>
      </c>
      <c r="S1250" s="14">
        <v>47</v>
      </c>
      <c r="T1250" s="12">
        <v>1.1119065326792601</v>
      </c>
      <c r="U1250" s="14">
        <v>550</v>
      </c>
      <c r="V1250" s="14">
        <v>1</v>
      </c>
      <c r="W1250" s="12">
        <v>5.4999999999999997E-3</v>
      </c>
      <c r="X1250" s="12">
        <v>1.1174065326792599</v>
      </c>
      <c r="Y1250" s="14">
        <v>550</v>
      </c>
      <c r="Z1250" s="14">
        <v>47</v>
      </c>
      <c r="AA1250" s="12" t="s">
        <v>2371</v>
      </c>
    </row>
    <row r="1251" spans="1:27" ht="14.25" x14ac:dyDescent="0.45">
      <c r="A1251" s="12" t="s">
        <v>1950</v>
      </c>
      <c r="B1251" s="12" t="s">
        <v>1971</v>
      </c>
      <c r="C1251" s="12" t="s">
        <v>1981</v>
      </c>
      <c r="D1251" s="12" t="s">
        <v>1975</v>
      </c>
      <c r="E1251" s="20">
        <v>35527</v>
      </c>
      <c r="F1251" s="20">
        <v>44538</v>
      </c>
      <c r="G1251" s="12">
        <v>11.81</v>
      </c>
      <c r="H1251" s="12">
        <v>0.76666666666666705</v>
      </c>
      <c r="I1251" s="13">
        <v>15.404347826086999</v>
      </c>
      <c r="J1251" s="12" t="s">
        <v>1950</v>
      </c>
      <c r="K1251" s="14">
        <v>184</v>
      </c>
      <c r="L1251" s="14">
        <v>1948</v>
      </c>
      <c r="M1251" s="14">
        <v>813</v>
      </c>
      <c r="N1251" s="12">
        <v>11.81</v>
      </c>
      <c r="O1251" s="12" t="s">
        <v>1950</v>
      </c>
      <c r="P1251" s="12">
        <v>1.89979811628823E-3</v>
      </c>
      <c r="Q1251" s="12">
        <v>7.0144117088359201E-2</v>
      </c>
      <c r="R1251" s="12">
        <v>1.1592741935483901E-2</v>
      </c>
      <c r="S1251" s="14">
        <v>25</v>
      </c>
      <c r="T1251" s="12">
        <v>4.4552497473832604</v>
      </c>
      <c r="U1251" s="14">
        <v>283</v>
      </c>
      <c r="V1251" s="14">
        <v>1</v>
      </c>
      <c r="W1251" s="12">
        <v>5.4999999999999997E-3</v>
      </c>
      <c r="X1251" s="12">
        <v>4.46074974738326</v>
      </c>
      <c r="Y1251" s="14">
        <v>283</v>
      </c>
      <c r="Z1251" s="14">
        <v>25</v>
      </c>
      <c r="AA1251" s="12" t="s">
        <v>2367</v>
      </c>
    </row>
    <row r="1252" spans="1:27" ht="14.25" x14ac:dyDescent="0.45">
      <c r="A1252" s="12" t="s">
        <v>1954</v>
      </c>
      <c r="B1252" s="12" t="s">
        <v>1971</v>
      </c>
      <c r="C1252" s="12" t="s">
        <v>1981</v>
      </c>
      <c r="D1252" s="12" t="s">
        <v>1993</v>
      </c>
      <c r="E1252" s="20">
        <v>24470</v>
      </c>
      <c r="F1252" s="20">
        <v>44476</v>
      </c>
      <c r="G1252" s="12">
        <v>1</v>
      </c>
      <c r="H1252" s="12">
        <v>2.8333333333333299</v>
      </c>
      <c r="I1252" s="13">
        <v>0.35294117647058798</v>
      </c>
      <c r="J1252" s="12" t="s">
        <v>1954</v>
      </c>
      <c r="K1252" s="14">
        <v>1183</v>
      </c>
      <c r="L1252" s="14">
        <v>1891</v>
      </c>
      <c r="M1252" s="14">
        <v>1549</v>
      </c>
      <c r="N1252" s="12">
        <v>1</v>
      </c>
      <c r="O1252" s="12" t="s">
        <v>1954</v>
      </c>
      <c r="P1252" s="12">
        <v>1.6086351535040099E-4</v>
      </c>
      <c r="Q1252" s="12">
        <v>1.6071272531078E-3</v>
      </c>
      <c r="R1252" s="12">
        <v>4.2842741935483902E-2</v>
      </c>
      <c r="S1252" s="14">
        <v>56</v>
      </c>
      <c r="T1252" s="12">
        <v>0.10647783514487701</v>
      </c>
      <c r="U1252" s="14">
        <v>1271</v>
      </c>
      <c r="V1252" s="14">
        <v>1</v>
      </c>
      <c r="W1252" s="12">
        <v>5.4999999999999997E-3</v>
      </c>
      <c r="X1252" s="12">
        <v>0.111977835144877</v>
      </c>
      <c r="Y1252" s="14">
        <v>1271</v>
      </c>
      <c r="Z1252" s="14">
        <v>55</v>
      </c>
      <c r="AA1252" s="12" t="s">
        <v>2371</v>
      </c>
    </row>
    <row r="1253" spans="1:27" ht="14.25" x14ac:dyDescent="0.45">
      <c r="A1253" s="12" t="s">
        <v>15</v>
      </c>
      <c r="B1253" s="12" t="s">
        <v>1971</v>
      </c>
      <c r="C1253" s="12" t="s">
        <v>1974</v>
      </c>
      <c r="D1253" s="12" t="s">
        <v>1982</v>
      </c>
      <c r="E1253" s="20">
        <v>36000</v>
      </c>
      <c r="F1253" s="20">
        <v>43418</v>
      </c>
      <c r="G1253" s="12">
        <v>427.43</v>
      </c>
      <c r="H1253" s="12">
        <v>38.1</v>
      </c>
      <c r="I1253" s="13">
        <v>11.218635170603701</v>
      </c>
      <c r="J1253" s="12" t="s">
        <v>15</v>
      </c>
      <c r="K1253" s="14">
        <v>260</v>
      </c>
      <c r="L1253" s="14">
        <v>209</v>
      </c>
      <c r="M1253" s="14">
        <v>173</v>
      </c>
      <c r="N1253" s="12">
        <v>427.43</v>
      </c>
      <c r="O1253" s="12" t="s">
        <v>15</v>
      </c>
      <c r="P1253" s="12">
        <v>6.8757892366221901E-2</v>
      </c>
      <c r="Q1253" s="12">
        <v>5.1084360588493902E-2</v>
      </c>
      <c r="R1253" s="12">
        <v>0.57610887096774199</v>
      </c>
      <c r="S1253" s="14">
        <v>24</v>
      </c>
      <c r="T1253" s="12">
        <v>5.7711935005141903</v>
      </c>
      <c r="U1253" s="14">
        <v>229</v>
      </c>
      <c r="V1253" s="14">
        <v>7</v>
      </c>
      <c r="W1253" s="12">
        <v>6.1000000000000004E-3</v>
      </c>
      <c r="X1253" s="12">
        <v>5.7772935005141903</v>
      </c>
      <c r="Y1253" s="14">
        <v>229</v>
      </c>
      <c r="Z1253" s="14">
        <v>23</v>
      </c>
      <c r="AA1253" s="12" t="s">
        <v>2370</v>
      </c>
    </row>
    <row r="1254" spans="1:27" ht="14.25" x14ac:dyDescent="0.45">
      <c r="A1254" s="12" t="s">
        <v>76</v>
      </c>
      <c r="B1254" s="12" t="s">
        <v>1971</v>
      </c>
      <c r="C1254" s="12" t="s">
        <v>1974</v>
      </c>
      <c r="D1254" s="12" t="s">
        <v>2026</v>
      </c>
      <c r="E1254" s="20">
        <v>29077</v>
      </c>
      <c r="F1254" s="20">
        <v>42835</v>
      </c>
      <c r="G1254" s="12">
        <v>612.85</v>
      </c>
      <c r="H1254" s="12">
        <v>57.533333333333303</v>
      </c>
      <c r="I1254" s="13">
        <v>10.6520857473928</v>
      </c>
      <c r="J1254" s="12" t="s">
        <v>76</v>
      </c>
      <c r="K1254" s="14">
        <v>272</v>
      </c>
      <c r="L1254" s="14">
        <v>21</v>
      </c>
      <c r="M1254" s="14">
        <v>111</v>
      </c>
      <c r="N1254" s="12">
        <v>612.85</v>
      </c>
      <c r="O1254" s="12" t="s">
        <v>76</v>
      </c>
      <c r="P1254" s="12">
        <v>9.8585205382493199E-2</v>
      </c>
      <c r="Q1254" s="12">
        <v>4.8504562370049097E-2</v>
      </c>
      <c r="R1254" s="12">
        <v>0.86995967741935498</v>
      </c>
      <c r="S1254" s="14">
        <v>43</v>
      </c>
      <c r="T1254" s="12">
        <v>6.7284803499715604</v>
      </c>
      <c r="U1254" s="14">
        <v>196</v>
      </c>
      <c r="V1254" s="14">
        <v>7</v>
      </c>
      <c r="W1254" s="12">
        <v>6.1000000000000004E-3</v>
      </c>
      <c r="X1254" s="12">
        <v>6.7345803499715604</v>
      </c>
      <c r="Y1254" s="14">
        <v>196</v>
      </c>
      <c r="Z1254" s="14">
        <v>42</v>
      </c>
      <c r="AA1254" s="12" t="s">
        <v>2369</v>
      </c>
    </row>
    <row r="1255" spans="1:27" ht="14.25" x14ac:dyDescent="0.45">
      <c r="A1255" s="12" t="s">
        <v>97</v>
      </c>
      <c r="B1255" s="12" t="s">
        <v>1971</v>
      </c>
      <c r="C1255" s="12" t="s">
        <v>1974</v>
      </c>
      <c r="D1255" s="12" t="s">
        <v>1974</v>
      </c>
      <c r="E1255" s="20">
        <v>30340</v>
      </c>
      <c r="F1255" s="20">
        <v>44134</v>
      </c>
      <c r="G1255" s="12">
        <v>418.42</v>
      </c>
      <c r="H1255" s="12">
        <v>14.233333333333301</v>
      </c>
      <c r="I1255" s="13">
        <v>29.397189695550399</v>
      </c>
      <c r="J1255" s="12" t="s">
        <v>97</v>
      </c>
      <c r="K1255" s="14">
        <v>81</v>
      </c>
      <c r="L1255" s="14">
        <v>593</v>
      </c>
      <c r="M1255" s="14">
        <v>178</v>
      </c>
      <c r="N1255" s="12">
        <v>418.42</v>
      </c>
      <c r="O1255" s="12" t="s">
        <v>97</v>
      </c>
      <c r="P1255" s="12">
        <v>6.7308512092914705E-2</v>
      </c>
      <c r="Q1255" s="12">
        <v>0.13386090338608</v>
      </c>
      <c r="R1255" s="12">
        <v>0.21522177419354799</v>
      </c>
      <c r="S1255" s="14">
        <v>39</v>
      </c>
      <c r="T1255" s="12">
        <v>10.8903756651143</v>
      </c>
      <c r="U1255" s="14">
        <v>102</v>
      </c>
      <c r="V1255" s="14">
        <v>8</v>
      </c>
      <c r="W1255" s="12">
        <v>6.1999999999999998E-3</v>
      </c>
      <c r="X1255" s="12">
        <v>10.8965756651143</v>
      </c>
      <c r="Y1255" s="14">
        <v>102</v>
      </c>
      <c r="Z1255" s="14">
        <v>39</v>
      </c>
      <c r="AA1255" s="12" t="s">
        <v>2369</v>
      </c>
    </row>
    <row r="1256" spans="1:27" ht="14.25" x14ac:dyDescent="0.45">
      <c r="A1256" s="12" t="s">
        <v>106</v>
      </c>
      <c r="B1256" s="12" t="s">
        <v>1971</v>
      </c>
      <c r="C1256" s="12" t="s">
        <v>1974</v>
      </c>
      <c r="D1256" s="12" t="s">
        <v>1978</v>
      </c>
      <c r="E1256" s="20">
        <v>28633</v>
      </c>
      <c r="F1256" s="20">
        <v>43349</v>
      </c>
      <c r="G1256" s="12">
        <v>278.24</v>
      </c>
      <c r="H1256" s="12">
        <v>40.4</v>
      </c>
      <c r="I1256" s="13">
        <v>6.8871287128712897</v>
      </c>
      <c r="J1256" s="12" t="s">
        <v>106</v>
      </c>
      <c r="K1256" s="14">
        <v>381</v>
      </c>
      <c r="L1256" s="14">
        <v>184</v>
      </c>
      <c r="M1256" s="14">
        <v>238</v>
      </c>
      <c r="N1256" s="12">
        <v>278.24</v>
      </c>
      <c r="O1256" s="12" t="s">
        <v>106</v>
      </c>
      <c r="P1256" s="12">
        <v>4.47586645110956E-2</v>
      </c>
      <c r="Q1256" s="12">
        <v>3.1360728041997202E-2</v>
      </c>
      <c r="R1256" s="12">
        <v>0.61088709677419395</v>
      </c>
      <c r="S1256" s="14">
        <v>44</v>
      </c>
      <c r="T1256" s="12">
        <v>3.63849542179091</v>
      </c>
      <c r="U1256" s="14">
        <v>333</v>
      </c>
      <c r="V1256" s="14">
        <v>5</v>
      </c>
      <c r="W1256" s="12">
        <v>5.8999999999999999E-3</v>
      </c>
      <c r="X1256" s="12">
        <v>3.64439542179091</v>
      </c>
      <c r="Y1256" s="14">
        <v>333</v>
      </c>
      <c r="Z1256" s="14">
        <v>44</v>
      </c>
      <c r="AA1256" s="12" t="s">
        <v>2369</v>
      </c>
    </row>
    <row r="1257" spans="1:27" ht="14.25" x14ac:dyDescent="0.45">
      <c r="A1257" s="12" t="s">
        <v>153</v>
      </c>
      <c r="B1257" s="12" t="s">
        <v>1971</v>
      </c>
      <c r="C1257" s="12" t="s">
        <v>1974</v>
      </c>
      <c r="D1257" s="12" t="s">
        <v>2070</v>
      </c>
      <c r="E1257" s="20">
        <v>27388</v>
      </c>
      <c r="F1257" s="20">
        <v>44158</v>
      </c>
      <c r="G1257" s="12">
        <v>140.02000000000001</v>
      </c>
      <c r="H1257" s="12">
        <v>13.4333333333333</v>
      </c>
      <c r="I1257" s="13">
        <v>10.423325062034699</v>
      </c>
      <c r="J1257" s="12" t="s">
        <v>153</v>
      </c>
      <c r="K1257" s="14">
        <v>282</v>
      </c>
      <c r="L1257" s="14">
        <v>642</v>
      </c>
      <c r="M1257" s="14">
        <v>333</v>
      </c>
      <c r="N1257" s="12">
        <v>140.02000000000001</v>
      </c>
      <c r="O1257" s="12" t="s">
        <v>153</v>
      </c>
      <c r="P1257" s="12">
        <v>2.25241094193631E-2</v>
      </c>
      <c r="Q1257" s="12">
        <v>4.7462894363059699E-2</v>
      </c>
      <c r="R1257" s="12">
        <v>0.203125</v>
      </c>
      <c r="S1257" s="14">
        <v>48</v>
      </c>
      <c r="T1257" s="12">
        <v>3.81108500091735</v>
      </c>
      <c r="U1257" s="14">
        <v>323</v>
      </c>
      <c r="V1257" s="14">
        <v>4</v>
      </c>
      <c r="W1257" s="12">
        <v>5.7999999999999996E-3</v>
      </c>
      <c r="X1257" s="12">
        <v>3.8168850009173498</v>
      </c>
      <c r="Y1257" s="14">
        <v>323</v>
      </c>
      <c r="Z1257" s="14">
        <v>47</v>
      </c>
      <c r="AA1257" s="12" t="s">
        <v>2371</v>
      </c>
    </row>
    <row r="1258" spans="1:27" ht="14.25" x14ac:dyDescent="0.45">
      <c r="A1258" s="12" t="s">
        <v>154</v>
      </c>
      <c r="B1258" s="12" t="s">
        <v>1971</v>
      </c>
      <c r="C1258" s="12" t="s">
        <v>1974</v>
      </c>
      <c r="D1258" s="12" t="s">
        <v>1975</v>
      </c>
      <c r="E1258" s="20">
        <v>31380</v>
      </c>
      <c r="F1258" s="20">
        <v>43657</v>
      </c>
      <c r="G1258" s="12">
        <v>361.8</v>
      </c>
      <c r="H1258" s="12">
        <v>30.133333333333301</v>
      </c>
      <c r="I1258" s="13">
        <v>12.0066371681416</v>
      </c>
      <c r="J1258" s="12" t="s">
        <v>154</v>
      </c>
      <c r="K1258" s="14">
        <v>245</v>
      </c>
      <c r="L1258" s="14">
        <v>257</v>
      </c>
      <c r="M1258" s="14">
        <v>195</v>
      </c>
      <c r="N1258" s="12">
        <v>361.8</v>
      </c>
      <c r="O1258" s="12" t="s">
        <v>154</v>
      </c>
      <c r="P1258" s="12">
        <v>5.8200419853774998E-2</v>
      </c>
      <c r="Q1258" s="12">
        <v>5.4672549131442601E-2</v>
      </c>
      <c r="R1258" s="12">
        <v>0.45564516129032301</v>
      </c>
      <c r="S1258" s="14">
        <v>37</v>
      </c>
      <c r="T1258" s="12">
        <v>5.5995500652317203</v>
      </c>
      <c r="U1258" s="14">
        <v>238</v>
      </c>
      <c r="V1258" s="14">
        <v>12</v>
      </c>
      <c r="W1258" s="12">
        <v>6.6E-3</v>
      </c>
      <c r="X1258" s="12">
        <v>5.60615006523172</v>
      </c>
      <c r="Y1258" s="14">
        <v>238</v>
      </c>
      <c r="Z1258" s="14">
        <v>36</v>
      </c>
      <c r="AA1258" s="12" t="s">
        <v>2369</v>
      </c>
    </row>
    <row r="1259" spans="1:27" ht="14.25" x14ac:dyDescent="0.45">
      <c r="A1259" s="12" t="s">
        <v>158</v>
      </c>
      <c r="B1259" s="12" t="s">
        <v>1971</v>
      </c>
      <c r="C1259" s="12" t="s">
        <v>1974</v>
      </c>
      <c r="D1259" s="12" t="s">
        <v>1990</v>
      </c>
      <c r="E1259" s="20">
        <v>31817</v>
      </c>
      <c r="F1259" s="20">
        <v>44214</v>
      </c>
      <c r="G1259" s="12">
        <v>0.88</v>
      </c>
      <c r="H1259" s="12">
        <v>11.5666666666667</v>
      </c>
      <c r="I1259" s="13">
        <v>7.6080691642651299E-2</v>
      </c>
      <c r="J1259" s="12" t="s">
        <v>158</v>
      </c>
      <c r="K1259" s="14">
        <v>1548</v>
      </c>
      <c r="L1259" s="14">
        <v>834</v>
      </c>
      <c r="M1259" s="14">
        <v>1583</v>
      </c>
      <c r="N1259" s="12">
        <v>0.88</v>
      </c>
      <c r="O1259" s="12" t="s">
        <v>158</v>
      </c>
      <c r="P1259" s="12">
        <v>1.41559893508353E-4</v>
      </c>
      <c r="Q1259" s="12">
        <v>3.46435500093554E-4</v>
      </c>
      <c r="R1259" s="12">
        <v>0.17489919354838701</v>
      </c>
      <c r="S1259" s="14">
        <v>35</v>
      </c>
      <c r="T1259" s="12">
        <v>2.6960714762410399E-2</v>
      </c>
      <c r="U1259" s="14">
        <v>1647</v>
      </c>
      <c r="V1259" s="14">
        <v>1</v>
      </c>
      <c r="W1259" s="12">
        <v>5.4999999999999997E-3</v>
      </c>
      <c r="X1259" s="12">
        <v>3.24607147624104E-2</v>
      </c>
      <c r="Y1259" s="14">
        <v>1647</v>
      </c>
      <c r="Z1259" s="14">
        <v>35</v>
      </c>
      <c r="AA1259" s="12" t="s">
        <v>2369</v>
      </c>
    </row>
    <row r="1260" spans="1:27" ht="14.25" x14ac:dyDescent="0.45">
      <c r="A1260" s="12" t="s">
        <v>166</v>
      </c>
      <c r="B1260" s="12" t="s">
        <v>1971</v>
      </c>
      <c r="C1260" s="12" t="s">
        <v>1974</v>
      </c>
      <c r="D1260" s="12" t="s">
        <v>1974</v>
      </c>
      <c r="E1260" s="20">
        <v>34409</v>
      </c>
      <c r="F1260" s="20">
        <v>44161</v>
      </c>
      <c r="G1260" s="12">
        <v>0.42</v>
      </c>
      <c r="H1260" s="12">
        <v>13.3333333333333</v>
      </c>
      <c r="I1260" s="13">
        <v>3.15E-2</v>
      </c>
      <c r="J1260" s="12" t="s">
        <v>166</v>
      </c>
      <c r="K1260" s="14">
        <v>1651</v>
      </c>
      <c r="L1260" s="14">
        <v>648</v>
      </c>
      <c r="M1260" s="14">
        <v>1708</v>
      </c>
      <c r="N1260" s="12">
        <v>0.42</v>
      </c>
      <c r="O1260" s="12" t="s">
        <v>166</v>
      </c>
      <c r="P1260" s="12">
        <v>6.7562676447168395E-5</v>
      </c>
      <c r="Q1260" s="12">
        <v>1.43436107339871E-4</v>
      </c>
      <c r="R1260" s="12">
        <v>0.20161290322580599</v>
      </c>
      <c r="S1260" s="14">
        <v>28</v>
      </c>
      <c r="T1260" s="12">
        <v>1.1498357075510701E-2</v>
      </c>
      <c r="U1260" s="14">
        <v>1749</v>
      </c>
      <c r="V1260" s="14">
        <v>1</v>
      </c>
      <c r="W1260" s="12">
        <v>5.4999999999999997E-3</v>
      </c>
      <c r="X1260" s="12">
        <v>1.6998357075510701E-2</v>
      </c>
      <c r="Y1260" s="14">
        <v>1749</v>
      </c>
      <c r="Z1260" s="14">
        <v>28</v>
      </c>
      <c r="AA1260" s="12" t="s">
        <v>2367</v>
      </c>
    </row>
    <row r="1261" spans="1:27" ht="14.25" x14ac:dyDescent="0.45">
      <c r="A1261" s="12" t="s">
        <v>237</v>
      </c>
      <c r="B1261" s="12" t="s">
        <v>1971</v>
      </c>
      <c r="C1261" s="12" t="s">
        <v>1974</v>
      </c>
      <c r="D1261" s="12" t="s">
        <v>1974</v>
      </c>
      <c r="E1261" s="20">
        <v>32982</v>
      </c>
      <c r="F1261" s="20">
        <v>43392</v>
      </c>
      <c r="G1261" s="12">
        <v>855.03</v>
      </c>
      <c r="H1261" s="12">
        <v>38.966666666666697</v>
      </c>
      <c r="I1261" s="13">
        <v>21.942600513259201</v>
      </c>
      <c r="J1261" s="12" t="s">
        <v>237</v>
      </c>
      <c r="K1261" s="14">
        <v>122</v>
      </c>
      <c r="L1261" s="14">
        <v>202</v>
      </c>
      <c r="M1261" s="14">
        <v>68</v>
      </c>
      <c r="N1261" s="12">
        <v>855.03</v>
      </c>
      <c r="O1261" s="12" t="s">
        <v>237</v>
      </c>
      <c r="P1261" s="12">
        <v>0.13754313153005299</v>
      </c>
      <c r="Q1261" s="12">
        <v>9.9916228651928604E-2</v>
      </c>
      <c r="R1261" s="12">
        <v>0.58921370967741904</v>
      </c>
      <c r="S1261" s="14">
        <v>32</v>
      </c>
      <c r="T1261" s="12">
        <v>11.4026317231225</v>
      </c>
      <c r="U1261" s="14">
        <v>93</v>
      </c>
      <c r="V1261" s="14">
        <v>24</v>
      </c>
      <c r="W1261" s="12">
        <v>7.4000000000000003E-3</v>
      </c>
      <c r="X1261" s="12">
        <v>11.410031723122501</v>
      </c>
      <c r="Y1261" s="14">
        <v>93</v>
      </c>
      <c r="Z1261" s="14">
        <v>32</v>
      </c>
      <c r="AA1261" s="12" t="s">
        <v>2367</v>
      </c>
    </row>
    <row r="1262" spans="1:27" ht="14.25" x14ac:dyDescent="0.45">
      <c r="A1262" s="12" t="s">
        <v>254</v>
      </c>
      <c r="B1262" s="12" t="s">
        <v>1971</v>
      </c>
      <c r="C1262" s="12" t="s">
        <v>1974</v>
      </c>
      <c r="D1262" s="12" t="s">
        <v>1982</v>
      </c>
      <c r="E1262" s="20">
        <v>36636</v>
      </c>
      <c r="F1262" s="20">
        <v>44200</v>
      </c>
      <c r="G1262" s="12">
        <v>10.78</v>
      </c>
      <c r="H1262" s="12">
        <v>12.033333333333299</v>
      </c>
      <c r="I1262" s="13">
        <v>0.89584487534626001</v>
      </c>
      <c r="J1262" s="12" t="s">
        <v>254</v>
      </c>
      <c r="K1262" s="14">
        <v>856</v>
      </c>
      <c r="L1262" s="14">
        <v>767</v>
      </c>
      <c r="M1262" s="14">
        <v>830</v>
      </c>
      <c r="N1262" s="12">
        <v>10.78</v>
      </c>
      <c r="O1262" s="12" t="s">
        <v>254</v>
      </c>
      <c r="P1262" s="12">
        <v>1.7341086954773201E-3</v>
      </c>
      <c r="Q1262" s="12">
        <v>4.0792540222234696E-3</v>
      </c>
      <c r="R1262" s="12">
        <v>0.18195564516129001</v>
      </c>
      <c r="S1262" s="14">
        <v>22</v>
      </c>
      <c r="T1262" s="12">
        <v>0.31998245246936702</v>
      </c>
      <c r="U1262" s="14">
        <v>899</v>
      </c>
      <c r="V1262" s="14">
        <v>2</v>
      </c>
      <c r="W1262" s="12">
        <v>5.5999999999999999E-3</v>
      </c>
      <c r="X1262" s="12">
        <v>0.32558245246936701</v>
      </c>
      <c r="Y1262" s="14">
        <v>899</v>
      </c>
      <c r="Z1262" s="14">
        <v>22</v>
      </c>
      <c r="AA1262" s="12" t="s">
        <v>2370</v>
      </c>
    </row>
    <row r="1263" spans="1:27" ht="14.25" x14ac:dyDescent="0.45">
      <c r="A1263" s="12" t="s">
        <v>316</v>
      </c>
      <c r="B1263" s="12" t="s">
        <v>1971</v>
      </c>
      <c r="C1263" s="12" t="s">
        <v>1974</v>
      </c>
      <c r="D1263" s="12" t="s">
        <v>1993</v>
      </c>
      <c r="E1263" s="20">
        <v>36946</v>
      </c>
      <c r="F1263" s="20">
        <v>44137</v>
      </c>
      <c r="G1263" s="12">
        <v>52.06</v>
      </c>
      <c r="H1263" s="12">
        <v>14.133333333333301</v>
      </c>
      <c r="I1263" s="13">
        <v>3.6834905660377402</v>
      </c>
      <c r="J1263" s="12" t="s">
        <v>316</v>
      </c>
      <c r="K1263" s="14">
        <v>507</v>
      </c>
      <c r="L1263" s="14">
        <v>599</v>
      </c>
      <c r="M1263" s="14">
        <v>478</v>
      </c>
      <c r="N1263" s="12">
        <v>52.06</v>
      </c>
      <c r="O1263" s="12" t="s">
        <v>316</v>
      </c>
      <c r="P1263" s="12">
        <v>8.37455460914187E-3</v>
      </c>
      <c r="Q1263" s="12">
        <v>1.6772874546526699E-2</v>
      </c>
      <c r="R1263" s="12">
        <v>0.21370967741935501</v>
      </c>
      <c r="S1263" s="14">
        <v>21</v>
      </c>
      <c r="T1263" s="12">
        <v>1.3623504570007401</v>
      </c>
      <c r="U1263" s="14">
        <v>516</v>
      </c>
      <c r="V1263" s="14">
        <v>2</v>
      </c>
      <c r="W1263" s="12">
        <v>5.5999999999999999E-3</v>
      </c>
      <c r="X1263" s="12">
        <v>1.3679504570007399</v>
      </c>
      <c r="Y1263" s="14">
        <v>516</v>
      </c>
      <c r="Z1263" s="14">
        <v>21</v>
      </c>
      <c r="AA1263" s="12" t="s">
        <v>2370</v>
      </c>
    </row>
    <row r="1264" spans="1:27" ht="14.25" x14ac:dyDescent="0.45">
      <c r="A1264" s="12" t="s">
        <v>326</v>
      </c>
      <c r="B1264" s="12" t="s">
        <v>1971</v>
      </c>
      <c r="C1264" s="12" t="s">
        <v>1974</v>
      </c>
      <c r="D1264" s="12" t="s">
        <v>1975</v>
      </c>
      <c r="E1264" s="20">
        <v>35312</v>
      </c>
      <c r="F1264" s="20">
        <v>43774</v>
      </c>
      <c r="G1264" s="12">
        <v>0.02</v>
      </c>
      <c r="H1264" s="12">
        <v>26.233333333333299</v>
      </c>
      <c r="I1264" s="13">
        <v>7.6238881829733204E-4</v>
      </c>
      <c r="J1264" s="12" t="s">
        <v>326</v>
      </c>
      <c r="K1264" s="14">
        <v>1835</v>
      </c>
      <c r="L1264" s="14">
        <v>360</v>
      </c>
      <c r="M1264" s="14">
        <v>1922</v>
      </c>
      <c r="N1264" s="12">
        <v>0.02</v>
      </c>
      <c r="O1264" s="12" t="s">
        <v>326</v>
      </c>
      <c r="P1264" s="12">
        <v>3.2172703070080202E-6</v>
      </c>
      <c r="Q1264" s="12">
        <v>3.4715582341591501E-6</v>
      </c>
      <c r="R1264" s="12">
        <v>0.39667338709677402</v>
      </c>
      <c r="S1264" s="14">
        <v>26</v>
      </c>
      <c r="T1264" s="12">
        <v>3.3762002614774799E-4</v>
      </c>
      <c r="U1264" s="14">
        <v>1947</v>
      </c>
      <c r="V1264" s="14">
        <v>2</v>
      </c>
      <c r="W1264" s="12">
        <v>5.5999999999999999E-3</v>
      </c>
      <c r="X1264" s="12">
        <v>5.93762002614775E-3</v>
      </c>
      <c r="Y1264" s="14">
        <v>1942</v>
      </c>
      <c r="Z1264" s="14">
        <v>25</v>
      </c>
      <c r="AA1264" s="12" t="s">
        <v>2367</v>
      </c>
    </row>
    <row r="1265" spans="1:27" ht="14.25" x14ac:dyDescent="0.45">
      <c r="A1265" s="12" t="s">
        <v>379</v>
      </c>
      <c r="B1265" s="12" t="s">
        <v>1971</v>
      </c>
      <c r="C1265" s="12" t="s">
        <v>1974</v>
      </c>
      <c r="D1265" s="12" t="s">
        <v>2140</v>
      </c>
      <c r="E1265" s="20">
        <v>29967</v>
      </c>
      <c r="F1265" s="20">
        <v>43727</v>
      </c>
      <c r="G1265" s="12">
        <v>296.69</v>
      </c>
      <c r="H1265" s="12">
        <v>27.8</v>
      </c>
      <c r="I1265" s="13">
        <v>10.6723021582734</v>
      </c>
      <c r="J1265" s="12" t="s">
        <v>379</v>
      </c>
      <c r="K1265" s="14">
        <v>269</v>
      </c>
      <c r="L1265" s="14">
        <v>295</v>
      </c>
      <c r="M1265" s="14">
        <v>227</v>
      </c>
      <c r="N1265" s="12">
        <v>296.69</v>
      </c>
      <c r="O1265" s="12" t="s">
        <v>379</v>
      </c>
      <c r="P1265" s="12">
        <v>4.7726596369310398E-2</v>
      </c>
      <c r="Q1265" s="12">
        <v>4.8596618347226499E-2</v>
      </c>
      <c r="R1265" s="12">
        <v>0.42036290322580599</v>
      </c>
      <c r="S1265" s="14">
        <v>40</v>
      </c>
      <c r="T1265" s="12">
        <v>4.8270360105507999</v>
      </c>
      <c r="U1265" s="14">
        <v>271</v>
      </c>
      <c r="V1265" s="14">
        <v>8</v>
      </c>
      <c r="W1265" s="12">
        <v>6.1999999999999998E-3</v>
      </c>
      <c r="X1265" s="12">
        <v>4.8332360105507997</v>
      </c>
      <c r="Y1265" s="14">
        <v>271</v>
      </c>
      <c r="Z1265" s="14">
        <v>40</v>
      </c>
      <c r="AA1265" s="12" t="s">
        <v>2369</v>
      </c>
    </row>
    <row r="1266" spans="1:27" ht="14.25" x14ac:dyDescent="0.45">
      <c r="A1266" s="12" t="s">
        <v>396</v>
      </c>
      <c r="B1266" s="12" t="s">
        <v>1971</v>
      </c>
      <c r="C1266" s="12" t="s">
        <v>1974</v>
      </c>
      <c r="D1266" s="12" t="s">
        <v>2072</v>
      </c>
      <c r="E1266" s="20">
        <v>31239</v>
      </c>
      <c r="F1266" s="20">
        <v>43335</v>
      </c>
      <c r="G1266" s="12">
        <v>598.70000000000005</v>
      </c>
      <c r="H1266" s="12">
        <v>40.866666666666703</v>
      </c>
      <c r="I1266" s="13">
        <v>14.650081566068501</v>
      </c>
      <c r="J1266" s="12" t="s">
        <v>396</v>
      </c>
      <c r="K1266" s="14">
        <v>192</v>
      </c>
      <c r="L1266" s="14">
        <v>171</v>
      </c>
      <c r="M1266" s="14">
        <v>117</v>
      </c>
      <c r="N1266" s="12">
        <v>598.70000000000005</v>
      </c>
      <c r="O1266" s="12" t="s">
        <v>396</v>
      </c>
      <c r="P1266" s="12">
        <v>9.6308986640285005E-2</v>
      </c>
      <c r="Q1266" s="12">
        <v>6.6709545144395796E-2</v>
      </c>
      <c r="R1266" s="12">
        <v>0.61794354838709697</v>
      </c>
      <c r="S1266" s="14">
        <v>37</v>
      </c>
      <c r="T1266" s="12">
        <v>7.7809335705354199</v>
      </c>
      <c r="U1266" s="14">
        <v>163</v>
      </c>
      <c r="V1266" s="14">
        <v>8</v>
      </c>
      <c r="W1266" s="12">
        <v>6.1999999999999998E-3</v>
      </c>
      <c r="X1266" s="12">
        <v>7.7871335705354197</v>
      </c>
      <c r="Y1266" s="14">
        <v>163</v>
      </c>
      <c r="Z1266" s="14">
        <v>37</v>
      </c>
      <c r="AA1266" s="12" t="s">
        <v>2369</v>
      </c>
    </row>
    <row r="1267" spans="1:27" ht="14.25" x14ac:dyDescent="0.45">
      <c r="A1267" s="12" t="s">
        <v>398</v>
      </c>
      <c r="B1267" s="12" t="s">
        <v>1971</v>
      </c>
      <c r="C1267" s="12" t="s">
        <v>1974</v>
      </c>
      <c r="D1267" s="12" t="s">
        <v>1982</v>
      </c>
      <c r="E1267" s="20">
        <v>36546</v>
      </c>
      <c r="F1267" s="20">
        <v>44203</v>
      </c>
      <c r="G1267" s="12">
        <v>0.9</v>
      </c>
      <c r="H1267" s="12">
        <v>11.9333333333333</v>
      </c>
      <c r="I1267" s="13">
        <v>7.5418994413407797E-2</v>
      </c>
      <c r="J1267" s="12" t="s">
        <v>398</v>
      </c>
      <c r="K1267" s="14">
        <v>1551</v>
      </c>
      <c r="L1267" s="14">
        <v>787</v>
      </c>
      <c r="M1267" s="14">
        <v>1578</v>
      </c>
      <c r="N1267" s="12">
        <v>0.9</v>
      </c>
      <c r="O1267" s="12" t="s">
        <v>398</v>
      </c>
      <c r="P1267" s="12">
        <v>1.44777163815361E-4</v>
      </c>
      <c r="Q1267" s="12">
        <v>3.4342244375068899E-4</v>
      </c>
      <c r="R1267" s="12">
        <v>0.180443548387097</v>
      </c>
      <c r="S1267" s="14">
        <v>22</v>
      </c>
      <c r="T1267" s="12">
        <v>2.6893046377494099E-2</v>
      </c>
      <c r="U1267" s="14">
        <v>1648</v>
      </c>
      <c r="V1267" s="14">
        <v>1</v>
      </c>
      <c r="W1267" s="12">
        <v>5.4999999999999997E-3</v>
      </c>
      <c r="X1267" s="12">
        <v>3.23930463774941E-2</v>
      </c>
      <c r="Y1267" s="14">
        <v>1648</v>
      </c>
      <c r="Z1267" s="14">
        <v>22</v>
      </c>
      <c r="AA1267" s="12" t="s">
        <v>2370</v>
      </c>
    </row>
    <row r="1268" spans="1:27" ht="14.25" x14ac:dyDescent="0.45">
      <c r="A1268" s="12" t="s">
        <v>413</v>
      </c>
      <c r="B1268" s="12" t="s">
        <v>1971</v>
      </c>
      <c r="C1268" s="12" t="s">
        <v>1974</v>
      </c>
      <c r="D1268" s="12" t="s">
        <v>1974</v>
      </c>
      <c r="E1268" s="20">
        <v>32717</v>
      </c>
      <c r="F1268" s="20">
        <v>43868</v>
      </c>
      <c r="G1268" s="12">
        <v>120.61</v>
      </c>
      <c r="H1268" s="12">
        <v>23.1</v>
      </c>
      <c r="I1268" s="13">
        <v>5.2212121212121199</v>
      </c>
      <c r="J1268" s="12" t="s">
        <v>413</v>
      </c>
      <c r="K1268" s="14">
        <v>434</v>
      </c>
      <c r="L1268" s="14">
        <v>406</v>
      </c>
      <c r="M1268" s="14">
        <v>352</v>
      </c>
      <c r="N1268" s="12">
        <v>120.61</v>
      </c>
      <c r="O1268" s="12" t="s">
        <v>413</v>
      </c>
      <c r="P1268" s="12">
        <v>1.9401748586411902E-2</v>
      </c>
      <c r="Q1268" s="12">
        <v>2.3774931500394201E-2</v>
      </c>
      <c r="R1268" s="12">
        <v>0.34929435483871002</v>
      </c>
      <c r="S1268" s="14">
        <v>33</v>
      </c>
      <c r="T1268" s="12">
        <v>2.21349879076508</v>
      </c>
      <c r="U1268" s="14">
        <v>424</v>
      </c>
      <c r="V1268" s="14">
        <v>8</v>
      </c>
      <c r="W1268" s="12">
        <v>6.1999999999999998E-3</v>
      </c>
      <c r="X1268" s="12">
        <v>2.2196987907650798</v>
      </c>
      <c r="Y1268" s="14">
        <v>424</v>
      </c>
      <c r="Z1268" s="14">
        <v>32</v>
      </c>
      <c r="AA1268" s="12" t="s">
        <v>2367</v>
      </c>
    </row>
    <row r="1269" spans="1:27" ht="14.25" x14ac:dyDescent="0.45">
      <c r="A1269" s="12" t="s">
        <v>414</v>
      </c>
      <c r="B1269" s="12" t="s">
        <v>1971</v>
      </c>
      <c r="C1269" s="12" t="s">
        <v>1974</v>
      </c>
      <c r="D1269" s="12" t="s">
        <v>1993</v>
      </c>
      <c r="E1269" s="20">
        <v>33158</v>
      </c>
      <c r="F1269" s="20">
        <v>44138</v>
      </c>
      <c r="G1269" s="12">
        <v>1533.82</v>
      </c>
      <c r="H1269" s="12">
        <v>14.1</v>
      </c>
      <c r="I1269" s="13">
        <v>108.78156028368799</v>
      </c>
      <c r="J1269" s="12" t="s">
        <v>414</v>
      </c>
      <c r="K1269" s="14">
        <v>11</v>
      </c>
      <c r="L1269" s="14">
        <v>606</v>
      </c>
      <c r="M1269" s="14">
        <v>32</v>
      </c>
      <c r="N1269" s="12">
        <v>1533.82</v>
      </c>
      <c r="O1269" s="12" t="s">
        <v>414</v>
      </c>
      <c r="P1269" s="12">
        <v>0.246735677114752</v>
      </c>
      <c r="Q1269" s="12">
        <v>0.495339795474594</v>
      </c>
      <c r="R1269" s="12">
        <v>0.21320564516129001</v>
      </c>
      <c r="S1269" s="14">
        <v>32</v>
      </c>
      <c r="T1269" s="12">
        <v>40.211325108965298</v>
      </c>
      <c r="U1269" s="14">
        <v>16</v>
      </c>
      <c r="V1269" s="14">
        <v>14</v>
      </c>
      <c r="W1269" s="12">
        <v>6.7000000000000002E-3</v>
      </c>
      <c r="X1269" s="12">
        <v>40.2180251089653</v>
      </c>
      <c r="Y1269" s="14">
        <v>16</v>
      </c>
      <c r="Z1269" s="14">
        <v>31</v>
      </c>
      <c r="AA1269" s="12" t="s">
        <v>2367</v>
      </c>
    </row>
    <row r="1270" spans="1:27" ht="14.25" x14ac:dyDescent="0.45">
      <c r="A1270" s="12" t="s">
        <v>416</v>
      </c>
      <c r="B1270" s="12" t="s">
        <v>1971</v>
      </c>
      <c r="C1270" s="12" t="s">
        <v>1974</v>
      </c>
      <c r="D1270" s="12" t="s">
        <v>1993</v>
      </c>
      <c r="E1270" s="20">
        <v>34589</v>
      </c>
      <c r="F1270" s="20">
        <v>44109</v>
      </c>
      <c r="G1270" s="12">
        <v>27.24</v>
      </c>
      <c r="H1270" s="12">
        <v>15.0666666666667</v>
      </c>
      <c r="I1270" s="13">
        <v>1.80796460176991</v>
      </c>
      <c r="J1270" s="12" t="s">
        <v>416</v>
      </c>
      <c r="K1270" s="14">
        <v>688</v>
      </c>
      <c r="L1270" s="14">
        <v>501</v>
      </c>
      <c r="M1270" s="14">
        <v>670</v>
      </c>
      <c r="N1270" s="12">
        <v>27.24</v>
      </c>
      <c r="O1270" s="12" t="s">
        <v>416</v>
      </c>
      <c r="P1270" s="12">
        <v>4.3819221581449198E-3</v>
      </c>
      <c r="Q1270" s="12">
        <v>8.23261602178273E-3</v>
      </c>
      <c r="R1270" s="12">
        <v>0.227822580645161</v>
      </c>
      <c r="S1270" s="14">
        <v>28</v>
      </c>
      <c r="T1270" s="12">
        <v>0.67886058229185497</v>
      </c>
      <c r="U1270" s="14">
        <v>728</v>
      </c>
      <c r="V1270" s="14">
        <v>4</v>
      </c>
      <c r="W1270" s="12">
        <v>5.7999999999999996E-3</v>
      </c>
      <c r="X1270" s="12">
        <v>0.684660582291855</v>
      </c>
      <c r="Y1270" s="14">
        <v>728</v>
      </c>
      <c r="Z1270" s="14">
        <v>27</v>
      </c>
      <c r="AA1270" s="12" t="s">
        <v>2367</v>
      </c>
    </row>
    <row r="1271" spans="1:27" ht="14.25" x14ac:dyDescent="0.45">
      <c r="A1271" s="12" t="s">
        <v>446</v>
      </c>
      <c r="B1271" s="12" t="s">
        <v>1971</v>
      </c>
      <c r="C1271" s="12" t="s">
        <v>1974</v>
      </c>
      <c r="D1271" s="12" t="s">
        <v>1974</v>
      </c>
      <c r="E1271" s="20">
        <v>32096</v>
      </c>
      <c r="F1271" s="20">
        <v>44209</v>
      </c>
      <c r="G1271" s="12">
        <v>270</v>
      </c>
      <c r="H1271" s="12">
        <v>11.733333333333301</v>
      </c>
      <c r="I1271" s="13">
        <v>23.011363636363601</v>
      </c>
      <c r="J1271" s="12" t="s">
        <v>446</v>
      </c>
      <c r="K1271" s="14">
        <v>118</v>
      </c>
      <c r="L1271" s="14">
        <v>812</v>
      </c>
      <c r="M1271" s="14">
        <v>245</v>
      </c>
      <c r="N1271" s="12">
        <v>270</v>
      </c>
      <c r="O1271" s="12" t="s">
        <v>446</v>
      </c>
      <c r="P1271" s="12">
        <v>4.3433149144608198E-2</v>
      </c>
      <c r="Q1271" s="12">
        <v>0.104782870621659</v>
      </c>
      <c r="R1271" s="12">
        <v>0.17741935483870999</v>
      </c>
      <c r="S1271" s="14">
        <v>35</v>
      </c>
      <c r="T1271" s="12">
        <v>8.1776725067764904</v>
      </c>
      <c r="U1271" s="14">
        <v>145</v>
      </c>
      <c r="V1271" s="14">
        <v>7</v>
      </c>
      <c r="W1271" s="12">
        <v>6.1000000000000004E-3</v>
      </c>
      <c r="X1271" s="12">
        <v>8.1837725067764904</v>
      </c>
      <c r="Y1271" s="14">
        <v>145</v>
      </c>
      <c r="Z1271" s="14">
        <v>34</v>
      </c>
      <c r="AA1271" s="12" t="s">
        <v>2367</v>
      </c>
    </row>
    <row r="1272" spans="1:27" ht="14.25" x14ac:dyDescent="0.45">
      <c r="A1272" s="12" t="s">
        <v>447</v>
      </c>
      <c r="B1272" s="12" t="s">
        <v>1971</v>
      </c>
      <c r="C1272" s="12" t="s">
        <v>1974</v>
      </c>
      <c r="D1272" s="12" t="s">
        <v>1982</v>
      </c>
      <c r="E1272" s="20">
        <v>34977</v>
      </c>
      <c r="F1272" s="20">
        <v>44195</v>
      </c>
      <c r="G1272" s="12">
        <v>1.84</v>
      </c>
      <c r="H1272" s="12">
        <v>12.2</v>
      </c>
      <c r="I1272" s="13">
        <v>0.150819672131148</v>
      </c>
      <c r="J1272" s="12" t="s">
        <v>447</v>
      </c>
      <c r="K1272" s="14">
        <v>1412</v>
      </c>
      <c r="L1272" s="14">
        <v>761</v>
      </c>
      <c r="M1272" s="14">
        <v>1435</v>
      </c>
      <c r="N1272" s="12">
        <v>1.84</v>
      </c>
      <c r="O1272" s="12" t="s">
        <v>447</v>
      </c>
      <c r="P1272" s="12">
        <v>2.95988868244738E-4</v>
      </c>
      <c r="Q1272" s="12">
        <v>6.8676148192912403E-4</v>
      </c>
      <c r="R1272" s="12">
        <v>0.18447580645161299</v>
      </c>
      <c r="S1272" s="14">
        <v>27</v>
      </c>
      <c r="T1272" s="12">
        <v>5.4022175179747903E-2</v>
      </c>
      <c r="U1272" s="14">
        <v>1502</v>
      </c>
      <c r="V1272" s="14">
        <v>2</v>
      </c>
      <c r="W1272" s="12">
        <v>5.5999999999999999E-3</v>
      </c>
      <c r="X1272" s="12">
        <v>5.9622175179747897E-2</v>
      </c>
      <c r="Y1272" s="14">
        <v>1502</v>
      </c>
      <c r="Z1272" s="14">
        <v>26</v>
      </c>
      <c r="AA1272" s="12" t="s">
        <v>2367</v>
      </c>
    </row>
    <row r="1273" spans="1:27" ht="14.25" x14ac:dyDescent="0.45">
      <c r="A1273" s="12" t="s">
        <v>501</v>
      </c>
      <c r="B1273" s="12" t="s">
        <v>1971</v>
      </c>
      <c r="C1273" s="12" t="s">
        <v>1974</v>
      </c>
      <c r="D1273" s="12" t="s">
        <v>1990</v>
      </c>
      <c r="E1273" s="20">
        <v>30962</v>
      </c>
      <c r="F1273" s="20">
        <v>43903</v>
      </c>
      <c r="G1273" s="12">
        <v>0.02</v>
      </c>
      <c r="H1273" s="12">
        <v>21.933333333333302</v>
      </c>
      <c r="I1273" s="13">
        <v>9.11854103343465E-4</v>
      </c>
      <c r="J1273" s="12" t="s">
        <v>501</v>
      </c>
      <c r="K1273" s="14">
        <v>1830</v>
      </c>
      <c r="L1273" s="14">
        <v>430</v>
      </c>
      <c r="M1273" s="14">
        <v>1922</v>
      </c>
      <c r="N1273" s="12">
        <v>0.02</v>
      </c>
      <c r="O1273" s="12" t="s">
        <v>501</v>
      </c>
      <c r="P1273" s="12">
        <v>3.2172703070080202E-6</v>
      </c>
      <c r="Q1273" s="12">
        <v>4.1521524776341296E-6</v>
      </c>
      <c r="R1273" s="12">
        <v>0.33165322580645201</v>
      </c>
      <c r="S1273" s="14">
        <v>38</v>
      </c>
      <c r="T1273" s="12">
        <v>3.8015716636493398E-4</v>
      </c>
      <c r="U1273" s="14">
        <v>1944</v>
      </c>
      <c r="V1273" s="14">
        <v>1</v>
      </c>
      <c r="W1273" s="12">
        <v>5.4999999999999997E-3</v>
      </c>
      <c r="X1273" s="12">
        <v>5.8801571663649301E-3</v>
      </c>
      <c r="Y1273" s="14">
        <v>1946</v>
      </c>
      <c r="Z1273" s="14">
        <v>37</v>
      </c>
      <c r="AA1273" s="12" t="s">
        <v>2369</v>
      </c>
    </row>
    <row r="1274" spans="1:27" ht="14.25" x14ac:dyDescent="0.45">
      <c r="A1274" s="12" t="s">
        <v>504</v>
      </c>
      <c r="B1274" s="12" t="s">
        <v>1971</v>
      </c>
      <c r="C1274" s="12" t="s">
        <v>1974</v>
      </c>
      <c r="D1274" s="12" t="s">
        <v>1982</v>
      </c>
      <c r="E1274" s="20">
        <v>36951</v>
      </c>
      <c r="F1274" s="20">
        <v>44217</v>
      </c>
      <c r="G1274" s="12">
        <v>22.02</v>
      </c>
      <c r="H1274" s="12">
        <v>11.466666666666701</v>
      </c>
      <c r="I1274" s="13">
        <v>1.9203488372093001</v>
      </c>
      <c r="J1274" s="12" t="s">
        <v>504</v>
      </c>
      <c r="K1274" s="14">
        <v>666</v>
      </c>
      <c r="L1274" s="14">
        <v>851</v>
      </c>
      <c r="M1274" s="14">
        <v>708</v>
      </c>
      <c r="N1274" s="12">
        <v>22.02</v>
      </c>
      <c r="O1274" s="12" t="s">
        <v>504</v>
      </c>
      <c r="P1274" s="12">
        <v>3.5422146080158301E-3</v>
      </c>
      <c r="Q1274" s="12">
        <v>8.7443606966333305E-3</v>
      </c>
      <c r="R1274" s="12">
        <v>0.17338709677419401</v>
      </c>
      <c r="S1274" s="14">
        <v>21</v>
      </c>
      <c r="T1274" s="12">
        <v>0.67935559134017598</v>
      </c>
      <c r="U1274" s="14">
        <v>727</v>
      </c>
      <c r="V1274" s="14">
        <v>2</v>
      </c>
      <c r="W1274" s="12">
        <v>5.5999999999999999E-3</v>
      </c>
      <c r="X1274" s="12">
        <v>0.68495559134017603</v>
      </c>
      <c r="Y1274" s="14">
        <v>727</v>
      </c>
      <c r="Z1274" s="14">
        <v>21</v>
      </c>
      <c r="AA1274" s="12" t="s">
        <v>2370</v>
      </c>
    </row>
    <row r="1275" spans="1:27" ht="14.25" x14ac:dyDescent="0.45">
      <c r="A1275" s="12" t="s">
        <v>545</v>
      </c>
      <c r="B1275" s="12" t="s">
        <v>1971</v>
      </c>
      <c r="C1275" s="12" t="s">
        <v>1974</v>
      </c>
      <c r="D1275" s="12" t="s">
        <v>2072</v>
      </c>
      <c r="E1275" s="20">
        <v>30509</v>
      </c>
      <c r="F1275" s="20">
        <v>43740</v>
      </c>
      <c r="G1275" s="12">
        <v>106.11</v>
      </c>
      <c r="H1275" s="12">
        <v>27.366666666666699</v>
      </c>
      <c r="I1275" s="13">
        <v>3.8773447015834299</v>
      </c>
      <c r="J1275" s="12" t="s">
        <v>545</v>
      </c>
      <c r="K1275" s="14">
        <v>502</v>
      </c>
      <c r="L1275" s="14">
        <v>302</v>
      </c>
      <c r="M1275" s="14">
        <v>374</v>
      </c>
      <c r="N1275" s="12">
        <v>106.11</v>
      </c>
      <c r="O1275" s="12" t="s">
        <v>545</v>
      </c>
      <c r="P1275" s="12">
        <v>1.7069227613830999E-2</v>
      </c>
      <c r="Q1275" s="12">
        <v>1.7655594628888899E-2</v>
      </c>
      <c r="R1275" s="12">
        <v>0.41381048387096803</v>
      </c>
      <c r="S1275" s="14">
        <v>39</v>
      </c>
      <c r="T1275" s="12">
        <v>1.74357069982422</v>
      </c>
      <c r="U1275" s="14">
        <v>462</v>
      </c>
      <c r="V1275" s="14">
        <v>12</v>
      </c>
      <c r="W1275" s="12">
        <v>6.6E-3</v>
      </c>
      <c r="X1275" s="12">
        <v>1.7501706998242199</v>
      </c>
      <c r="Y1275" s="14">
        <v>462</v>
      </c>
      <c r="Z1275" s="14">
        <v>39</v>
      </c>
      <c r="AA1275" s="12" t="s">
        <v>2369</v>
      </c>
    </row>
    <row r="1276" spans="1:27" ht="14.25" x14ac:dyDescent="0.45">
      <c r="A1276" s="12" t="s">
        <v>585</v>
      </c>
      <c r="B1276" s="12" t="s">
        <v>1971</v>
      </c>
      <c r="C1276" s="12" t="s">
        <v>1974</v>
      </c>
      <c r="D1276" s="12" t="s">
        <v>1974</v>
      </c>
      <c r="E1276" s="20">
        <v>32991</v>
      </c>
      <c r="F1276" s="20">
        <v>44194</v>
      </c>
      <c r="G1276" s="12">
        <v>31.88</v>
      </c>
      <c r="H1276" s="12">
        <v>12.233333333333301</v>
      </c>
      <c r="I1276" s="13">
        <v>2.6059945504087199</v>
      </c>
      <c r="J1276" s="12" t="s">
        <v>585</v>
      </c>
      <c r="K1276" s="14">
        <v>586</v>
      </c>
      <c r="L1276" s="14">
        <v>745</v>
      </c>
      <c r="M1276" s="14">
        <v>558</v>
      </c>
      <c r="N1276" s="12">
        <v>31.88</v>
      </c>
      <c r="O1276" s="12" t="s">
        <v>585</v>
      </c>
      <c r="P1276" s="12">
        <v>5.1283288693707799E-3</v>
      </c>
      <c r="Q1276" s="12">
        <v>1.18664671130014E-2</v>
      </c>
      <c r="R1276" s="12">
        <v>0.18497983870967699</v>
      </c>
      <c r="S1276" s="14">
        <v>32</v>
      </c>
      <c r="T1276" s="12">
        <v>0.93396652716399098</v>
      </c>
      <c r="U1276" s="14">
        <v>585</v>
      </c>
      <c r="V1276" s="14">
        <v>4</v>
      </c>
      <c r="W1276" s="12">
        <v>5.7999999999999996E-3</v>
      </c>
      <c r="X1276" s="12">
        <v>0.93976652716399101</v>
      </c>
      <c r="Y1276" s="14">
        <v>585</v>
      </c>
      <c r="Z1276" s="14">
        <v>32</v>
      </c>
      <c r="AA1276" s="12" t="s">
        <v>2367</v>
      </c>
    </row>
    <row r="1277" spans="1:27" ht="14.25" x14ac:dyDescent="0.45">
      <c r="A1277" s="12" t="s">
        <v>606</v>
      </c>
      <c r="B1277" s="12" t="s">
        <v>1971</v>
      </c>
      <c r="C1277" s="12" t="s">
        <v>1974</v>
      </c>
      <c r="D1277" s="12" t="s">
        <v>2072</v>
      </c>
      <c r="E1277" s="20">
        <v>26974</v>
      </c>
      <c r="F1277" s="20">
        <v>43812</v>
      </c>
      <c r="G1277" s="12">
        <v>1257.22</v>
      </c>
      <c r="H1277" s="12">
        <v>24.966666666666701</v>
      </c>
      <c r="I1277" s="13">
        <v>50.355941255006698</v>
      </c>
      <c r="J1277" s="12" t="s">
        <v>606</v>
      </c>
      <c r="K1277" s="14">
        <v>44</v>
      </c>
      <c r="L1277" s="14">
        <v>374</v>
      </c>
      <c r="M1277" s="14">
        <v>38</v>
      </c>
      <c r="N1277" s="12">
        <v>1257.22</v>
      </c>
      <c r="O1277" s="12" t="s">
        <v>606</v>
      </c>
      <c r="P1277" s="12">
        <v>0.20224082876883101</v>
      </c>
      <c r="Q1277" s="12">
        <v>0.229297149049313</v>
      </c>
      <c r="R1277" s="12">
        <v>0.37752016129032301</v>
      </c>
      <c r="S1277" s="14">
        <v>49</v>
      </c>
      <c r="T1277" s="12">
        <v>21.915102894413199</v>
      </c>
      <c r="U1277" s="14">
        <v>47</v>
      </c>
      <c r="V1277" s="14">
        <v>24</v>
      </c>
      <c r="W1277" s="12">
        <v>7.4000000000000003E-3</v>
      </c>
      <c r="X1277" s="12">
        <v>21.922502894413199</v>
      </c>
      <c r="Y1277" s="14">
        <v>47</v>
      </c>
      <c r="Z1277" s="14">
        <v>48</v>
      </c>
      <c r="AA1277" s="12" t="s">
        <v>2371</v>
      </c>
    </row>
    <row r="1278" spans="1:27" ht="14.25" x14ac:dyDescent="0.45">
      <c r="A1278" s="12" t="s">
        <v>622</v>
      </c>
      <c r="B1278" s="12" t="s">
        <v>1971</v>
      </c>
      <c r="C1278" s="12" t="s">
        <v>1974</v>
      </c>
      <c r="D1278" s="12" t="s">
        <v>1982</v>
      </c>
      <c r="E1278" s="20">
        <v>36582</v>
      </c>
      <c r="F1278" s="20">
        <v>44158</v>
      </c>
      <c r="G1278" s="12">
        <v>73.98</v>
      </c>
      <c r="H1278" s="12">
        <v>13.4333333333333</v>
      </c>
      <c r="I1278" s="13">
        <v>5.5071960297766704</v>
      </c>
      <c r="J1278" s="12" t="s">
        <v>622</v>
      </c>
      <c r="K1278" s="14">
        <v>423</v>
      </c>
      <c r="L1278" s="14">
        <v>642</v>
      </c>
      <c r="M1278" s="14">
        <v>417</v>
      </c>
      <c r="N1278" s="12">
        <v>73.98</v>
      </c>
      <c r="O1278" s="12" t="s">
        <v>622</v>
      </c>
      <c r="P1278" s="12">
        <v>1.1900682865622699E-2</v>
      </c>
      <c r="Q1278" s="12">
        <v>2.5077167011706598E-2</v>
      </c>
      <c r="R1278" s="12">
        <v>0.203125</v>
      </c>
      <c r="S1278" s="14">
        <v>22</v>
      </c>
      <c r="T1278" s="12">
        <v>2.0135985456925098</v>
      </c>
      <c r="U1278" s="14">
        <v>438</v>
      </c>
      <c r="V1278" s="14">
        <v>28</v>
      </c>
      <c r="W1278" s="12">
        <v>7.6E-3</v>
      </c>
      <c r="X1278" s="12">
        <v>2.0211985456925099</v>
      </c>
      <c r="Y1278" s="14">
        <v>438</v>
      </c>
      <c r="Z1278" s="14">
        <v>22</v>
      </c>
      <c r="AA1278" s="12" t="s">
        <v>2370</v>
      </c>
    </row>
    <row r="1279" spans="1:27" ht="14.25" x14ac:dyDescent="0.45">
      <c r="A1279" s="12" t="s">
        <v>624</v>
      </c>
      <c r="B1279" s="12" t="s">
        <v>1971</v>
      </c>
      <c r="C1279" s="12" t="s">
        <v>1974</v>
      </c>
      <c r="D1279" s="12" t="s">
        <v>1974</v>
      </c>
      <c r="E1279" s="20">
        <v>32527</v>
      </c>
      <c r="F1279" s="20">
        <v>44267</v>
      </c>
      <c r="G1279" s="12">
        <v>225.96</v>
      </c>
      <c r="H1279" s="12">
        <v>9.8000000000000007</v>
      </c>
      <c r="I1279" s="13">
        <v>23.0571428571429</v>
      </c>
      <c r="J1279" s="12" t="s">
        <v>624</v>
      </c>
      <c r="K1279" s="14">
        <v>117</v>
      </c>
      <c r="L1279" s="14">
        <v>989</v>
      </c>
      <c r="M1279" s="14">
        <v>270</v>
      </c>
      <c r="N1279" s="12">
        <v>225.96</v>
      </c>
      <c r="O1279" s="12" t="s">
        <v>624</v>
      </c>
      <c r="P1279" s="12">
        <v>3.6348719928576599E-2</v>
      </c>
      <c r="Q1279" s="12">
        <v>0.104991327549457</v>
      </c>
      <c r="R1279" s="12">
        <v>0.148185483870968</v>
      </c>
      <c r="S1279" s="14">
        <v>33</v>
      </c>
      <c r="T1279" s="12">
        <v>7.9250349691626498</v>
      </c>
      <c r="U1279" s="14">
        <v>157</v>
      </c>
      <c r="V1279" s="14">
        <v>6</v>
      </c>
      <c r="W1279" s="12">
        <v>6.0000000000000001E-3</v>
      </c>
      <c r="X1279" s="12">
        <v>7.9310349691626501</v>
      </c>
      <c r="Y1279" s="14">
        <v>157</v>
      </c>
      <c r="Z1279" s="14">
        <v>33</v>
      </c>
      <c r="AA1279" s="12" t="s">
        <v>2367</v>
      </c>
    </row>
    <row r="1280" spans="1:27" ht="14.25" x14ac:dyDescent="0.45">
      <c r="A1280" s="12" t="s">
        <v>626</v>
      </c>
      <c r="B1280" s="12" t="s">
        <v>1971</v>
      </c>
      <c r="C1280" s="12" t="s">
        <v>1974</v>
      </c>
      <c r="D1280" s="12" t="s">
        <v>1993</v>
      </c>
      <c r="E1280" s="20">
        <v>34348</v>
      </c>
      <c r="F1280" s="20">
        <v>44124</v>
      </c>
      <c r="G1280" s="12">
        <v>12.61</v>
      </c>
      <c r="H1280" s="12">
        <v>14.5666666666667</v>
      </c>
      <c r="I1280" s="13">
        <v>0.86567505720823801</v>
      </c>
      <c r="J1280" s="12" t="s">
        <v>626</v>
      </c>
      <c r="K1280" s="14">
        <v>869</v>
      </c>
      <c r="L1280" s="14">
        <v>557</v>
      </c>
      <c r="M1280" s="14">
        <v>799</v>
      </c>
      <c r="N1280" s="12">
        <v>12.61</v>
      </c>
      <c r="O1280" s="12" t="s">
        <v>626</v>
      </c>
      <c r="P1280" s="12">
        <v>2.0284889285685599E-3</v>
      </c>
      <c r="Q1280" s="12">
        <v>3.9418749341958602E-3</v>
      </c>
      <c r="R1280" s="12">
        <v>0.22026209677419401</v>
      </c>
      <c r="S1280" s="14">
        <v>28</v>
      </c>
      <c r="T1280" s="12">
        <v>0.32243551820856198</v>
      </c>
      <c r="U1280" s="14">
        <v>896</v>
      </c>
      <c r="V1280" s="14">
        <v>1</v>
      </c>
      <c r="W1280" s="12">
        <v>5.4999999999999997E-3</v>
      </c>
      <c r="X1280" s="12">
        <v>0.32793551820856198</v>
      </c>
      <c r="Y1280" s="14">
        <v>896</v>
      </c>
      <c r="Z1280" s="14">
        <v>28</v>
      </c>
      <c r="AA1280" s="12" t="s">
        <v>2367</v>
      </c>
    </row>
    <row r="1281" spans="1:27" ht="14.25" x14ac:dyDescent="0.45">
      <c r="A1281" s="12" t="s">
        <v>649</v>
      </c>
      <c r="B1281" s="12" t="s">
        <v>1971</v>
      </c>
      <c r="C1281" s="12" t="s">
        <v>1974</v>
      </c>
      <c r="D1281" s="12" t="s">
        <v>1982</v>
      </c>
      <c r="E1281" s="20">
        <v>35879</v>
      </c>
      <c r="F1281" s="20">
        <v>44067</v>
      </c>
      <c r="G1281" s="12">
        <v>15.77</v>
      </c>
      <c r="H1281" s="12">
        <v>16.466666666666701</v>
      </c>
      <c r="I1281" s="13">
        <v>0.95769230769230795</v>
      </c>
      <c r="J1281" s="12" t="s">
        <v>649</v>
      </c>
      <c r="K1281" s="14">
        <v>835</v>
      </c>
      <c r="L1281" s="14">
        <v>474</v>
      </c>
      <c r="M1281" s="14">
        <v>758</v>
      </c>
      <c r="N1281" s="12">
        <v>15.77</v>
      </c>
      <c r="O1281" s="12" t="s">
        <v>649</v>
      </c>
      <c r="P1281" s="12">
        <v>2.5368176370758199E-3</v>
      </c>
      <c r="Q1281" s="12">
        <v>4.3608779887213496E-3</v>
      </c>
      <c r="R1281" s="12">
        <v>0.248991935483871</v>
      </c>
      <c r="S1281" s="14">
        <v>24</v>
      </c>
      <c r="T1281" s="12">
        <v>0.367685535685428</v>
      </c>
      <c r="U1281" s="14">
        <v>859</v>
      </c>
      <c r="V1281" s="14">
        <v>4</v>
      </c>
      <c r="W1281" s="12">
        <v>5.7999999999999996E-3</v>
      </c>
      <c r="X1281" s="12">
        <v>0.37348553568542803</v>
      </c>
      <c r="Y1281" s="14">
        <v>859</v>
      </c>
      <c r="Z1281" s="14">
        <v>24</v>
      </c>
      <c r="AA1281" s="12" t="s">
        <v>2370</v>
      </c>
    </row>
    <row r="1282" spans="1:27" ht="14.25" x14ac:dyDescent="0.45">
      <c r="A1282" s="12" t="s">
        <v>714</v>
      </c>
      <c r="B1282" s="12" t="s">
        <v>1971</v>
      </c>
      <c r="C1282" s="12" t="s">
        <v>1974</v>
      </c>
      <c r="D1282" s="12" t="s">
        <v>1974</v>
      </c>
      <c r="E1282" s="20">
        <v>30608</v>
      </c>
      <c r="F1282" s="20">
        <v>44274</v>
      </c>
      <c r="G1282" s="12">
        <v>1.73</v>
      </c>
      <c r="H1282" s="12">
        <v>9.56666666666667</v>
      </c>
      <c r="I1282" s="13">
        <v>0.18083623693379799</v>
      </c>
      <c r="J1282" s="12" t="s">
        <v>714</v>
      </c>
      <c r="K1282" s="14">
        <v>1368</v>
      </c>
      <c r="L1282" s="14">
        <v>1036</v>
      </c>
      <c r="M1282" s="14">
        <v>1453</v>
      </c>
      <c r="N1282" s="12">
        <v>1.73</v>
      </c>
      <c r="O1282" s="12" t="s">
        <v>714</v>
      </c>
      <c r="P1282" s="12">
        <v>2.7829388155619402E-4</v>
      </c>
      <c r="Q1282" s="12">
        <v>8.2344272672300195E-4</v>
      </c>
      <c r="R1282" s="12">
        <v>0.14465725806451599</v>
      </c>
      <c r="S1282" s="14">
        <v>39</v>
      </c>
      <c r="T1282" s="12">
        <v>6.19011909785449E-2</v>
      </c>
      <c r="U1282" s="14">
        <v>1474</v>
      </c>
      <c r="V1282" s="14">
        <v>1</v>
      </c>
      <c r="W1282" s="12">
        <v>5.4999999999999997E-3</v>
      </c>
      <c r="X1282" s="12">
        <v>6.7401190978544898E-2</v>
      </c>
      <c r="Y1282" s="14">
        <v>1474</v>
      </c>
      <c r="Z1282" s="14">
        <v>38</v>
      </c>
      <c r="AA1282" s="12" t="s">
        <v>2369</v>
      </c>
    </row>
    <row r="1283" spans="1:27" ht="14.25" x14ac:dyDescent="0.45">
      <c r="A1283" s="12" t="s">
        <v>715</v>
      </c>
      <c r="B1283" s="12" t="s">
        <v>1971</v>
      </c>
      <c r="C1283" s="12" t="s">
        <v>1974</v>
      </c>
      <c r="D1283" s="12" t="s">
        <v>1974</v>
      </c>
      <c r="E1283" s="20">
        <v>29855</v>
      </c>
      <c r="F1283" s="20">
        <v>43265</v>
      </c>
      <c r="G1283" s="12">
        <v>875.59</v>
      </c>
      <c r="H1283" s="12">
        <v>43.2</v>
      </c>
      <c r="I1283" s="13">
        <v>20.268287037036998</v>
      </c>
      <c r="J1283" s="12" t="s">
        <v>715</v>
      </c>
      <c r="K1283" s="14">
        <v>132</v>
      </c>
      <c r="L1283" s="14">
        <v>104</v>
      </c>
      <c r="M1283" s="14">
        <v>64</v>
      </c>
      <c r="N1283" s="12">
        <v>875.59</v>
      </c>
      <c r="O1283" s="12" t="s">
        <v>715</v>
      </c>
      <c r="P1283" s="12">
        <v>0.140850485405658</v>
      </c>
      <c r="Q1283" s="12">
        <v>9.2292196667928803E-2</v>
      </c>
      <c r="R1283" s="12">
        <v>0.65322580645161299</v>
      </c>
      <c r="S1283" s="14">
        <v>41</v>
      </c>
      <c r="T1283" s="12">
        <v>11.0501554944577</v>
      </c>
      <c r="U1283" s="14">
        <v>98</v>
      </c>
      <c r="V1283" s="14">
        <v>10</v>
      </c>
      <c r="W1283" s="12">
        <v>6.4000000000000003E-3</v>
      </c>
      <c r="X1283" s="12">
        <v>11.056555494457699</v>
      </c>
      <c r="Y1283" s="14">
        <v>98</v>
      </c>
      <c r="Z1283" s="14">
        <v>40</v>
      </c>
      <c r="AA1283" s="12" t="s">
        <v>2369</v>
      </c>
    </row>
    <row r="1284" spans="1:27" ht="14.25" x14ac:dyDescent="0.45">
      <c r="A1284" s="12" t="s">
        <v>720</v>
      </c>
      <c r="B1284" s="12" t="s">
        <v>1971</v>
      </c>
      <c r="C1284" s="12" t="s">
        <v>1974</v>
      </c>
      <c r="D1284" s="12" t="s">
        <v>1974</v>
      </c>
      <c r="E1284" s="20">
        <v>30376</v>
      </c>
      <c r="F1284" s="20">
        <v>44236</v>
      </c>
      <c r="G1284" s="12">
        <v>12.32</v>
      </c>
      <c r="H1284" s="12">
        <v>10.8333333333333</v>
      </c>
      <c r="I1284" s="13">
        <v>1.1372307692307699</v>
      </c>
      <c r="J1284" s="12" t="s">
        <v>720</v>
      </c>
      <c r="K1284" s="14">
        <v>781</v>
      </c>
      <c r="L1284" s="14">
        <v>893</v>
      </c>
      <c r="M1284" s="14">
        <v>804</v>
      </c>
      <c r="N1284" s="12">
        <v>12.32</v>
      </c>
      <c r="O1284" s="12" t="s">
        <v>720</v>
      </c>
      <c r="P1284" s="12">
        <v>1.9818385091169401E-3</v>
      </c>
      <c r="Q1284" s="12">
        <v>5.1784112598599503E-3</v>
      </c>
      <c r="R1284" s="12">
        <v>0.163810483870968</v>
      </c>
      <c r="S1284" s="14">
        <v>39</v>
      </c>
      <c r="T1284" s="12">
        <v>0.39796964783313199</v>
      </c>
      <c r="U1284" s="14">
        <v>832</v>
      </c>
      <c r="V1284" s="14">
        <v>2</v>
      </c>
      <c r="W1284" s="12">
        <v>5.5999999999999999E-3</v>
      </c>
      <c r="X1284" s="12">
        <v>0.40356964783313198</v>
      </c>
      <c r="Y1284" s="14">
        <v>832</v>
      </c>
      <c r="Z1284" s="14">
        <v>39</v>
      </c>
      <c r="AA1284" s="12" t="s">
        <v>2369</v>
      </c>
    </row>
    <row r="1285" spans="1:27" ht="14.25" x14ac:dyDescent="0.45">
      <c r="A1285" s="12" t="s">
        <v>725</v>
      </c>
      <c r="B1285" s="12" t="s">
        <v>1971</v>
      </c>
      <c r="C1285" s="12" t="s">
        <v>1974</v>
      </c>
      <c r="D1285" s="12" t="s">
        <v>1993</v>
      </c>
      <c r="E1285" s="20">
        <v>31068</v>
      </c>
      <c r="F1285" s="20">
        <v>44267</v>
      </c>
      <c r="G1285" s="12">
        <v>100.62</v>
      </c>
      <c r="H1285" s="12">
        <v>9.8000000000000007</v>
      </c>
      <c r="I1285" s="13">
        <v>10.2673469387755</v>
      </c>
      <c r="J1285" s="12" t="s">
        <v>725</v>
      </c>
      <c r="K1285" s="14">
        <v>289</v>
      </c>
      <c r="L1285" s="14">
        <v>989</v>
      </c>
      <c r="M1285" s="14">
        <v>381</v>
      </c>
      <c r="N1285" s="12">
        <v>100.62</v>
      </c>
      <c r="O1285" s="12" t="s">
        <v>725</v>
      </c>
      <c r="P1285" s="12">
        <v>1.61860869145573E-2</v>
      </c>
      <c r="Q1285" s="12">
        <v>4.6752643733520602E-2</v>
      </c>
      <c r="R1285" s="12">
        <v>0.148185483870968</v>
      </c>
      <c r="S1285" s="14">
        <v>37</v>
      </c>
      <c r="T1285" s="12">
        <v>3.5290184926409398</v>
      </c>
      <c r="U1285" s="14">
        <v>340</v>
      </c>
      <c r="V1285" s="14">
        <v>3</v>
      </c>
      <c r="W1285" s="12">
        <v>5.7000000000000002E-3</v>
      </c>
      <c r="X1285" s="12">
        <v>3.5347184926409398</v>
      </c>
      <c r="Y1285" s="14">
        <v>340</v>
      </c>
      <c r="Z1285" s="14">
        <v>37</v>
      </c>
      <c r="AA1285" s="12" t="s">
        <v>2369</v>
      </c>
    </row>
    <row r="1286" spans="1:27" ht="14.25" x14ac:dyDescent="0.45">
      <c r="A1286" s="12" t="s">
        <v>731</v>
      </c>
      <c r="B1286" s="12" t="s">
        <v>1971</v>
      </c>
      <c r="C1286" s="12" t="s">
        <v>1974</v>
      </c>
      <c r="D1286" s="12" t="s">
        <v>1978</v>
      </c>
      <c r="E1286" s="20">
        <v>32205</v>
      </c>
      <c r="F1286" s="20">
        <v>44280</v>
      </c>
      <c r="G1286" s="12">
        <v>1.72</v>
      </c>
      <c r="H1286" s="12">
        <v>9.3666666666666707</v>
      </c>
      <c r="I1286" s="13">
        <v>0.18362989323843401</v>
      </c>
      <c r="J1286" s="12" t="s">
        <v>731</v>
      </c>
      <c r="K1286" s="14">
        <v>1364</v>
      </c>
      <c r="L1286" s="14">
        <v>1063</v>
      </c>
      <c r="M1286" s="14">
        <v>1455</v>
      </c>
      <c r="N1286" s="12">
        <v>1.72</v>
      </c>
      <c r="O1286" s="12" t="s">
        <v>731</v>
      </c>
      <c r="P1286" s="12">
        <v>2.7668524640269001E-4</v>
      </c>
      <c r="Q1286" s="12">
        <v>8.3616371674149397E-4</v>
      </c>
      <c r="R1286" s="12">
        <v>0.141633064516129</v>
      </c>
      <c r="S1286" s="14">
        <v>34</v>
      </c>
      <c r="T1286" s="12">
        <v>6.2635929036444299E-2</v>
      </c>
      <c r="U1286" s="14">
        <v>1471</v>
      </c>
      <c r="V1286" s="14">
        <v>1</v>
      </c>
      <c r="W1286" s="12">
        <v>5.4999999999999997E-3</v>
      </c>
      <c r="X1286" s="12">
        <v>6.8135929036444304E-2</v>
      </c>
      <c r="Y1286" s="14">
        <v>1471</v>
      </c>
      <c r="Z1286" s="14">
        <v>34</v>
      </c>
      <c r="AA1286" s="12" t="s">
        <v>2367</v>
      </c>
    </row>
    <row r="1287" spans="1:27" ht="14.25" x14ac:dyDescent="0.45">
      <c r="A1287" s="12" t="s">
        <v>742</v>
      </c>
      <c r="B1287" s="12" t="s">
        <v>1971</v>
      </c>
      <c r="C1287" s="12" t="s">
        <v>1974</v>
      </c>
      <c r="D1287" s="12" t="s">
        <v>1982</v>
      </c>
      <c r="E1287" s="20">
        <v>36078</v>
      </c>
      <c r="F1287" s="20">
        <v>44186</v>
      </c>
      <c r="G1287" s="12">
        <v>13.88</v>
      </c>
      <c r="H1287" s="12">
        <v>12.5</v>
      </c>
      <c r="I1287" s="13">
        <v>1.1104000000000001</v>
      </c>
      <c r="J1287" s="12" t="s">
        <v>742</v>
      </c>
      <c r="K1287" s="14">
        <v>789</v>
      </c>
      <c r="L1287" s="14">
        <v>723</v>
      </c>
      <c r="M1287" s="14">
        <v>781</v>
      </c>
      <c r="N1287" s="12">
        <v>13.88</v>
      </c>
      <c r="O1287" s="12" t="s">
        <v>742</v>
      </c>
      <c r="P1287" s="12">
        <v>2.2327855930635598E-3</v>
      </c>
      <c r="Q1287" s="12">
        <v>5.05623662191088E-3</v>
      </c>
      <c r="R1287" s="12">
        <v>0.18901209677419401</v>
      </c>
      <c r="S1287" s="14">
        <v>24</v>
      </c>
      <c r="T1287" s="12">
        <v>0.39974424860931301</v>
      </c>
      <c r="U1287" s="14">
        <v>829</v>
      </c>
      <c r="V1287" s="14">
        <v>4</v>
      </c>
      <c r="W1287" s="12">
        <v>5.7999999999999996E-3</v>
      </c>
      <c r="X1287" s="12">
        <v>0.40554424860931299</v>
      </c>
      <c r="Y1287" s="14">
        <v>829</v>
      </c>
      <c r="Z1287" s="14">
        <v>23</v>
      </c>
      <c r="AA1287" s="12" t="s">
        <v>2370</v>
      </c>
    </row>
    <row r="1288" spans="1:27" ht="14.25" x14ac:dyDescent="0.45">
      <c r="A1288" s="12" t="s">
        <v>754</v>
      </c>
      <c r="B1288" s="12" t="s">
        <v>1971</v>
      </c>
      <c r="C1288" s="12" t="s">
        <v>1974</v>
      </c>
      <c r="D1288" s="12" t="s">
        <v>1974</v>
      </c>
      <c r="E1288" s="20">
        <v>35677</v>
      </c>
      <c r="F1288" s="20">
        <v>44216</v>
      </c>
      <c r="G1288" s="12">
        <v>0.13</v>
      </c>
      <c r="H1288" s="12">
        <v>11.5</v>
      </c>
      <c r="I1288" s="13">
        <v>1.1304347826087E-2</v>
      </c>
      <c r="J1288" s="12" t="s">
        <v>754</v>
      </c>
      <c r="K1288" s="14">
        <v>1735</v>
      </c>
      <c r="L1288" s="14">
        <v>841</v>
      </c>
      <c r="M1288" s="14">
        <v>1815</v>
      </c>
      <c r="N1288" s="12">
        <v>0.13</v>
      </c>
      <c r="O1288" s="12" t="s">
        <v>754</v>
      </c>
      <c r="P1288" s="12">
        <v>2.09122569955521E-5</v>
      </c>
      <c r="Q1288" s="12">
        <v>5.1474655498090298E-5</v>
      </c>
      <c r="R1288" s="12">
        <v>0.17389112903225801</v>
      </c>
      <c r="S1288" s="14">
        <v>25</v>
      </c>
      <c r="T1288" s="12">
        <v>4.00137560596385E-3</v>
      </c>
      <c r="U1288" s="14">
        <v>1837</v>
      </c>
      <c r="V1288" s="14">
        <v>1</v>
      </c>
      <c r="W1288" s="12">
        <v>5.4999999999999997E-3</v>
      </c>
      <c r="X1288" s="12">
        <v>9.5013756059638497E-3</v>
      </c>
      <c r="Y1288" s="14">
        <v>1837</v>
      </c>
      <c r="Z1288" s="14">
        <v>24</v>
      </c>
      <c r="AA1288" s="12" t="s">
        <v>2370</v>
      </c>
    </row>
    <row r="1289" spans="1:27" ht="14.25" x14ac:dyDescent="0.45">
      <c r="A1289" s="12" t="s">
        <v>777</v>
      </c>
      <c r="B1289" s="12" t="s">
        <v>1971</v>
      </c>
      <c r="C1289" s="12" t="s">
        <v>1974</v>
      </c>
      <c r="D1289" s="12" t="s">
        <v>1983</v>
      </c>
      <c r="E1289" s="20">
        <v>35465</v>
      </c>
      <c r="F1289" s="20">
        <v>44151</v>
      </c>
      <c r="G1289" s="12">
        <v>256.94</v>
      </c>
      <c r="H1289" s="12">
        <v>13.6666666666667</v>
      </c>
      <c r="I1289" s="13">
        <v>18.800487804877999</v>
      </c>
      <c r="J1289" s="12" t="s">
        <v>777</v>
      </c>
      <c r="K1289" s="14">
        <v>143</v>
      </c>
      <c r="L1289" s="14">
        <v>625</v>
      </c>
      <c r="M1289" s="14">
        <v>253</v>
      </c>
      <c r="N1289" s="12">
        <v>256.94</v>
      </c>
      <c r="O1289" s="12" t="s">
        <v>777</v>
      </c>
      <c r="P1289" s="12">
        <v>4.1332271634132001E-2</v>
      </c>
      <c r="Q1289" s="12">
        <v>8.5608532914997496E-2</v>
      </c>
      <c r="R1289" s="12">
        <v>0.20665322580645201</v>
      </c>
      <c r="S1289" s="14">
        <v>25</v>
      </c>
      <c r="T1289" s="12">
        <v>6.9004934934672901</v>
      </c>
      <c r="U1289" s="14">
        <v>192</v>
      </c>
      <c r="V1289" s="14">
        <v>12</v>
      </c>
      <c r="W1289" s="12">
        <v>6.6E-3</v>
      </c>
      <c r="X1289" s="12">
        <v>6.9070934934672898</v>
      </c>
      <c r="Y1289" s="14">
        <v>192</v>
      </c>
      <c r="Z1289" s="14">
        <v>25</v>
      </c>
      <c r="AA1289" s="12" t="s">
        <v>2367</v>
      </c>
    </row>
    <row r="1290" spans="1:27" ht="14.25" x14ac:dyDescent="0.45">
      <c r="A1290" s="12" t="s">
        <v>809</v>
      </c>
      <c r="B1290" s="12" t="s">
        <v>1971</v>
      </c>
      <c r="C1290" s="12" t="s">
        <v>1974</v>
      </c>
      <c r="D1290" s="12" t="s">
        <v>1974</v>
      </c>
      <c r="E1290" s="20">
        <v>33047</v>
      </c>
      <c r="F1290" s="20">
        <v>44291</v>
      </c>
      <c r="G1290" s="12">
        <v>15.54</v>
      </c>
      <c r="H1290" s="12">
        <v>9</v>
      </c>
      <c r="I1290" s="13">
        <v>1.7266666666666699</v>
      </c>
      <c r="J1290" s="12" t="s">
        <v>809</v>
      </c>
      <c r="K1290" s="14">
        <v>699</v>
      </c>
      <c r="L1290" s="14">
        <v>1137</v>
      </c>
      <c r="M1290" s="14">
        <v>762</v>
      </c>
      <c r="N1290" s="12">
        <v>15.54</v>
      </c>
      <c r="O1290" s="12" t="s">
        <v>809</v>
      </c>
      <c r="P1290" s="12">
        <v>2.4998190285452299E-3</v>
      </c>
      <c r="Q1290" s="12">
        <v>7.8624236615929197E-3</v>
      </c>
      <c r="R1290" s="12">
        <v>0.13608870967741901</v>
      </c>
      <c r="S1290" s="14">
        <v>32</v>
      </c>
      <c r="T1290" s="12">
        <v>0.585144692420004</v>
      </c>
      <c r="U1290" s="14">
        <v>755</v>
      </c>
      <c r="V1290" s="14">
        <v>2</v>
      </c>
      <c r="W1290" s="12">
        <v>5.5999999999999999E-3</v>
      </c>
      <c r="X1290" s="12">
        <v>0.59074469242000405</v>
      </c>
      <c r="Y1290" s="14">
        <v>755</v>
      </c>
      <c r="Z1290" s="14">
        <v>32</v>
      </c>
      <c r="AA1290" s="12" t="s">
        <v>2367</v>
      </c>
    </row>
    <row r="1291" spans="1:27" ht="14.25" x14ac:dyDescent="0.45">
      <c r="A1291" s="12" t="s">
        <v>812</v>
      </c>
      <c r="B1291" s="12" t="s">
        <v>1971</v>
      </c>
      <c r="C1291" s="12" t="s">
        <v>1974</v>
      </c>
      <c r="D1291" s="12" t="s">
        <v>2091</v>
      </c>
      <c r="E1291" s="20">
        <v>31110</v>
      </c>
      <c r="F1291" s="20">
        <v>44207</v>
      </c>
      <c r="G1291" s="12">
        <v>33.07</v>
      </c>
      <c r="H1291" s="12">
        <v>11.8</v>
      </c>
      <c r="I1291" s="13">
        <v>2.8025423728813599</v>
      </c>
      <c r="J1291" s="12" t="s">
        <v>812</v>
      </c>
      <c r="K1291" s="14">
        <v>569</v>
      </c>
      <c r="L1291" s="14">
        <v>798</v>
      </c>
      <c r="M1291" s="14">
        <v>552</v>
      </c>
      <c r="N1291" s="12">
        <v>33.07</v>
      </c>
      <c r="O1291" s="12" t="s">
        <v>812</v>
      </c>
      <c r="P1291" s="12">
        <v>5.3197564526377599E-3</v>
      </c>
      <c r="Q1291" s="12">
        <v>1.27614529720999E-2</v>
      </c>
      <c r="R1291" s="12">
        <v>0.178427419354839</v>
      </c>
      <c r="S1291" s="14">
        <v>37</v>
      </c>
      <c r="T1291" s="12">
        <v>0.99708167773015899</v>
      </c>
      <c r="U1291" s="14">
        <v>570</v>
      </c>
      <c r="V1291" s="14">
        <v>2</v>
      </c>
      <c r="W1291" s="12">
        <v>5.5999999999999999E-3</v>
      </c>
      <c r="X1291" s="12">
        <v>1.0026816777301599</v>
      </c>
      <c r="Y1291" s="14">
        <v>570</v>
      </c>
      <c r="Z1291" s="14">
        <v>37</v>
      </c>
      <c r="AA1291" s="12" t="s">
        <v>2369</v>
      </c>
    </row>
    <row r="1292" spans="1:27" ht="14.25" x14ac:dyDescent="0.45">
      <c r="A1292" s="12" t="s">
        <v>825</v>
      </c>
      <c r="B1292" s="12" t="s">
        <v>1971</v>
      </c>
      <c r="C1292" s="12" t="s">
        <v>1974</v>
      </c>
      <c r="D1292" s="12" t="s">
        <v>1978</v>
      </c>
      <c r="E1292" s="20">
        <v>35729</v>
      </c>
      <c r="F1292" s="20">
        <v>43774</v>
      </c>
      <c r="G1292" s="12">
        <v>2</v>
      </c>
      <c r="H1292" s="12">
        <v>26.233333333333299</v>
      </c>
      <c r="I1292" s="13">
        <v>7.6238881829733193E-2</v>
      </c>
      <c r="J1292" s="12" t="s">
        <v>825</v>
      </c>
      <c r="K1292" s="14">
        <v>1547</v>
      </c>
      <c r="L1292" s="14">
        <v>360</v>
      </c>
      <c r="M1292" s="14">
        <v>1359</v>
      </c>
      <c r="N1292" s="12">
        <v>2</v>
      </c>
      <c r="O1292" s="12" t="s">
        <v>825</v>
      </c>
      <c r="P1292" s="12">
        <v>3.2172703070080199E-4</v>
      </c>
      <c r="Q1292" s="12">
        <v>3.47155823415916E-4</v>
      </c>
      <c r="R1292" s="12">
        <v>0.39667338709677402</v>
      </c>
      <c r="S1292" s="14">
        <v>25</v>
      </c>
      <c r="T1292" s="12">
        <v>3.37620026147748E-2</v>
      </c>
      <c r="U1292" s="14">
        <v>1597</v>
      </c>
      <c r="V1292" s="14">
        <v>1</v>
      </c>
      <c r="W1292" s="12">
        <v>5.4999999999999997E-3</v>
      </c>
      <c r="X1292" s="12">
        <v>3.9262002614774798E-2</v>
      </c>
      <c r="Y1292" s="14">
        <v>1597</v>
      </c>
      <c r="Z1292" s="14">
        <v>24</v>
      </c>
      <c r="AA1292" s="12" t="s">
        <v>2370</v>
      </c>
    </row>
    <row r="1293" spans="1:27" ht="14.25" x14ac:dyDescent="0.45">
      <c r="A1293" s="12" t="s">
        <v>862</v>
      </c>
      <c r="B1293" s="12" t="s">
        <v>1971</v>
      </c>
      <c r="C1293" s="12" t="s">
        <v>1974</v>
      </c>
      <c r="D1293" s="12" t="s">
        <v>1974</v>
      </c>
      <c r="E1293" s="20">
        <v>35096</v>
      </c>
      <c r="F1293" s="20">
        <v>43759</v>
      </c>
      <c r="G1293" s="12">
        <v>2.2999999999999998</v>
      </c>
      <c r="H1293" s="12">
        <v>26.733333333333299</v>
      </c>
      <c r="I1293" s="13">
        <v>8.6034912718204501E-2</v>
      </c>
      <c r="J1293" s="12" t="s">
        <v>862</v>
      </c>
      <c r="K1293" s="14">
        <v>1532</v>
      </c>
      <c r="L1293" s="14">
        <v>336</v>
      </c>
      <c r="M1293" s="14">
        <v>1305</v>
      </c>
      <c r="N1293" s="12">
        <v>2.2999999999999998</v>
      </c>
      <c r="O1293" s="12" t="s">
        <v>862</v>
      </c>
      <c r="P1293" s="12">
        <v>3.6998608530592199E-4</v>
      </c>
      <c r="Q1293" s="12">
        <v>3.9176231668650198E-4</v>
      </c>
      <c r="R1293" s="12">
        <v>0.40423387096774199</v>
      </c>
      <c r="S1293" s="14">
        <v>26</v>
      </c>
      <c r="T1293" s="12">
        <v>3.8359622991878402E-2</v>
      </c>
      <c r="U1293" s="14">
        <v>1565</v>
      </c>
      <c r="V1293" s="14">
        <v>1</v>
      </c>
      <c r="W1293" s="12">
        <v>5.4999999999999997E-3</v>
      </c>
      <c r="X1293" s="12">
        <v>4.38596229918784E-2</v>
      </c>
      <c r="Y1293" s="14">
        <v>1565</v>
      </c>
      <c r="Z1293" s="14">
        <v>26</v>
      </c>
      <c r="AA1293" s="12" t="s">
        <v>2367</v>
      </c>
    </row>
    <row r="1294" spans="1:27" ht="14.25" x14ac:dyDescent="0.45">
      <c r="A1294" s="12" t="s">
        <v>865</v>
      </c>
      <c r="B1294" s="12" t="s">
        <v>1971</v>
      </c>
      <c r="C1294" s="12" t="s">
        <v>1974</v>
      </c>
      <c r="D1294" s="12" t="s">
        <v>1974</v>
      </c>
      <c r="E1294" s="20">
        <v>33727</v>
      </c>
      <c r="F1294" s="20">
        <v>44264</v>
      </c>
      <c r="G1294" s="12">
        <v>45.63</v>
      </c>
      <c r="H1294" s="12">
        <v>9.9</v>
      </c>
      <c r="I1294" s="13">
        <v>4.6090909090909102</v>
      </c>
      <c r="J1294" s="12" t="s">
        <v>865</v>
      </c>
      <c r="K1294" s="14">
        <v>463</v>
      </c>
      <c r="L1294" s="14">
        <v>969</v>
      </c>
      <c r="M1294" s="14">
        <v>498</v>
      </c>
      <c r="N1294" s="12">
        <v>45.63</v>
      </c>
      <c r="O1294" s="12" t="s">
        <v>865</v>
      </c>
      <c r="P1294" s="12">
        <v>7.3402022054387898E-3</v>
      </c>
      <c r="Q1294" s="12">
        <v>2.0987620900812302E-2</v>
      </c>
      <c r="R1294" s="12">
        <v>0.149697580645161</v>
      </c>
      <c r="S1294" s="14">
        <v>30</v>
      </c>
      <c r="T1294" s="12">
        <v>1.5869838890047201</v>
      </c>
      <c r="U1294" s="14">
        <v>481</v>
      </c>
      <c r="V1294" s="14">
        <v>8</v>
      </c>
      <c r="W1294" s="12">
        <v>6.1999999999999998E-3</v>
      </c>
      <c r="X1294" s="12">
        <v>1.5931838890047201</v>
      </c>
      <c r="Y1294" s="14">
        <v>481</v>
      </c>
      <c r="Z1294" s="14">
        <v>30</v>
      </c>
      <c r="AA1294" s="12" t="s">
        <v>2367</v>
      </c>
    </row>
    <row r="1295" spans="1:27" ht="14.25" x14ac:dyDescent="0.45">
      <c r="A1295" s="12" t="s">
        <v>884</v>
      </c>
      <c r="B1295" s="12" t="s">
        <v>1971</v>
      </c>
      <c r="C1295" s="12" t="s">
        <v>1974</v>
      </c>
      <c r="D1295" s="12" t="s">
        <v>1974</v>
      </c>
      <c r="E1295" s="20">
        <v>34213</v>
      </c>
      <c r="F1295" s="20">
        <v>44280</v>
      </c>
      <c r="G1295" s="12">
        <v>39.619999999999997</v>
      </c>
      <c r="H1295" s="12">
        <v>9.3666666666666707</v>
      </c>
      <c r="I1295" s="13">
        <v>4.2298932384341601</v>
      </c>
      <c r="J1295" s="12" t="s">
        <v>884</v>
      </c>
      <c r="K1295" s="14">
        <v>487</v>
      </c>
      <c r="L1295" s="14">
        <v>1063</v>
      </c>
      <c r="M1295" s="14">
        <v>523</v>
      </c>
      <c r="N1295" s="12">
        <v>39.619999999999997</v>
      </c>
      <c r="O1295" s="12" t="s">
        <v>884</v>
      </c>
      <c r="P1295" s="12">
        <v>6.3734124781828798E-3</v>
      </c>
      <c r="Q1295" s="12">
        <v>1.9260933986801201E-2</v>
      </c>
      <c r="R1295" s="12">
        <v>0.141633064516129</v>
      </c>
      <c r="S1295" s="14">
        <v>29</v>
      </c>
      <c r="T1295" s="12">
        <v>1.44281134210693</v>
      </c>
      <c r="U1295" s="14">
        <v>501</v>
      </c>
      <c r="V1295" s="14">
        <v>6</v>
      </c>
      <c r="W1295" s="12">
        <v>6.0000000000000001E-3</v>
      </c>
      <c r="X1295" s="12">
        <v>1.44881134210693</v>
      </c>
      <c r="Y1295" s="14">
        <v>501</v>
      </c>
      <c r="Z1295" s="14">
        <v>28</v>
      </c>
      <c r="AA1295" s="12" t="s">
        <v>2367</v>
      </c>
    </row>
    <row r="1296" spans="1:27" ht="14.25" x14ac:dyDescent="0.45">
      <c r="A1296" s="12" t="s">
        <v>894</v>
      </c>
      <c r="B1296" s="12" t="s">
        <v>1971</v>
      </c>
      <c r="C1296" s="12" t="s">
        <v>1974</v>
      </c>
      <c r="D1296" s="12" t="s">
        <v>1982</v>
      </c>
      <c r="E1296" s="20">
        <v>36516</v>
      </c>
      <c r="F1296" s="20">
        <v>44278</v>
      </c>
      <c r="G1296" s="12">
        <v>10.26</v>
      </c>
      <c r="H1296" s="12">
        <v>9.43333333333333</v>
      </c>
      <c r="I1296" s="13">
        <v>1.08763250883392</v>
      </c>
      <c r="J1296" s="12" t="s">
        <v>894</v>
      </c>
      <c r="K1296" s="14">
        <v>799</v>
      </c>
      <c r="L1296" s="14">
        <v>1048</v>
      </c>
      <c r="M1296" s="14">
        <v>836</v>
      </c>
      <c r="N1296" s="12">
        <v>10.26</v>
      </c>
      <c r="O1296" s="12" t="s">
        <v>894</v>
      </c>
      <c r="P1296" s="12">
        <v>1.6504596674951099E-3</v>
      </c>
      <c r="Q1296" s="12">
        <v>4.9525642312201797E-3</v>
      </c>
      <c r="R1296" s="12">
        <v>0.14264112903225801</v>
      </c>
      <c r="S1296" s="14">
        <v>23</v>
      </c>
      <c r="T1296" s="12">
        <v>0.37142750198232799</v>
      </c>
      <c r="U1296" s="14">
        <v>855</v>
      </c>
      <c r="V1296" s="14">
        <v>3</v>
      </c>
      <c r="W1296" s="12">
        <v>5.7000000000000002E-3</v>
      </c>
      <c r="X1296" s="12">
        <v>0.37712750198232797</v>
      </c>
      <c r="Y1296" s="14">
        <v>855</v>
      </c>
      <c r="Z1296" s="14">
        <v>22</v>
      </c>
      <c r="AA1296" s="12" t="s">
        <v>2370</v>
      </c>
    </row>
    <row r="1297" spans="1:27" ht="14.25" x14ac:dyDescent="0.45">
      <c r="A1297" s="12" t="s">
        <v>906</v>
      </c>
      <c r="B1297" s="12" t="s">
        <v>1971</v>
      </c>
      <c r="C1297" s="12" t="s">
        <v>1974</v>
      </c>
      <c r="D1297" s="12" t="s">
        <v>1982</v>
      </c>
      <c r="E1297" s="20">
        <v>36164</v>
      </c>
      <c r="F1297" s="20">
        <v>44305</v>
      </c>
      <c r="G1297" s="12">
        <v>2.31</v>
      </c>
      <c r="H1297" s="12">
        <v>8.5333333333333297</v>
      </c>
      <c r="I1297" s="13">
        <v>0.27070312499999999</v>
      </c>
      <c r="J1297" s="12" t="s">
        <v>906</v>
      </c>
      <c r="K1297" s="14">
        <v>1254</v>
      </c>
      <c r="L1297" s="14">
        <v>1193</v>
      </c>
      <c r="M1297" s="14">
        <v>1301</v>
      </c>
      <c r="N1297" s="12">
        <v>2.31</v>
      </c>
      <c r="O1297" s="12" t="s">
        <v>906</v>
      </c>
      <c r="P1297" s="12">
        <v>3.71594720459426E-4</v>
      </c>
      <c r="Q1297" s="12">
        <v>1.2326540474520201E-3</v>
      </c>
      <c r="R1297" s="12">
        <v>0.12903225806451599</v>
      </c>
      <c r="S1297" s="14">
        <v>23</v>
      </c>
      <c r="T1297" s="12">
        <v>9.0975679982979396E-2</v>
      </c>
      <c r="U1297" s="14">
        <v>1313</v>
      </c>
      <c r="V1297" s="14">
        <v>1</v>
      </c>
      <c r="W1297" s="12">
        <v>5.4999999999999997E-3</v>
      </c>
      <c r="X1297" s="12">
        <v>9.6475679982979401E-2</v>
      </c>
      <c r="Y1297" s="14">
        <v>1315</v>
      </c>
      <c r="Z1297" s="14">
        <v>23</v>
      </c>
      <c r="AA1297" s="12" t="s">
        <v>2370</v>
      </c>
    </row>
    <row r="1298" spans="1:27" ht="14.25" x14ac:dyDescent="0.45">
      <c r="A1298" s="12" t="s">
        <v>916</v>
      </c>
      <c r="B1298" s="12" t="s">
        <v>1971</v>
      </c>
      <c r="C1298" s="12" t="s">
        <v>1974</v>
      </c>
      <c r="D1298" s="12" t="s">
        <v>1974</v>
      </c>
      <c r="E1298" s="20">
        <v>32712</v>
      </c>
      <c r="F1298" s="20">
        <v>44274</v>
      </c>
      <c r="G1298" s="12">
        <v>12.35</v>
      </c>
      <c r="H1298" s="12">
        <v>9.56666666666667</v>
      </c>
      <c r="I1298" s="13">
        <v>1.2909407665505199</v>
      </c>
      <c r="J1298" s="12" t="s">
        <v>916</v>
      </c>
      <c r="K1298" s="14">
        <v>754</v>
      </c>
      <c r="L1298" s="14">
        <v>1036</v>
      </c>
      <c r="M1298" s="14">
        <v>803</v>
      </c>
      <c r="N1298" s="12">
        <v>12.35</v>
      </c>
      <c r="O1298" s="12" t="s">
        <v>916</v>
      </c>
      <c r="P1298" s="12">
        <v>1.98666441457745E-3</v>
      </c>
      <c r="Q1298" s="12">
        <v>5.8783339162017797E-3</v>
      </c>
      <c r="R1298" s="12">
        <v>0.14465725806451599</v>
      </c>
      <c r="S1298" s="14">
        <v>33</v>
      </c>
      <c r="T1298" s="12">
        <v>0.44189578530926499</v>
      </c>
      <c r="U1298" s="14">
        <v>802</v>
      </c>
      <c r="V1298" s="14">
        <v>5</v>
      </c>
      <c r="W1298" s="12">
        <v>5.8999999999999999E-3</v>
      </c>
      <c r="X1298" s="12">
        <v>0.447795785309266</v>
      </c>
      <c r="Y1298" s="14">
        <v>802</v>
      </c>
      <c r="Z1298" s="14">
        <v>32</v>
      </c>
      <c r="AA1298" s="12" t="s">
        <v>2367</v>
      </c>
    </row>
    <row r="1299" spans="1:27" ht="14.25" x14ac:dyDescent="0.45">
      <c r="A1299" s="12" t="s">
        <v>921</v>
      </c>
      <c r="B1299" s="12" t="s">
        <v>1971</v>
      </c>
      <c r="C1299" s="12" t="s">
        <v>1974</v>
      </c>
      <c r="D1299" s="12" t="s">
        <v>1993</v>
      </c>
      <c r="E1299" s="20">
        <v>36457</v>
      </c>
      <c r="F1299" s="20">
        <v>44307</v>
      </c>
      <c r="G1299" s="12">
        <v>34.06</v>
      </c>
      <c r="H1299" s="12">
        <v>8.4666666666666703</v>
      </c>
      <c r="I1299" s="13">
        <v>4.0228346456692901</v>
      </c>
      <c r="J1299" s="12" t="s">
        <v>921</v>
      </c>
      <c r="K1299" s="14">
        <v>496</v>
      </c>
      <c r="L1299" s="14">
        <v>1215</v>
      </c>
      <c r="M1299" s="14">
        <v>549</v>
      </c>
      <c r="N1299" s="12">
        <v>34.06</v>
      </c>
      <c r="O1299" s="12" t="s">
        <v>921</v>
      </c>
      <c r="P1299" s="12">
        <v>5.4790113328346598E-3</v>
      </c>
      <c r="Q1299" s="12">
        <v>1.8318087049103898E-2</v>
      </c>
      <c r="R1299" s="12">
        <v>0.12802419354838701</v>
      </c>
      <c r="S1299" s="14">
        <v>23</v>
      </c>
      <c r="T1299" s="12">
        <v>1.3503433655502901</v>
      </c>
      <c r="U1299" s="14">
        <v>519</v>
      </c>
      <c r="V1299" s="14">
        <v>3</v>
      </c>
      <c r="W1299" s="12">
        <v>5.7000000000000002E-3</v>
      </c>
      <c r="X1299" s="12">
        <v>1.3560433655502899</v>
      </c>
      <c r="Y1299" s="14">
        <v>519</v>
      </c>
      <c r="Z1299" s="14">
        <v>22</v>
      </c>
      <c r="AA1299" s="12" t="s">
        <v>2370</v>
      </c>
    </row>
    <row r="1300" spans="1:27" ht="14.25" x14ac:dyDescent="0.45">
      <c r="A1300" s="12" t="s">
        <v>931</v>
      </c>
      <c r="B1300" s="12" t="s">
        <v>1971</v>
      </c>
      <c r="C1300" s="12" t="s">
        <v>1974</v>
      </c>
      <c r="D1300" s="12" t="s">
        <v>1974</v>
      </c>
      <c r="E1300" s="20">
        <v>35967</v>
      </c>
      <c r="F1300" s="20">
        <v>44281</v>
      </c>
      <c r="G1300" s="12">
        <v>994.74</v>
      </c>
      <c r="H1300" s="12">
        <v>9.3333333333333304</v>
      </c>
      <c r="I1300" s="13">
        <v>106.579285714286</v>
      </c>
      <c r="J1300" s="12" t="s">
        <v>931</v>
      </c>
      <c r="K1300" s="14">
        <v>12</v>
      </c>
      <c r="L1300" s="14">
        <v>1102</v>
      </c>
      <c r="M1300" s="14">
        <v>52</v>
      </c>
      <c r="N1300" s="12">
        <v>994.74</v>
      </c>
      <c r="O1300" s="12" t="s">
        <v>931</v>
      </c>
      <c r="P1300" s="12">
        <v>0.16001737325965801</v>
      </c>
      <c r="Q1300" s="12">
        <v>0.48531167828320798</v>
      </c>
      <c r="R1300" s="12">
        <v>0.141129032258065</v>
      </c>
      <c r="S1300" s="14">
        <v>24</v>
      </c>
      <c r="T1300" s="12">
        <v>36.332631389937703</v>
      </c>
      <c r="U1300" s="14">
        <v>21</v>
      </c>
      <c r="V1300" s="14">
        <v>9</v>
      </c>
      <c r="W1300" s="12">
        <v>6.3E-3</v>
      </c>
      <c r="X1300" s="12">
        <v>36.338931389937699</v>
      </c>
      <c r="Y1300" s="14">
        <v>21</v>
      </c>
      <c r="Z1300" s="14">
        <v>24</v>
      </c>
      <c r="AA1300" s="12" t="s">
        <v>2370</v>
      </c>
    </row>
    <row r="1301" spans="1:27" ht="14.25" x14ac:dyDescent="0.45">
      <c r="A1301" s="12" t="s">
        <v>949</v>
      </c>
      <c r="B1301" s="12" t="s">
        <v>1971</v>
      </c>
      <c r="C1301" s="12" t="s">
        <v>1974</v>
      </c>
      <c r="D1301" s="12" t="s">
        <v>1997</v>
      </c>
      <c r="E1301" s="20">
        <v>33847</v>
      </c>
      <c r="F1301" s="20">
        <v>44301</v>
      </c>
      <c r="G1301" s="12">
        <v>2</v>
      </c>
      <c r="H1301" s="12">
        <v>8.6666666666666696</v>
      </c>
      <c r="I1301" s="13">
        <v>0.230769230769231</v>
      </c>
      <c r="J1301" s="12" t="s">
        <v>949</v>
      </c>
      <c r="K1301" s="14">
        <v>1304</v>
      </c>
      <c r="L1301" s="14">
        <v>1179</v>
      </c>
      <c r="M1301" s="14">
        <v>1359</v>
      </c>
      <c r="N1301" s="12">
        <v>2</v>
      </c>
      <c r="O1301" s="12" t="s">
        <v>949</v>
      </c>
      <c r="P1301" s="12">
        <v>3.2172703070080199E-4</v>
      </c>
      <c r="Q1301" s="12">
        <v>1.05081397318587E-3</v>
      </c>
      <c r="R1301" s="12">
        <v>0.13104838709677399</v>
      </c>
      <c r="S1301" s="14">
        <v>30</v>
      </c>
      <c r="T1301" s="12">
        <v>7.7740636975396807E-2</v>
      </c>
      <c r="U1301" s="14">
        <v>1377</v>
      </c>
      <c r="V1301" s="14">
        <v>1</v>
      </c>
      <c r="W1301" s="12">
        <v>5.4999999999999997E-3</v>
      </c>
      <c r="X1301" s="12">
        <v>8.3240636975396798E-2</v>
      </c>
      <c r="Y1301" s="14">
        <v>1377</v>
      </c>
      <c r="Z1301" s="14">
        <v>29</v>
      </c>
      <c r="AA1301" s="12" t="s">
        <v>2367</v>
      </c>
    </row>
    <row r="1302" spans="1:27" ht="14.25" x14ac:dyDescent="0.45">
      <c r="A1302" s="12" t="s">
        <v>1004</v>
      </c>
      <c r="B1302" s="12" t="s">
        <v>1971</v>
      </c>
      <c r="C1302" s="12" t="s">
        <v>1974</v>
      </c>
      <c r="D1302" s="12" t="s">
        <v>1978</v>
      </c>
      <c r="E1302" s="20">
        <v>31545</v>
      </c>
      <c r="F1302" s="20">
        <v>44134</v>
      </c>
      <c r="G1302" s="12">
        <v>300.2</v>
      </c>
      <c r="H1302" s="12">
        <v>14.233333333333301</v>
      </c>
      <c r="I1302" s="13">
        <v>21.091334894613599</v>
      </c>
      <c r="J1302" s="12" t="s">
        <v>1004</v>
      </c>
      <c r="K1302" s="14">
        <v>127</v>
      </c>
      <c r="L1302" s="14">
        <v>593</v>
      </c>
      <c r="M1302" s="14">
        <v>222</v>
      </c>
      <c r="N1302" s="12">
        <v>300.2</v>
      </c>
      <c r="O1302" s="12" t="s">
        <v>1004</v>
      </c>
      <c r="P1302" s="12">
        <v>4.8291227308190403E-2</v>
      </c>
      <c r="Q1302" s="12">
        <v>9.6039967488411399E-2</v>
      </c>
      <c r="R1302" s="12">
        <v>0.21522177419354799</v>
      </c>
      <c r="S1302" s="14">
        <v>36</v>
      </c>
      <c r="T1302" s="12">
        <v>7.8134189920828501</v>
      </c>
      <c r="U1302" s="14">
        <v>161</v>
      </c>
      <c r="V1302" s="14">
        <v>12</v>
      </c>
      <c r="W1302" s="12">
        <v>6.6E-3</v>
      </c>
      <c r="X1302" s="12">
        <v>7.8200189920828498</v>
      </c>
      <c r="Y1302" s="14">
        <v>161</v>
      </c>
      <c r="Z1302" s="14">
        <v>36</v>
      </c>
      <c r="AA1302" s="12" t="s">
        <v>2369</v>
      </c>
    </row>
    <row r="1303" spans="1:27" ht="14.25" x14ac:dyDescent="0.45">
      <c r="A1303" s="12" t="s">
        <v>1051</v>
      </c>
      <c r="B1303" s="12" t="s">
        <v>1971</v>
      </c>
      <c r="C1303" s="12" t="s">
        <v>1974</v>
      </c>
      <c r="D1303" s="12" t="s">
        <v>1997</v>
      </c>
      <c r="E1303" s="20">
        <v>35115</v>
      </c>
      <c r="F1303" s="20">
        <v>44271</v>
      </c>
      <c r="G1303" s="12">
        <v>8.48</v>
      </c>
      <c r="H1303" s="12">
        <v>9.6666666666666696</v>
      </c>
      <c r="I1303" s="13">
        <v>0.87724137931034496</v>
      </c>
      <c r="J1303" s="12" t="s">
        <v>1051</v>
      </c>
      <c r="K1303" s="14">
        <v>864</v>
      </c>
      <c r="L1303" s="14">
        <v>1004</v>
      </c>
      <c r="M1303" s="14">
        <v>877</v>
      </c>
      <c r="N1303" s="12">
        <v>8.48</v>
      </c>
      <c r="O1303" s="12" t="s">
        <v>1051</v>
      </c>
      <c r="P1303" s="12">
        <v>1.3641226101713999E-3</v>
      </c>
      <c r="Q1303" s="12">
        <v>3.9945424966900001E-3</v>
      </c>
      <c r="R1303" s="12">
        <v>0.14616935483870999</v>
      </c>
      <c r="S1303" s="14">
        <v>26</v>
      </c>
      <c r="T1303" s="12">
        <v>0.30081350392455197</v>
      </c>
      <c r="U1303" s="14">
        <v>921</v>
      </c>
      <c r="V1303" s="14">
        <v>2</v>
      </c>
      <c r="W1303" s="12">
        <v>5.5999999999999999E-3</v>
      </c>
      <c r="X1303" s="12">
        <v>0.30641350392455202</v>
      </c>
      <c r="Y1303" s="14">
        <v>921</v>
      </c>
      <c r="Z1303" s="14">
        <v>26</v>
      </c>
      <c r="AA1303" s="12" t="s">
        <v>2367</v>
      </c>
    </row>
    <row r="1304" spans="1:27" ht="14.25" x14ac:dyDescent="0.45">
      <c r="A1304" s="12" t="s">
        <v>1057</v>
      </c>
      <c r="B1304" s="12" t="s">
        <v>1971</v>
      </c>
      <c r="C1304" s="12" t="s">
        <v>1974</v>
      </c>
      <c r="D1304" s="12" t="s">
        <v>1974</v>
      </c>
      <c r="E1304" s="20">
        <v>31971</v>
      </c>
      <c r="F1304" s="20">
        <v>44337</v>
      </c>
      <c r="G1304" s="12">
        <v>9.17</v>
      </c>
      <c r="H1304" s="12">
        <v>7.4666666666666703</v>
      </c>
      <c r="I1304" s="13">
        <v>1.2281249999999999</v>
      </c>
      <c r="J1304" s="12" t="s">
        <v>1057</v>
      </c>
      <c r="K1304" s="14">
        <v>762</v>
      </c>
      <c r="L1304" s="14">
        <v>1428</v>
      </c>
      <c r="M1304" s="14">
        <v>863</v>
      </c>
      <c r="N1304" s="12">
        <v>9.17</v>
      </c>
      <c r="O1304" s="12" t="s">
        <v>1057</v>
      </c>
      <c r="P1304" s="12">
        <v>1.47511843576318E-3</v>
      </c>
      <c r="Q1304" s="12">
        <v>5.5923006135485398E-3</v>
      </c>
      <c r="R1304" s="12">
        <v>0.112903225806452</v>
      </c>
      <c r="S1304" s="14">
        <v>35</v>
      </c>
      <c r="T1304" s="12">
        <v>0.40483572968790299</v>
      </c>
      <c r="U1304" s="14">
        <v>824</v>
      </c>
      <c r="V1304" s="14">
        <v>6</v>
      </c>
      <c r="W1304" s="12">
        <v>6.0000000000000001E-3</v>
      </c>
      <c r="X1304" s="12">
        <v>0.410835729687903</v>
      </c>
      <c r="Y1304" s="14">
        <v>824</v>
      </c>
      <c r="Z1304" s="14">
        <v>35</v>
      </c>
      <c r="AA1304" s="12" t="s">
        <v>2369</v>
      </c>
    </row>
    <row r="1305" spans="1:27" ht="14.25" x14ac:dyDescent="0.45">
      <c r="A1305" s="12" t="s">
        <v>1077</v>
      </c>
      <c r="B1305" s="12" t="s">
        <v>1971</v>
      </c>
      <c r="C1305" s="12" t="s">
        <v>1974</v>
      </c>
      <c r="D1305" s="12" t="s">
        <v>1974</v>
      </c>
      <c r="E1305" s="20">
        <v>31720</v>
      </c>
      <c r="F1305" s="20">
        <v>44337</v>
      </c>
      <c r="G1305" s="12">
        <v>0.36</v>
      </c>
      <c r="H1305" s="12">
        <v>7.4666666666666703</v>
      </c>
      <c r="I1305" s="13">
        <v>4.8214285714285703E-2</v>
      </c>
      <c r="J1305" s="12" t="s">
        <v>1077</v>
      </c>
      <c r="K1305" s="14">
        <v>1613</v>
      </c>
      <c r="L1305" s="14">
        <v>1428</v>
      </c>
      <c r="M1305" s="14">
        <v>1719</v>
      </c>
      <c r="N1305" s="12">
        <v>0.36</v>
      </c>
      <c r="O1305" s="12" t="s">
        <v>1077</v>
      </c>
      <c r="P1305" s="12">
        <v>5.7910865526144299E-5</v>
      </c>
      <c r="Q1305" s="12">
        <v>2.19545062254904E-4</v>
      </c>
      <c r="R1305" s="12">
        <v>0.112903225806452</v>
      </c>
      <c r="S1305" s="14">
        <v>36</v>
      </c>
      <c r="T1305" s="12">
        <v>1.58932238481619E-2</v>
      </c>
      <c r="U1305" s="14">
        <v>1711</v>
      </c>
      <c r="V1305" s="14">
        <v>2</v>
      </c>
      <c r="W1305" s="12">
        <v>5.5999999999999999E-3</v>
      </c>
      <c r="X1305" s="12">
        <v>2.1493223848161901E-2</v>
      </c>
      <c r="Y1305" s="14">
        <v>1710</v>
      </c>
      <c r="Z1305" s="14">
        <v>35</v>
      </c>
      <c r="AA1305" s="12" t="s">
        <v>2369</v>
      </c>
    </row>
    <row r="1306" spans="1:27" ht="14.25" x14ac:dyDescent="0.45">
      <c r="A1306" s="12" t="s">
        <v>1100</v>
      </c>
      <c r="B1306" s="12" t="s">
        <v>1971</v>
      </c>
      <c r="C1306" s="12" t="s">
        <v>1974</v>
      </c>
      <c r="D1306" s="12" t="s">
        <v>1974</v>
      </c>
      <c r="E1306" s="20">
        <v>34879</v>
      </c>
      <c r="F1306" s="20">
        <v>44336</v>
      </c>
      <c r="G1306" s="12">
        <v>8.42</v>
      </c>
      <c r="H1306" s="12">
        <v>7.5</v>
      </c>
      <c r="I1306" s="13">
        <v>1.12266666666667</v>
      </c>
      <c r="J1306" s="12" t="s">
        <v>1100</v>
      </c>
      <c r="K1306" s="14">
        <v>787</v>
      </c>
      <c r="L1306" s="14">
        <v>1377</v>
      </c>
      <c r="M1306" s="14">
        <v>880</v>
      </c>
      <c r="N1306" s="12">
        <v>8.42</v>
      </c>
      <c r="O1306" s="12" t="s">
        <v>1100</v>
      </c>
      <c r="P1306" s="12">
        <v>1.3544707992503801E-3</v>
      </c>
      <c r="Q1306" s="12">
        <v>5.1120932224411096E-3</v>
      </c>
      <c r="R1306" s="12">
        <v>0.113407258064516</v>
      </c>
      <c r="S1306" s="14">
        <v>27</v>
      </c>
      <c r="T1306" s="12">
        <v>0.37029848137445898</v>
      </c>
      <c r="U1306" s="14">
        <v>856</v>
      </c>
      <c r="V1306" s="14">
        <v>3</v>
      </c>
      <c r="W1306" s="12">
        <v>5.7000000000000002E-3</v>
      </c>
      <c r="X1306" s="12">
        <v>0.37599848137445901</v>
      </c>
      <c r="Y1306" s="14">
        <v>856</v>
      </c>
      <c r="Z1306" s="14">
        <v>27</v>
      </c>
      <c r="AA1306" s="12" t="s">
        <v>2367</v>
      </c>
    </row>
    <row r="1307" spans="1:27" ht="14.25" x14ac:dyDescent="0.45">
      <c r="A1307" s="12" t="s">
        <v>1122</v>
      </c>
      <c r="B1307" s="12" t="s">
        <v>1971</v>
      </c>
      <c r="C1307" s="12" t="s">
        <v>1974</v>
      </c>
      <c r="D1307" s="12" t="s">
        <v>2070</v>
      </c>
      <c r="E1307" s="20">
        <v>27249</v>
      </c>
      <c r="F1307" s="20">
        <v>44334</v>
      </c>
      <c r="G1307" s="12">
        <v>1.72</v>
      </c>
      <c r="H1307" s="12">
        <v>7.56666666666667</v>
      </c>
      <c r="I1307" s="13">
        <v>0.22731277533039701</v>
      </c>
      <c r="J1307" s="12" t="s">
        <v>1122</v>
      </c>
      <c r="K1307" s="14">
        <v>1307</v>
      </c>
      <c r="L1307" s="14">
        <v>1269</v>
      </c>
      <c r="M1307" s="14">
        <v>1454</v>
      </c>
      <c r="N1307" s="12">
        <v>1.72</v>
      </c>
      <c r="O1307" s="12" t="s">
        <v>1122</v>
      </c>
      <c r="P1307" s="12">
        <v>2.7668524640269001E-4</v>
      </c>
      <c r="Q1307" s="12">
        <v>1.0350749092703101E-3</v>
      </c>
      <c r="R1307" s="12">
        <v>0.114415322580645</v>
      </c>
      <c r="S1307" s="14">
        <v>48</v>
      </c>
      <c r="T1307" s="12">
        <v>7.5067878569495095E-2</v>
      </c>
      <c r="U1307" s="14">
        <v>1407</v>
      </c>
      <c r="V1307" s="14">
        <v>2</v>
      </c>
      <c r="W1307" s="12">
        <v>5.5999999999999999E-3</v>
      </c>
      <c r="X1307" s="12">
        <v>8.0667878569495102E-2</v>
      </c>
      <c r="Y1307" s="14">
        <v>1405</v>
      </c>
      <c r="Z1307" s="14">
        <v>47</v>
      </c>
      <c r="AA1307" s="12" t="s">
        <v>2371</v>
      </c>
    </row>
    <row r="1308" spans="1:27" ht="14.25" x14ac:dyDescent="0.45">
      <c r="A1308" s="12" t="s">
        <v>1150</v>
      </c>
      <c r="B1308" s="12" t="s">
        <v>1971</v>
      </c>
      <c r="C1308" s="12" t="s">
        <v>1974</v>
      </c>
      <c r="D1308" s="12" t="s">
        <v>1974</v>
      </c>
      <c r="E1308" s="20">
        <v>31993</v>
      </c>
      <c r="F1308" s="20">
        <v>44291</v>
      </c>
      <c r="G1308" s="12">
        <v>0.78</v>
      </c>
      <c r="H1308" s="12">
        <v>9</v>
      </c>
      <c r="I1308" s="13">
        <v>8.6666666666666697E-2</v>
      </c>
      <c r="J1308" s="12" t="s">
        <v>1150</v>
      </c>
      <c r="K1308" s="14">
        <v>1531</v>
      </c>
      <c r="L1308" s="14">
        <v>1137</v>
      </c>
      <c r="M1308" s="14">
        <v>1603</v>
      </c>
      <c r="N1308" s="12">
        <v>0.78</v>
      </c>
      <c r="O1308" s="12" t="s">
        <v>1150</v>
      </c>
      <c r="P1308" s="12">
        <v>1.2547354197331301E-4</v>
      </c>
      <c r="Q1308" s="12">
        <v>3.9463902548535901E-4</v>
      </c>
      <c r="R1308" s="12">
        <v>0.13608870967741901</v>
      </c>
      <c r="S1308" s="14">
        <v>35</v>
      </c>
      <c r="T1308" s="12">
        <v>2.93701969168342E-2</v>
      </c>
      <c r="U1308" s="14">
        <v>1628</v>
      </c>
      <c r="V1308" s="14">
        <v>1</v>
      </c>
      <c r="W1308" s="12">
        <v>5.4999999999999997E-3</v>
      </c>
      <c r="X1308" s="12">
        <v>3.4870196916834198E-2</v>
      </c>
      <c r="Y1308" s="14">
        <v>1629</v>
      </c>
      <c r="Z1308" s="14">
        <v>34</v>
      </c>
      <c r="AA1308" s="12" t="s">
        <v>2367</v>
      </c>
    </row>
    <row r="1309" spans="1:27" ht="14.25" x14ac:dyDescent="0.45">
      <c r="A1309" s="12" t="s">
        <v>1182</v>
      </c>
      <c r="B1309" s="12" t="s">
        <v>1971</v>
      </c>
      <c r="C1309" s="12" t="s">
        <v>1974</v>
      </c>
      <c r="D1309" s="12" t="s">
        <v>1982</v>
      </c>
      <c r="E1309" s="20">
        <v>36871</v>
      </c>
      <c r="F1309" s="20">
        <v>44371</v>
      </c>
      <c r="G1309" s="12">
        <v>0.26</v>
      </c>
      <c r="H1309" s="12">
        <v>6.3333333333333304</v>
      </c>
      <c r="I1309" s="13">
        <v>4.1052631578947403E-2</v>
      </c>
      <c r="J1309" s="12" t="s">
        <v>1182</v>
      </c>
      <c r="K1309" s="14">
        <v>1629</v>
      </c>
      <c r="L1309" s="14">
        <v>1557</v>
      </c>
      <c r="M1309" s="14">
        <v>1755</v>
      </c>
      <c r="N1309" s="12">
        <v>0.26</v>
      </c>
      <c r="O1309" s="12" t="s">
        <v>1182</v>
      </c>
      <c r="P1309" s="12">
        <v>4.18245139911042E-5</v>
      </c>
      <c r="Q1309" s="12">
        <v>1.8693427522990699E-4</v>
      </c>
      <c r="R1309" s="12">
        <v>9.5766129032257993E-2</v>
      </c>
      <c r="S1309" s="14">
        <v>22</v>
      </c>
      <c r="T1309" s="12">
        <v>1.32518114765356E-2</v>
      </c>
      <c r="U1309" s="14">
        <v>1732</v>
      </c>
      <c r="V1309" s="14">
        <v>2</v>
      </c>
      <c r="W1309" s="12">
        <v>5.5999999999999999E-3</v>
      </c>
      <c r="X1309" s="12">
        <v>1.8851811476535599E-2</v>
      </c>
      <c r="Y1309" s="14">
        <v>1730</v>
      </c>
      <c r="Z1309" s="14">
        <v>21</v>
      </c>
      <c r="AA1309" s="12" t="s">
        <v>2370</v>
      </c>
    </row>
    <row r="1310" spans="1:27" ht="14.25" x14ac:dyDescent="0.45">
      <c r="A1310" s="12" t="s">
        <v>1189</v>
      </c>
      <c r="B1310" s="12" t="s">
        <v>1971</v>
      </c>
      <c r="C1310" s="12" t="s">
        <v>1974</v>
      </c>
      <c r="D1310" s="12" t="s">
        <v>1974</v>
      </c>
      <c r="E1310" s="20">
        <v>35296</v>
      </c>
      <c r="F1310" s="20">
        <v>44372</v>
      </c>
      <c r="G1310" s="12">
        <v>5.93</v>
      </c>
      <c r="H1310" s="12">
        <v>6.3</v>
      </c>
      <c r="I1310" s="13">
        <v>0.94126984126984103</v>
      </c>
      <c r="J1310" s="12" t="s">
        <v>1189</v>
      </c>
      <c r="K1310" s="14">
        <v>843</v>
      </c>
      <c r="L1310" s="14">
        <v>1606</v>
      </c>
      <c r="M1310" s="14">
        <v>968</v>
      </c>
      <c r="N1310" s="12">
        <v>5.93</v>
      </c>
      <c r="O1310" s="12" t="s">
        <v>1189</v>
      </c>
      <c r="P1310" s="12">
        <v>9.5392064602787695E-4</v>
      </c>
      <c r="Q1310" s="12">
        <v>4.2860978408941E-3</v>
      </c>
      <c r="R1310" s="12">
        <v>9.5262096774193505E-2</v>
      </c>
      <c r="S1310" s="14">
        <v>26</v>
      </c>
      <c r="T1310" s="12">
        <v>0.303653139281927</v>
      </c>
      <c r="U1310" s="14">
        <v>913</v>
      </c>
      <c r="V1310" s="14">
        <v>2</v>
      </c>
      <c r="W1310" s="12">
        <v>5.5999999999999999E-3</v>
      </c>
      <c r="X1310" s="12">
        <v>0.30925313928192699</v>
      </c>
      <c r="Y1310" s="14">
        <v>913</v>
      </c>
      <c r="Z1310" s="14">
        <v>25</v>
      </c>
      <c r="AA1310" s="12" t="s">
        <v>2367</v>
      </c>
    </row>
    <row r="1311" spans="1:27" ht="14.25" x14ac:dyDescent="0.45">
      <c r="A1311" s="12" t="s">
        <v>1239</v>
      </c>
      <c r="B1311" s="12" t="s">
        <v>1971</v>
      </c>
      <c r="C1311" s="12" t="s">
        <v>1974</v>
      </c>
      <c r="D1311" s="12" t="s">
        <v>1974</v>
      </c>
      <c r="E1311" s="20">
        <v>35895</v>
      </c>
      <c r="F1311" s="20">
        <v>44337</v>
      </c>
      <c r="G1311" s="12">
        <v>1.34</v>
      </c>
      <c r="H1311" s="12">
        <v>7.4666666666666703</v>
      </c>
      <c r="I1311" s="13">
        <v>0.17946428571428599</v>
      </c>
      <c r="J1311" s="12" t="s">
        <v>1239</v>
      </c>
      <c r="K1311" s="14">
        <v>1372</v>
      </c>
      <c r="L1311" s="14">
        <v>1428</v>
      </c>
      <c r="M1311" s="14">
        <v>1498</v>
      </c>
      <c r="N1311" s="12">
        <v>1.34</v>
      </c>
      <c r="O1311" s="12" t="s">
        <v>1239</v>
      </c>
      <c r="P1311" s="12">
        <v>2.1555711056953699E-4</v>
      </c>
      <c r="Q1311" s="12">
        <v>8.1719550950436605E-4</v>
      </c>
      <c r="R1311" s="12">
        <v>0.112903225806452</v>
      </c>
      <c r="S1311" s="14">
        <v>24</v>
      </c>
      <c r="T1311" s="12">
        <v>5.9158110990380597E-2</v>
      </c>
      <c r="U1311" s="14">
        <v>1484</v>
      </c>
      <c r="V1311" s="14">
        <v>2</v>
      </c>
      <c r="W1311" s="12">
        <v>5.5999999999999999E-3</v>
      </c>
      <c r="X1311" s="12">
        <v>6.4758110990380605E-2</v>
      </c>
      <c r="Y1311" s="14">
        <v>1484</v>
      </c>
      <c r="Z1311" s="14">
        <v>24</v>
      </c>
      <c r="AA1311" s="12" t="s">
        <v>2370</v>
      </c>
    </row>
    <row r="1312" spans="1:27" ht="14.25" x14ac:dyDescent="0.45">
      <c r="A1312" s="12" t="s">
        <v>1254</v>
      </c>
      <c r="B1312" s="12" t="s">
        <v>1971</v>
      </c>
      <c r="C1312" s="12" t="s">
        <v>1974</v>
      </c>
      <c r="D1312" s="12" t="s">
        <v>1982</v>
      </c>
      <c r="E1312" s="20">
        <v>33954</v>
      </c>
      <c r="F1312" s="20">
        <v>43745</v>
      </c>
      <c r="G1312" s="12">
        <v>3.06</v>
      </c>
      <c r="H1312" s="12">
        <v>27.2</v>
      </c>
      <c r="I1312" s="13">
        <v>0.1125</v>
      </c>
      <c r="J1312" s="12" t="s">
        <v>1254</v>
      </c>
      <c r="K1312" s="14">
        <v>1463</v>
      </c>
      <c r="L1312" s="14">
        <v>307</v>
      </c>
      <c r="M1312" s="14">
        <v>1216</v>
      </c>
      <c r="N1312" s="12">
        <v>3.06</v>
      </c>
      <c r="O1312" s="12" t="s">
        <v>1254</v>
      </c>
      <c r="P1312" s="12">
        <v>4.92242356972227E-4</v>
      </c>
      <c r="Q1312" s="12">
        <v>5.1227181192811005E-4</v>
      </c>
      <c r="R1312" s="12">
        <v>0.41129032258064502</v>
      </c>
      <c r="S1312" s="14">
        <v>30</v>
      </c>
      <c r="T1312" s="12">
        <v>5.0476076631965398E-2</v>
      </c>
      <c r="U1312" s="14">
        <v>1515</v>
      </c>
      <c r="V1312" s="14">
        <v>1</v>
      </c>
      <c r="W1312" s="12">
        <v>5.4999999999999997E-3</v>
      </c>
      <c r="X1312" s="12">
        <v>5.5976076631965403E-2</v>
      </c>
      <c r="Y1312" s="14">
        <v>1517</v>
      </c>
      <c r="Z1312" s="14">
        <v>29</v>
      </c>
      <c r="AA1312" s="12" t="s">
        <v>2367</v>
      </c>
    </row>
    <row r="1313" spans="1:27" ht="14.25" x14ac:dyDescent="0.45">
      <c r="A1313" s="12" t="s">
        <v>1269</v>
      </c>
      <c r="B1313" s="12" t="s">
        <v>1971</v>
      </c>
      <c r="C1313" s="12" t="s">
        <v>1974</v>
      </c>
      <c r="D1313" s="12" t="s">
        <v>1974</v>
      </c>
      <c r="E1313" s="20">
        <v>34056</v>
      </c>
      <c r="F1313" s="20">
        <v>44309</v>
      </c>
      <c r="G1313" s="12">
        <v>18.18</v>
      </c>
      <c r="H1313" s="12">
        <v>8.4</v>
      </c>
      <c r="I1313" s="13">
        <v>2.1642857142857101</v>
      </c>
      <c r="J1313" s="12" t="s">
        <v>1269</v>
      </c>
      <c r="K1313" s="14">
        <v>637</v>
      </c>
      <c r="L1313" s="14">
        <v>1226</v>
      </c>
      <c r="M1313" s="14">
        <v>734</v>
      </c>
      <c r="N1313" s="12">
        <v>18.18</v>
      </c>
      <c r="O1313" s="12" t="s">
        <v>1269</v>
      </c>
      <c r="P1313" s="12">
        <v>2.9244987090702901E-3</v>
      </c>
      <c r="Q1313" s="12">
        <v>9.8551339056645992E-3</v>
      </c>
      <c r="R1313" s="12">
        <v>0.12701612903225801</v>
      </c>
      <c r="S1313" s="14">
        <v>29</v>
      </c>
      <c r="T1313" s="12">
        <v>0.72561457069417301</v>
      </c>
      <c r="U1313" s="14">
        <v>701</v>
      </c>
      <c r="V1313" s="14">
        <v>2</v>
      </c>
      <c r="W1313" s="12">
        <v>5.5999999999999999E-3</v>
      </c>
      <c r="X1313" s="12">
        <v>0.73121457069417295</v>
      </c>
      <c r="Y1313" s="14">
        <v>701</v>
      </c>
      <c r="Z1313" s="14">
        <v>29</v>
      </c>
      <c r="AA1313" s="12" t="s">
        <v>2367</v>
      </c>
    </row>
    <row r="1314" spans="1:27" ht="14.25" x14ac:dyDescent="0.45">
      <c r="A1314" s="12" t="s">
        <v>1272</v>
      </c>
      <c r="B1314" s="12" t="s">
        <v>1971</v>
      </c>
      <c r="C1314" s="12" t="s">
        <v>1974</v>
      </c>
      <c r="D1314" s="12" t="s">
        <v>1975</v>
      </c>
      <c r="E1314" s="20">
        <v>30807</v>
      </c>
      <c r="F1314" s="20">
        <v>44335</v>
      </c>
      <c r="G1314" s="12">
        <v>5.39</v>
      </c>
      <c r="H1314" s="12">
        <v>7.5333333333333297</v>
      </c>
      <c r="I1314" s="13">
        <v>0.71548672566371696</v>
      </c>
      <c r="J1314" s="12" t="s">
        <v>1272</v>
      </c>
      <c r="K1314" s="14">
        <v>928</v>
      </c>
      <c r="L1314" s="14">
        <v>1332</v>
      </c>
      <c r="M1314" s="14">
        <v>1007</v>
      </c>
      <c r="N1314" s="12">
        <v>5.39</v>
      </c>
      <c r="O1314" s="12" t="s">
        <v>1272</v>
      </c>
      <c r="P1314" s="12">
        <v>8.6705434773866102E-4</v>
      </c>
      <c r="Q1314" s="12">
        <v>3.25798827881123E-3</v>
      </c>
      <c r="R1314" s="12">
        <v>0.113911290322581</v>
      </c>
      <c r="S1314" s="14">
        <v>38</v>
      </c>
      <c r="T1314" s="12">
        <v>0.23613880546590099</v>
      </c>
      <c r="U1314" s="14">
        <v>990</v>
      </c>
      <c r="V1314" s="14">
        <v>2</v>
      </c>
      <c r="W1314" s="12">
        <v>5.5999999999999999E-3</v>
      </c>
      <c r="X1314" s="12">
        <v>0.24173880546590101</v>
      </c>
      <c r="Y1314" s="14">
        <v>990</v>
      </c>
      <c r="Z1314" s="14">
        <v>38</v>
      </c>
      <c r="AA1314" s="12" t="s">
        <v>2369</v>
      </c>
    </row>
    <row r="1315" spans="1:27" ht="14.25" x14ac:dyDescent="0.45">
      <c r="A1315" s="12" t="s">
        <v>1276</v>
      </c>
      <c r="B1315" s="12" t="s">
        <v>1971</v>
      </c>
      <c r="C1315" s="12" t="s">
        <v>1974</v>
      </c>
      <c r="D1315" s="12" t="s">
        <v>1982</v>
      </c>
      <c r="E1315" s="20">
        <v>36544</v>
      </c>
      <c r="F1315" s="20">
        <v>44356</v>
      </c>
      <c r="G1315" s="12">
        <v>8.15</v>
      </c>
      <c r="H1315" s="12">
        <v>6.8333333333333304</v>
      </c>
      <c r="I1315" s="13">
        <v>1.19268292682927</v>
      </c>
      <c r="J1315" s="12" t="s">
        <v>1276</v>
      </c>
      <c r="K1315" s="14">
        <v>770</v>
      </c>
      <c r="L1315" s="14">
        <v>1486</v>
      </c>
      <c r="M1315" s="14">
        <v>886</v>
      </c>
      <c r="N1315" s="12">
        <v>8.15</v>
      </c>
      <c r="O1315" s="12" t="s">
        <v>1276</v>
      </c>
      <c r="P1315" s="12">
        <v>1.3110376501057699E-3</v>
      </c>
      <c r="Q1315" s="12">
        <v>5.4309141687337902E-3</v>
      </c>
      <c r="R1315" s="12">
        <v>0.10332661290322601</v>
      </c>
      <c r="S1315" s="14">
        <v>22</v>
      </c>
      <c r="T1315" s="12">
        <v>0.38859604742482801</v>
      </c>
      <c r="U1315" s="14">
        <v>839</v>
      </c>
      <c r="V1315" s="14">
        <v>1</v>
      </c>
      <c r="W1315" s="12">
        <v>5.4999999999999997E-3</v>
      </c>
      <c r="X1315" s="12">
        <v>0.39409604742482801</v>
      </c>
      <c r="Y1315" s="14">
        <v>839</v>
      </c>
      <c r="Z1315" s="14">
        <v>22</v>
      </c>
      <c r="AA1315" s="12" t="s">
        <v>2370</v>
      </c>
    </row>
    <row r="1316" spans="1:27" ht="14.25" x14ac:dyDescent="0.45">
      <c r="A1316" s="12" t="s">
        <v>1299</v>
      </c>
      <c r="B1316" s="12" t="s">
        <v>1971</v>
      </c>
      <c r="C1316" s="12" t="s">
        <v>1974</v>
      </c>
      <c r="D1316" s="12" t="s">
        <v>1974</v>
      </c>
      <c r="E1316" s="20">
        <v>33864</v>
      </c>
      <c r="F1316" s="20">
        <v>44168</v>
      </c>
      <c r="G1316" s="12">
        <v>0.01</v>
      </c>
      <c r="H1316" s="12">
        <v>13.1</v>
      </c>
      <c r="I1316" s="13">
        <v>7.6335877862595397E-4</v>
      </c>
      <c r="J1316" s="12" t="s">
        <v>1299</v>
      </c>
      <c r="K1316" s="14">
        <v>1834</v>
      </c>
      <c r="L1316" s="14">
        <v>666</v>
      </c>
      <c r="M1316" s="14">
        <v>1944</v>
      </c>
      <c r="N1316" s="12">
        <v>0.01</v>
      </c>
      <c r="O1316" s="12" t="s">
        <v>1299</v>
      </c>
      <c r="P1316" s="12">
        <v>1.6086351535040101E-6</v>
      </c>
      <c r="Q1316" s="12">
        <v>3.4759749749150801E-6</v>
      </c>
      <c r="R1316" s="12">
        <v>0.19808467741935501</v>
      </c>
      <c r="S1316" s="14">
        <v>30</v>
      </c>
      <c r="T1316" s="12">
        <v>2.7757225418859299E-4</v>
      </c>
      <c r="U1316" s="14">
        <v>1957</v>
      </c>
      <c r="V1316" s="14">
        <v>1</v>
      </c>
      <c r="W1316" s="12">
        <v>5.4999999999999997E-3</v>
      </c>
      <c r="X1316" s="12">
        <v>5.7775722541885902E-3</v>
      </c>
      <c r="Y1316" s="14">
        <v>1957</v>
      </c>
      <c r="Z1316" s="14">
        <v>29</v>
      </c>
      <c r="AA1316" s="12" t="s">
        <v>2367</v>
      </c>
    </row>
    <row r="1317" spans="1:27" ht="14.25" x14ac:dyDescent="0.45">
      <c r="A1317" s="12" t="s">
        <v>1313</v>
      </c>
      <c r="B1317" s="12" t="s">
        <v>1971</v>
      </c>
      <c r="C1317" s="12" t="s">
        <v>1974</v>
      </c>
      <c r="D1317" s="12" t="s">
        <v>1982</v>
      </c>
      <c r="E1317" s="20">
        <v>37372</v>
      </c>
      <c r="F1317" s="20">
        <v>44370</v>
      </c>
      <c r="G1317" s="12">
        <v>10.01</v>
      </c>
      <c r="H1317" s="12">
        <v>6.3666666666666698</v>
      </c>
      <c r="I1317" s="13">
        <v>1.5722513089005199</v>
      </c>
      <c r="J1317" s="12" t="s">
        <v>1313</v>
      </c>
      <c r="K1317" s="14">
        <v>721</v>
      </c>
      <c r="L1317" s="14">
        <v>1504</v>
      </c>
      <c r="M1317" s="14">
        <v>841</v>
      </c>
      <c r="N1317" s="12">
        <v>10.01</v>
      </c>
      <c r="O1317" s="12" t="s">
        <v>1313</v>
      </c>
      <c r="P1317" s="12">
        <v>1.6102437886575101E-3</v>
      </c>
      <c r="Q1317" s="12">
        <v>7.1592891272605702E-3</v>
      </c>
      <c r="R1317" s="12">
        <v>9.6270161290322606E-2</v>
      </c>
      <c r="S1317" s="14">
        <v>20</v>
      </c>
      <c r="T1317" s="12">
        <v>0.50783971252844295</v>
      </c>
      <c r="U1317" s="14">
        <v>780</v>
      </c>
      <c r="V1317" s="14">
        <v>2</v>
      </c>
      <c r="W1317" s="12">
        <v>5.5999999999999999E-3</v>
      </c>
      <c r="X1317" s="12">
        <v>0.513439712528443</v>
      </c>
      <c r="Y1317" s="14">
        <v>780</v>
      </c>
      <c r="Z1317" s="14">
        <v>20</v>
      </c>
      <c r="AA1317" s="12" t="s">
        <v>2370</v>
      </c>
    </row>
    <row r="1318" spans="1:27" ht="14.25" x14ac:dyDescent="0.45">
      <c r="A1318" s="12" t="s">
        <v>1319</v>
      </c>
      <c r="B1318" s="12" t="s">
        <v>1971</v>
      </c>
      <c r="C1318" s="12" t="s">
        <v>1974</v>
      </c>
      <c r="D1318" s="12" t="s">
        <v>1990</v>
      </c>
      <c r="E1318" s="20">
        <v>34015</v>
      </c>
      <c r="F1318" s="20">
        <v>44372</v>
      </c>
      <c r="G1318" s="12">
        <v>3.89</v>
      </c>
      <c r="H1318" s="12">
        <v>6.3</v>
      </c>
      <c r="I1318" s="13">
        <v>0.61746031746031704</v>
      </c>
      <c r="J1318" s="12" t="s">
        <v>1319</v>
      </c>
      <c r="K1318" s="14">
        <v>984</v>
      </c>
      <c r="L1318" s="14">
        <v>1606</v>
      </c>
      <c r="M1318" s="14">
        <v>1126</v>
      </c>
      <c r="N1318" s="12">
        <v>3.89</v>
      </c>
      <c r="O1318" s="12" t="s">
        <v>1319</v>
      </c>
      <c r="P1318" s="12">
        <v>6.2575907471305999E-4</v>
      </c>
      <c r="Q1318" s="12">
        <v>2.8116223610586901E-3</v>
      </c>
      <c r="R1318" s="12">
        <v>9.5262096774193505E-2</v>
      </c>
      <c r="S1318" s="14">
        <v>29</v>
      </c>
      <c r="T1318" s="12">
        <v>0.19919236286790801</v>
      </c>
      <c r="U1318" s="14">
        <v>1046</v>
      </c>
      <c r="V1318" s="14">
        <v>1</v>
      </c>
      <c r="W1318" s="12">
        <v>5.4999999999999997E-3</v>
      </c>
      <c r="X1318" s="12">
        <v>0.20469236286790801</v>
      </c>
      <c r="Y1318" s="14">
        <v>1047</v>
      </c>
      <c r="Z1318" s="14">
        <v>29</v>
      </c>
      <c r="AA1318" s="12" t="s">
        <v>2367</v>
      </c>
    </row>
    <row r="1319" spans="1:27" ht="14.25" x14ac:dyDescent="0.45">
      <c r="A1319" s="12" t="s">
        <v>1347</v>
      </c>
      <c r="B1319" s="12" t="s">
        <v>1971</v>
      </c>
      <c r="C1319" s="12" t="s">
        <v>1974</v>
      </c>
      <c r="D1319" s="12" t="s">
        <v>1975</v>
      </c>
      <c r="E1319" s="20">
        <v>32066</v>
      </c>
      <c r="F1319" s="20">
        <v>44285</v>
      </c>
      <c r="G1319" s="12">
        <v>0.28999999999999998</v>
      </c>
      <c r="H1319" s="12">
        <v>9.1999999999999993</v>
      </c>
      <c r="I1319" s="13">
        <v>3.1521739130434802E-2</v>
      </c>
      <c r="J1319" s="12" t="s">
        <v>1347</v>
      </c>
      <c r="K1319" s="14">
        <v>1650</v>
      </c>
      <c r="L1319" s="14">
        <v>1105</v>
      </c>
      <c r="M1319" s="14">
        <v>1740</v>
      </c>
      <c r="N1319" s="12">
        <v>0.28999999999999998</v>
      </c>
      <c r="O1319" s="12" t="s">
        <v>1347</v>
      </c>
      <c r="P1319" s="12">
        <v>4.6650419451616299E-5</v>
      </c>
      <c r="Q1319" s="12">
        <v>1.4353509706198299E-4</v>
      </c>
      <c r="R1319" s="12">
        <v>0.13911290322580599</v>
      </c>
      <c r="S1319" s="14">
        <v>35</v>
      </c>
      <c r="T1319" s="12">
        <v>1.07203342958095E-2</v>
      </c>
      <c r="U1319" s="14">
        <v>1755</v>
      </c>
      <c r="V1319" s="14">
        <v>1</v>
      </c>
      <c r="W1319" s="12">
        <v>5.4999999999999997E-3</v>
      </c>
      <c r="X1319" s="12">
        <v>1.6220334295809501E-2</v>
      </c>
      <c r="Y1319" s="14">
        <v>1755</v>
      </c>
      <c r="Z1319" s="14">
        <v>34</v>
      </c>
      <c r="AA1319" s="12" t="s">
        <v>2367</v>
      </c>
    </row>
    <row r="1320" spans="1:27" ht="14.25" x14ac:dyDescent="0.45">
      <c r="A1320" s="12" t="s">
        <v>1367</v>
      </c>
      <c r="B1320" s="12" t="s">
        <v>1971</v>
      </c>
      <c r="C1320" s="12" t="s">
        <v>1974</v>
      </c>
      <c r="D1320" s="12" t="s">
        <v>1982</v>
      </c>
      <c r="E1320" s="20">
        <v>36042</v>
      </c>
      <c r="F1320" s="20">
        <v>44357</v>
      </c>
      <c r="G1320" s="12">
        <v>3.53</v>
      </c>
      <c r="H1320" s="12">
        <v>6.8</v>
      </c>
      <c r="I1320" s="13">
        <v>0.51911764705882302</v>
      </c>
      <c r="J1320" s="12" t="s">
        <v>1367</v>
      </c>
      <c r="K1320" s="14">
        <v>1036</v>
      </c>
      <c r="L1320" s="14">
        <v>1489</v>
      </c>
      <c r="M1320" s="14">
        <v>1169</v>
      </c>
      <c r="N1320" s="12">
        <v>3.53</v>
      </c>
      <c r="O1320" s="12" t="s">
        <v>1367</v>
      </c>
      <c r="P1320" s="12">
        <v>5.67848209186915E-4</v>
      </c>
      <c r="Q1320" s="12">
        <v>2.3638163347793799E-3</v>
      </c>
      <c r="R1320" s="12">
        <v>0.102822580645161</v>
      </c>
      <c r="S1320" s="14">
        <v>24</v>
      </c>
      <c r="T1320" s="12">
        <v>0.16903282876822101</v>
      </c>
      <c r="U1320" s="14">
        <v>1109</v>
      </c>
      <c r="V1320" s="14">
        <v>1</v>
      </c>
      <c r="W1320" s="12">
        <v>5.4999999999999997E-3</v>
      </c>
      <c r="X1320" s="12">
        <v>0.17453282876822099</v>
      </c>
      <c r="Y1320" s="14">
        <v>1109</v>
      </c>
      <c r="Z1320" s="14">
        <v>23</v>
      </c>
      <c r="AA1320" s="12" t="s">
        <v>2370</v>
      </c>
    </row>
    <row r="1321" spans="1:27" ht="14.25" x14ac:dyDescent="0.45">
      <c r="A1321" s="12" t="s">
        <v>1371</v>
      </c>
      <c r="B1321" s="12" t="s">
        <v>1971</v>
      </c>
      <c r="C1321" s="12" t="s">
        <v>1974</v>
      </c>
      <c r="D1321" s="12" t="s">
        <v>1993</v>
      </c>
      <c r="E1321" s="20">
        <v>34983</v>
      </c>
      <c r="F1321" s="20">
        <v>44335</v>
      </c>
      <c r="G1321" s="12">
        <v>5.63</v>
      </c>
      <c r="H1321" s="12">
        <v>7.5333333333333297</v>
      </c>
      <c r="I1321" s="13">
        <v>0.74734513274336301</v>
      </c>
      <c r="J1321" s="12" t="s">
        <v>1371</v>
      </c>
      <c r="K1321" s="14">
        <v>912</v>
      </c>
      <c r="L1321" s="14">
        <v>1332</v>
      </c>
      <c r="M1321" s="14">
        <v>992</v>
      </c>
      <c r="N1321" s="12">
        <v>5.63</v>
      </c>
      <c r="O1321" s="12" t="s">
        <v>1371</v>
      </c>
      <c r="P1321" s="12">
        <v>9.05661591422757E-4</v>
      </c>
      <c r="Q1321" s="12">
        <v>3.4030564025430798E-3</v>
      </c>
      <c r="R1321" s="12">
        <v>0.113911290322581</v>
      </c>
      <c r="S1321" s="14">
        <v>27</v>
      </c>
      <c r="T1321" s="12">
        <v>0.24665333483729601</v>
      </c>
      <c r="U1321" s="14">
        <v>972</v>
      </c>
      <c r="V1321" s="14">
        <v>1</v>
      </c>
      <c r="W1321" s="12">
        <v>5.4999999999999997E-3</v>
      </c>
      <c r="X1321" s="12">
        <v>0.25215333483729602</v>
      </c>
      <c r="Y1321" s="14">
        <v>972</v>
      </c>
      <c r="Z1321" s="14">
        <v>26</v>
      </c>
      <c r="AA1321" s="12" t="s">
        <v>2367</v>
      </c>
    </row>
    <row r="1322" spans="1:27" ht="14.25" x14ac:dyDescent="0.45">
      <c r="A1322" s="12" t="s">
        <v>1388</v>
      </c>
      <c r="B1322" s="12" t="s">
        <v>1971</v>
      </c>
      <c r="C1322" s="12" t="s">
        <v>1974</v>
      </c>
      <c r="D1322" s="12" t="s">
        <v>2091</v>
      </c>
      <c r="E1322" s="20">
        <v>34015</v>
      </c>
      <c r="F1322" s="20">
        <v>44334</v>
      </c>
      <c r="G1322" s="12">
        <v>8.2799999999999994</v>
      </c>
      <c r="H1322" s="12">
        <v>7.56666666666667</v>
      </c>
      <c r="I1322" s="13">
        <v>1.0942731277533</v>
      </c>
      <c r="J1322" s="12" t="s">
        <v>1388</v>
      </c>
      <c r="K1322" s="14">
        <v>795</v>
      </c>
      <c r="L1322" s="14">
        <v>1269</v>
      </c>
      <c r="M1322" s="14">
        <v>884</v>
      </c>
      <c r="N1322" s="12">
        <v>8.2799999999999994</v>
      </c>
      <c r="O1322" s="12" t="s">
        <v>1388</v>
      </c>
      <c r="P1322" s="12">
        <v>1.3319499071013201E-3</v>
      </c>
      <c r="Q1322" s="12">
        <v>4.9828024702082297E-3</v>
      </c>
      <c r="R1322" s="12">
        <v>0.114415322580645</v>
      </c>
      <c r="S1322" s="14">
        <v>29</v>
      </c>
      <c r="T1322" s="12">
        <v>0.36137327590431401</v>
      </c>
      <c r="U1322" s="14">
        <v>861</v>
      </c>
      <c r="V1322" s="14">
        <v>3</v>
      </c>
      <c r="W1322" s="12">
        <v>5.7000000000000002E-3</v>
      </c>
      <c r="X1322" s="12">
        <v>0.36707327590431399</v>
      </c>
      <c r="Y1322" s="14">
        <v>862</v>
      </c>
      <c r="Z1322" s="14">
        <v>29</v>
      </c>
      <c r="AA1322" s="12" t="s">
        <v>2367</v>
      </c>
    </row>
    <row r="1323" spans="1:27" ht="14.25" x14ac:dyDescent="0.45">
      <c r="A1323" s="12" t="s">
        <v>1393</v>
      </c>
      <c r="B1323" s="12" t="s">
        <v>1971</v>
      </c>
      <c r="C1323" s="12" t="s">
        <v>1974</v>
      </c>
      <c r="D1323" s="12" t="s">
        <v>1975</v>
      </c>
      <c r="E1323" s="20">
        <v>36673</v>
      </c>
      <c r="F1323" s="20">
        <v>44336</v>
      </c>
      <c r="G1323" s="12">
        <v>6.45</v>
      </c>
      <c r="H1323" s="12">
        <v>7.5</v>
      </c>
      <c r="I1323" s="13">
        <v>0.86</v>
      </c>
      <c r="J1323" s="12" t="s">
        <v>1393</v>
      </c>
      <c r="K1323" s="14">
        <v>872</v>
      </c>
      <c r="L1323" s="14">
        <v>1377</v>
      </c>
      <c r="M1323" s="14">
        <v>940</v>
      </c>
      <c r="N1323" s="12">
        <v>6.45</v>
      </c>
      <c r="O1323" s="12" t="s">
        <v>1393</v>
      </c>
      <c r="P1323" s="12">
        <v>1.03756967401009E-3</v>
      </c>
      <c r="Q1323" s="12">
        <v>3.9160334067393299E-3</v>
      </c>
      <c r="R1323" s="12">
        <v>0.113407258064516</v>
      </c>
      <c r="S1323" s="14">
        <v>22</v>
      </c>
      <c r="T1323" s="12">
        <v>0.28366095069658598</v>
      </c>
      <c r="U1323" s="14">
        <v>936</v>
      </c>
      <c r="V1323" s="14">
        <v>2</v>
      </c>
      <c r="W1323" s="12">
        <v>5.5999999999999999E-3</v>
      </c>
      <c r="X1323" s="12">
        <v>0.28926095069658597</v>
      </c>
      <c r="Y1323" s="14">
        <v>936</v>
      </c>
      <c r="Z1323" s="14">
        <v>22</v>
      </c>
      <c r="AA1323" s="12" t="s">
        <v>2370</v>
      </c>
    </row>
    <row r="1324" spans="1:27" ht="14.25" x14ac:dyDescent="0.45">
      <c r="A1324" s="12" t="s">
        <v>1438</v>
      </c>
      <c r="B1324" s="12" t="s">
        <v>1971</v>
      </c>
      <c r="C1324" s="12" t="s">
        <v>1974</v>
      </c>
      <c r="D1324" s="12" t="s">
        <v>1997</v>
      </c>
      <c r="E1324" s="20">
        <v>34373</v>
      </c>
      <c r="F1324" s="20">
        <v>44327</v>
      </c>
      <c r="G1324" s="12">
        <v>30.35</v>
      </c>
      <c r="H1324" s="12">
        <v>7.8</v>
      </c>
      <c r="I1324" s="13">
        <v>3.8910256410256401</v>
      </c>
      <c r="J1324" s="12" t="s">
        <v>1438</v>
      </c>
      <c r="K1324" s="14">
        <v>501</v>
      </c>
      <c r="L1324" s="14">
        <v>1252</v>
      </c>
      <c r="M1324" s="14">
        <v>563</v>
      </c>
      <c r="N1324" s="12">
        <v>30.35</v>
      </c>
      <c r="O1324" s="12" t="s">
        <v>1438</v>
      </c>
      <c r="P1324" s="12">
        <v>4.8822076908846702E-3</v>
      </c>
      <c r="Q1324" s="12">
        <v>1.7717891158995001E-2</v>
      </c>
      <c r="R1324" s="12">
        <v>0.117943548387097</v>
      </c>
      <c r="S1324" s="14">
        <v>28</v>
      </c>
      <c r="T1324" s="12">
        <v>1.2904509858453701</v>
      </c>
      <c r="U1324" s="14">
        <v>527</v>
      </c>
      <c r="V1324" s="14">
        <v>1</v>
      </c>
      <c r="W1324" s="12">
        <v>5.4999999999999997E-3</v>
      </c>
      <c r="X1324" s="12">
        <v>1.2959509858453699</v>
      </c>
      <c r="Y1324" s="14">
        <v>527</v>
      </c>
      <c r="Z1324" s="14">
        <v>28</v>
      </c>
      <c r="AA1324" s="12" t="s">
        <v>2367</v>
      </c>
    </row>
    <row r="1325" spans="1:27" ht="14.25" x14ac:dyDescent="0.45">
      <c r="A1325" s="12" t="s">
        <v>1449</v>
      </c>
      <c r="B1325" s="12" t="s">
        <v>1971</v>
      </c>
      <c r="C1325" s="12" t="s">
        <v>1974</v>
      </c>
      <c r="D1325" s="12" t="s">
        <v>1974</v>
      </c>
      <c r="E1325" s="20">
        <v>30951</v>
      </c>
      <c r="F1325" s="20">
        <v>44285</v>
      </c>
      <c r="G1325" s="12">
        <v>4.1100000000000003</v>
      </c>
      <c r="H1325" s="12">
        <v>9.1999999999999993</v>
      </c>
      <c r="I1325" s="13">
        <v>0.44673913043478303</v>
      </c>
      <c r="J1325" s="12" t="s">
        <v>1449</v>
      </c>
      <c r="K1325" s="14">
        <v>1103</v>
      </c>
      <c r="L1325" s="14">
        <v>1105</v>
      </c>
      <c r="M1325" s="14">
        <v>1107</v>
      </c>
      <c r="N1325" s="12">
        <v>4.1100000000000003</v>
      </c>
      <c r="O1325" s="12" t="s">
        <v>1449</v>
      </c>
      <c r="P1325" s="12">
        <v>6.6114904809014795E-4</v>
      </c>
      <c r="Q1325" s="12">
        <v>2.0342387893956802E-3</v>
      </c>
      <c r="R1325" s="12">
        <v>0.13911290322580599</v>
      </c>
      <c r="S1325" s="14">
        <v>38</v>
      </c>
      <c r="T1325" s="12">
        <v>0.15193301364061099</v>
      </c>
      <c r="U1325" s="14">
        <v>1154</v>
      </c>
      <c r="V1325" s="14">
        <v>1</v>
      </c>
      <c r="W1325" s="12">
        <v>5.4999999999999997E-3</v>
      </c>
      <c r="X1325" s="12">
        <v>0.15743301364061099</v>
      </c>
      <c r="Y1325" s="14">
        <v>1154</v>
      </c>
      <c r="Z1325" s="14">
        <v>37</v>
      </c>
      <c r="AA1325" s="12" t="s">
        <v>2369</v>
      </c>
    </row>
    <row r="1326" spans="1:27" ht="14.25" x14ac:dyDescent="0.45">
      <c r="A1326" s="12" t="s">
        <v>1468</v>
      </c>
      <c r="B1326" s="12" t="s">
        <v>1971</v>
      </c>
      <c r="C1326" s="12" t="s">
        <v>1974</v>
      </c>
      <c r="D1326" s="12" t="s">
        <v>1982</v>
      </c>
      <c r="E1326" s="20">
        <v>35040</v>
      </c>
      <c r="F1326" s="20">
        <v>44389</v>
      </c>
      <c r="G1326" s="12">
        <v>3.45</v>
      </c>
      <c r="H1326" s="12">
        <v>5.7333333333333298</v>
      </c>
      <c r="I1326" s="13">
        <v>0.60174418604651203</v>
      </c>
      <c r="J1326" s="12" t="s">
        <v>1468</v>
      </c>
      <c r="K1326" s="14">
        <v>995</v>
      </c>
      <c r="L1326" s="14">
        <v>1660</v>
      </c>
      <c r="M1326" s="14">
        <v>1181</v>
      </c>
      <c r="N1326" s="12">
        <v>3.45</v>
      </c>
      <c r="O1326" s="12" t="s">
        <v>1468</v>
      </c>
      <c r="P1326" s="12">
        <v>5.5497912795888301E-4</v>
      </c>
      <c r="Q1326" s="12">
        <v>2.7400585289177998E-3</v>
      </c>
      <c r="R1326" s="12">
        <v>8.6693548387096794E-2</v>
      </c>
      <c r="S1326" s="14">
        <v>27</v>
      </c>
      <c r="T1326" s="12">
        <v>0.19206537535582099</v>
      </c>
      <c r="U1326" s="14">
        <v>1066</v>
      </c>
      <c r="V1326" s="14">
        <v>2</v>
      </c>
      <c r="W1326" s="12">
        <v>5.5999999999999999E-3</v>
      </c>
      <c r="X1326" s="12">
        <v>0.19766537535582099</v>
      </c>
      <c r="Y1326" s="14">
        <v>1066</v>
      </c>
      <c r="Z1326" s="14">
        <v>26</v>
      </c>
      <c r="AA1326" s="12" t="s">
        <v>2367</v>
      </c>
    </row>
    <row r="1327" spans="1:27" ht="14.25" x14ac:dyDescent="0.45">
      <c r="A1327" s="12" t="s">
        <v>1507</v>
      </c>
      <c r="B1327" s="12" t="s">
        <v>1971</v>
      </c>
      <c r="C1327" s="12" t="s">
        <v>1974</v>
      </c>
      <c r="D1327" s="12" t="s">
        <v>1974</v>
      </c>
      <c r="E1327" s="20">
        <v>30850</v>
      </c>
      <c r="F1327" s="20">
        <v>44370</v>
      </c>
      <c r="G1327" s="12">
        <v>1.2</v>
      </c>
      <c r="H1327" s="12">
        <v>6.3666666666666698</v>
      </c>
      <c r="I1327" s="13">
        <v>0.18848167539267</v>
      </c>
      <c r="J1327" s="12" t="s">
        <v>1507</v>
      </c>
      <c r="K1327" s="14">
        <v>1361</v>
      </c>
      <c r="L1327" s="14">
        <v>1504</v>
      </c>
      <c r="M1327" s="14">
        <v>1522</v>
      </c>
      <c r="N1327" s="12">
        <v>1.2</v>
      </c>
      <c r="O1327" s="12" t="s">
        <v>1507</v>
      </c>
      <c r="P1327" s="12">
        <v>1.93036218420481E-4</v>
      </c>
      <c r="Q1327" s="12">
        <v>8.5825643883243605E-4</v>
      </c>
      <c r="R1327" s="12">
        <v>9.6270161290322606E-2</v>
      </c>
      <c r="S1327" s="14">
        <v>38</v>
      </c>
      <c r="T1327" s="12">
        <v>6.0879885617795303E-2</v>
      </c>
      <c r="U1327" s="14">
        <v>1476</v>
      </c>
      <c r="V1327" s="14">
        <v>1</v>
      </c>
      <c r="W1327" s="12">
        <v>5.4999999999999997E-3</v>
      </c>
      <c r="X1327" s="12">
        <v>6.6379885617795301E-2</v>
      </c>
      <c r="Y1327" s="14">
        <v>1477</v>
      </c>
      <c r="Z1327" s="14">
        <v>38</v>
      </c>
      <c r="AA1327" s="12" t="s">
        <v>2369</v>
      </c>
    </row>
    <row r="1328" spans="1:27" ht="14.25" x14ac:dyDescent="0.45">
      <c r="A1328" s="12" t="s">
        <v>1517</v>
      </c>
      <c r="B1328" s="12" t="s">
        <v>1971</v>
      </c>
      <c r="C1328" s="12" t="s">
        <v>1974</v>
      </c>
      <c r="D1328" s="12" t="s">
        <v>1982</v>
      </c>
      <c r="E1328" s="20">
        <v>29086</v>
      </c>
      <c r="F1328" s="20">
        <v>44337</v>
      </c>
      <c r="G1328" s="12">
        <v>0.02</v>
      </c>
      <c r="H1328" s="12">
        <v>7.4666666666666703</v>
      </c>
      <c r="I1328" s="13">
        <v>2.6785714285714299E-3</v>
      </c>
      <c r="J1328" s="12" t="s">
        <v>1517</v>
      </c>
      <c r="K1328" s="14">
        <v>1800</v>
      </c>
      <c r="L1328" s="14">
        <v>1428</v>
      </c>
      <c r="M1328" s="14">
        <v>1922</v>
      </c>
      <c r="N1328" s="12">
        <v>0.02</v>
      </c>
      <c r="O1328" s="12" t="s">
        <v>1517</v>
      </c>
      <c r="P1328" s="12">
        <v>3.2172703070080202E-6</v>
      </c>
      <c r="Q1328" s="12">
        <v>1.2196947903050199E-5</v>
      </c>
      <c r="R1328" s="12">
        <v>0.112903225806452</v>
      </c>
      <c r="S1328" s="14">
        <v>43</v>
      </c>
      <c r="T1328" s="12">
        <v>8.8295688045344101E-4</v>
      </c>
      <c r="U1328" s="14">
        <v>1913</v>
      </c>
      <c r="V1328" s="14">
        <v>1</v>
      </c>
      <c r="W1328" s="12">
        <v>5.4999999999999997E-3</v>
      </c>
      <c r="X1328" s="12">
        <v>6.3829568804534397E-3</v>
      </c>
      <c r="Y1328" s="14">
        <v>1914</v>
      </c>
      <c r="Z1328" s="14">
        <v>42</v>
      </c>
      <c r="AA1328" s="12" t="s">
        <v>2369</v>
      </c>
    </row>
    <row r="1329" spans="1:27" ht="14.25" x14ac:dyDescent="0.45">
      <c r="A1329" s="12" t="s">
        <v>1529</v>
      </c>
      <c r="B1329" s="12" t="s">
        <v>1971</v>
      </c>
      <c r="C1329" s="12" t="s">
        <v>1974</v>
      </c>
      <c r="D1329" s="12" t="s">
        <v>1974</v>
      </c>
      <c r="E1329" s="20">
        <v>32703</v>
      </c>
      <c r="F1329" s="20">
        <v>44336</v>
      </c>
      <c r="G1329" s="12">
        <v>0.78</v>
      </c>
      <c r="H1329" s="12">
        <v>7.5</v>
      </c>
      <c r="I1329" s="13">
        <v>0.104</v>
      </c>
      <c r="J1329" s="12" t="s">
        <v>1529</v>
      </c>
      <c r="K1329" s="14">
        <v>1481</v>
      </c>
      <c r="L1329" s="14">
        <v>1377</v>
      </c>
      <c r="M1329" s="14">
        <v>1603</v>
      </c>
      <c r="N1329" s="12">
        <v>0.78</v>
      </c>
      <c r="O1329" s="12" t="s">
        <v>1529</v>
      </c>
      <c r="P1329" s="12">
        <v>1.2547354197331301E-4</v>
      </c>
      <c r="Q1329" s="12">
        <v>4.7356683058243098E-4</v>
      </c>
      <c r="R1329" s="12">
        <v>0.113407258064516</v>
      </c>
      <c r="S1329" s="14">
        <v>33</v>
      </c>
      <c r="T1329" s="12">
        <v>3.4303184735401199E-2</v>
      </c>
      <c r="U1329" s="14">
        <v>1592</v>
      </c>
      <c r="V1329" s="14">
        <v>2</v>
      </c>
      <c r="W1329" s="12">
        <v>5.5999999999999999E-3</v>
      </c>
      <c r="X1329" s="12">
        <v>3.99031847354012E-2</v>
      </c>
      <c r="Y1329" s="14">
        <v>1592</v>
      </c>
      <c r="Z1329" s="14">
        <v>32</v>
      </c>
      <c r="AA1329" s="12" t="s">
        <v>2367</v>
      </c>
    </row>
    <row r="1330" spans="1:27" ht="14.25" x14ac:dyDescent="0.45">
      <c r="A1330" s="12" t="s">
        <v>1533</v>
      </c>
      <c r="B1330" s="12" t="s">
        <v>1971</v>
      </c>
      <c r="C1330" s="12" t="s">
        <v>1974</v>
      </c>
      <c r="D1330" s="12" t="s">
        <v>1997</v>
      </c>
      <c r="E1330" s="20">
        <v>33706</v>
      </c>
      <c r="F1330" s="20">
        <v>44375</v>
      </c>
      <c r="G1330" s="12">
        <v>17.61</v>
      </c>
      <c r="H1330" s="12">
        <v>6.2</v>
      </c>
      <c r="I1330" s="13">
        <v>2.84032258064516</v>
      </c>
      <c r="J1330" s="12" t="s">
        <v>1533</v>
      </c>
      <c r="K1330" s="14">
        <v>568</v>
      </c>
      <c r="L1330" s="14">
        <v>1638</v>
      </c>
      <c r="M1330" s="14">
        <v>743</v>
      </c>
      <c r="N1330" s="12">
        <v>17.61</v>
      </c>
      <c r="O1330" s="12" t="s">
        <v>1533</v>
      </c>
      <c r="P1330" s="12">
        <v>2.8328065053205599E-3</v>
      </c>
      <c r="Q1330" s="12">
        <v>1.29334861764215E-2</v>
      </c>
      <c r="R1330" s="12">
        <v>9.375E-2</v>
      </c>
      <c r="S1330" s="14">
        <v>30</v>
      </c>
      <c r="T1330" s="12">
        <v>0.91457312997586704</v>
      </c>
      <c r="U1330" s="14">
        <v>592</v>
      </c>
      <c r="V1330" s="14">
        <v>3</v>
      </c>
      <c r="W1330" s="12">
        <v>5.7000000000000002E-3</v>
      </c>
      <c r="X1330" s="12">
        <v>0.92027312997586697</v>
      </c>
      <c r="Y1330" s="14">
        <v>592</v>
      </c>
      <c r="Z1330" s="14">
        <v>30</v>
      </c>
      <c r="AA1330" s="12" t="s">
        <v>2367</v>
      </c>
    </row>
    <row r="1331" spans="1:27" ht="14.25" x14ac:dyDescent="0.45">
      <c r="A1331" s="12" t="s">
        <v>1543</v>
      </c>
      <c r="B1331" s="12" t="s">
        <v>1971</v>
      </c>
      <c r="C1331" s="12" t="s">
        <v>1974</v>
      </c>
      <c r="D1331" s="12" t="s">
        <v>1982</v>
      </c>
      <c r="E1331" s="20">
        <v>36355</v>
      </c>
      <c r="F1331" s="20">
        <v>44336</v>
      </c>
      <c r="G1331" s="12">
        <v>1.34</v>
      </c>
      <c r="H1331" s="12">
        <v>7.5</v>
      </c>
      <c r="I1331" s="13">
        <v>0.178666666666667</v>
      </c>
      <c r="J1331" s="12" t="s">
        <v>1543</v>
      </c>
      <c r="K1331" s="14">
        <v>1373</v>
      </c>
      <c r="L1331" s="14">
        <v>1377</v>
      </c>
      <c r="M1331" s="14">
        <v>1498</v>
      </c>
      <c r="N1331" s="12">
        <v>1.34</v>
      </c>
      <c r="O1331" s="12" t="s">
        <v>1543</v>
      </c>
      <c r="P1331" s="12">
        <v>2.1555711056953699E-4</v>
      </c>
      <c r="Q1331" s="12">
        <v>8.1356352946212497E-4</v>
      </c>
      <c r="R1331" s="12">
        <v>0.113407258064516</v>
      </c>
      <c r="S1331" s="14">
        <v>23</v>
      </c>
      <c r="T1331" s="12">
        <v>5.8931112237740398E-2</v>
      </c>
      <c r="U1331" s="14">
        <v>1485</v>
      </c>
      <c r="V1331" s="14">
        <v>1</v>
      </c>
      <c r="W1331" s="12">
        <v>5.4999999999999997E-3</v>
      </c>
      <c r="X1331" s="12">
        <v>6.4431112237740507E-2</v>
      </c>
      <c r="Y1331" s="14">
        <v>1485</v>
      </c>
      <c r="Z1331" s="14">
        <v>22</v>
      </c>
      <c r="AA1331" s="12" t="s">
        <v>2370</v>
      </c>
    </row>
    <row r="1332" spans="1:27" ht="14.25" x14ac:dyDescent="0.45">
      <c r="A1332" s="12" t="s">
        <v>1568</v>
      </c>
      <c r="B1332" s="12" t="s">
        <v>1971</v>
      </c>
      <c r="C1332" s="12" t="s">
        <v>1974</v>
      </c>
      <c r="D1332" s="12" t="s">
        <v>1982</v>
      </c>
      <c r="E1332" s="20">
        <v>36750</v>
      </c>
      <c r="F1332" s="20">
        <v>44404</v>
      </c>
      <c r="G1332" s="12">
        <v>0.22</v>
      </c>
      <c r="H1332" s="12">
        <v>5.2333333333333298</v>
      </c>
      <c r="I1332" s="13">
        <v>4.20382165605096E-2</v>
      </c>
      <c r="J1332" s="12" t="s">
        <v>1568</v>
      </c>
      <c r="K1332" s="14">
        <v>1624</v>
      </c>
      <c r="L1332" s="14">
        <v>1697</v>
      </c>
      <c r="M1332" s="14">
        <v>1775</v>
      </c>
      <c r="N1332" s="12">
        <v>0.22</v>
      </c>
      <c r="O1332" s="12" t="s">
        <v>1568</v>
      </c>
      <c r="P1332" s="12">
        <v>3.5389973377088197E-5</v>
      </c>
      <c r="Q1332" s="12">
        <v>1.9142216326825399E-4</v>
      </c>
      <c r="R1332" s="12">
        <v>7.9133064516129004E-2</v>
      </c>
      <c r="S1332" s="14">
        <v>22</v>
      </c>
      <c r="T1332" s="12">
        <v>1.3291009205906699E-2</v>
      </c>
      <c r="U1332" s="14">
        <v>1731</v>
      </c>
      <c r="V1332" s="14">
        <v>1</v>
      </c>
      <c r="W1332" s="12">
        <v>5.4999999999999997E-3</v>
      </c>
      <c r="X1332" s="12">
        <v>1.8791009205906699E-2</v>
      </c>
      <c r="Y1332" s="14">
        <v>1732</v>
      </c>
      <c r="Z1332" s="14">
        <v>21</v>
      </c>
      <c r="AA1332" s="12" t="s">
        <v>2370</v>
      </c>
    </row>
    <row r="1333" spans="1:27" ht="14.25" x14ac:dyDescent="0.45">
      <c r="A1333" s="12" t="s">
        <v>1581</v>
      </c>
      <c r="B1333" s="12" t="s">
        <v>1971</v>
      </c>
      <c r="C1333" s="12" t="s">
        <v>1974</v>
      </c>
      <c r="D1333" s="12" t="s">
        <v>1975</v>
      </c>
      <c r="E1333" s="20">
        <v>32773</v>
      </c>
      <c r="F1333" s="20">
        <v>43818</v>
      </c>
      <c r="G1333" s="12">
        <v>7.0000000000000007E-2</v>
      </c>
      <c r="H1333" s="12">
        <v>24.766666666666701</v>
      </c>
      <c r="I1333" s="13">
        <v>2.82637954239569E-3</v>
      </c>
      <c r="J1333" s="12" t="s">
        <v>1581</v>
      </c>
      <c r="K1333" s="14">
        <v>1798</v>
      </c>
      <c r="L1333" s="14">
        <v>379</v>
      </c>
      <c r="M1333" s="14">
        <v>1859</v>
      </c>
      <c r="N1333" s="12">
        <v>7.0000000000000007E-2</v>
      </c>
      <c r="O1333" s="12" t="s">
        <v>1581</v>
      </c>
      <c r="P1333" s="12">
        <v>1.12604460745281E-5</v>
      </c>
      <c r="Q1333" s="12">
        <v>1.2869996172262999E-5</v>
      </c>
      <c r="R1333" s="12">
        <v>0.374495967741935</v>
      </c>
      <c r="S1333" s="14">
        <v>33</v>
      </c>
      <c r="T1333" s="12">
        <v>1.22664148856124E-3</v>
      </c>
      <c r="U1333" s="14">
        <v>1900</v>
      </c>
      <c r="V1333" s="14">
        <v>1</v>
      </c>
      <c r="W1333" s="12">
        <v>5.4999999999999997E-3</v>
      </c>
      <c r="X1333" s="12">
        <v>6.7266414885612403E-3</v>
      </c>
      <c r="Y1333" s="14">
        <v>1900</v>
      </c>
      <c r="Z1333" s="14">
        <v>32</v>
      </c>
      <c r="AA1333" s="12" t="s">
        <v>2367</v>
      </c>
    </row>
    <row r="1334" spans="1:27" ht="14.25" x14ac:dyDescent="0.45">
      <c r="A1334" s="12" t="s">
        <v>1611</v>
      </c>
      <c r="B1334" s="12" t="s">
        <v>1971</v>
      </c>
      <c r="C1334" s="12" t="s">
        <v>1974</v>
      </c>
      <c r="D1334" s="12" t="s">
        <v>1973</v>
      </c>
      <c r="E1334" s="20">
        <v>34409</v>
      </c>
      <c r="F1334" s="20">
        <v>44425</v>
      </c>
      <c r="G1334" s="12">
        <v>4.54</v>
      </c>
      <c r="H1334" s="12">
        <v>4.5333333333333297</v>
      </c>
      <c r="I1334" s="13">
        <v>1.0014705882352899</v>
      </c>
      <c r="J1334" s="12" t="s">
        <v>1611</v>
      </c>
      <c r="K1334" s="14">
        <v>819</v>
      </c>
      <c r="L1334" s="14">
        <v>1833</v>
      </c>
      <c r="M1334" s="14">
        <v>1069</v>
      </c>
      <c r="N1334" s="12">
        <v>4.54</v>
      </c>
      <c r="O1334" s="12" t="s">
        <v>1611</v>
      </c>
      <c r="P1334" s="12">
        <v>7.3032035969082E-4</v>
      </c>
      <c r="Q1334" s="12">
        <v>4.5602235806933697E-3</v>
      </c>
      <c r="R1334" s="12">
        <v>6.8548387096774202E-2</v>
      </c>
      <c r="S1334" s="14">
        <v>28</v>
      </c>
      <c r="T1334" s="12">
        <v>0.31240098728174198</v>
      </c>
      <c r="U1334" s="14">
        <v>904</v>
      </c>
      <c r="V1334" s="14">
        <v>2</v>
      </c>
      <c r="W1334" s="12">
        <v>5.5999999999999999E-3</v>
      </c>
      <c r="X1334" s="12">
        <v>0.31800098728174198</v>
      </c>
      <c r="Y1334" s="14">
        <v>904</v>
      </c>
      <c r="Z1334" s="14">
        <v>28</v>
      </c>
      <c r="AA1334" s="12" t="s">
        <v>2367</v>
      </c>
    </row>
    <row r="1335" spans="1:27" ht="14.25" x14ac:dyDescent="0.45">
      <c r="A1335" s="12" t="s">
        <v>1613</v>
      </c>
      <c r="B1335" s="12" t="s">
        <v>1971</v>
      </c>
      <c r="C1335" s="12" t="s">
        <v>1974</v>
      </c>
      <c r="D1335" s="12" t="s">
        <v>1974</v>
      </c>
      <c r="E1335" s="20">
        <v>33565</v>
      </c>
      <c r="F1335" s="20">
        <v>44419</v>
      </c>
      <c r="G1335" s="12">
        <v>21.53</v>
      </c>
      <c r="H1335" s="12">
        <v>4.7333333333333298</v>
      </c>
      <c r="I1335" s="13">
        <v>4.5485915492957698</v>
      </c>
      <c r="J1335" s="12" t="s">
        <v>1613</v>
      </c>
      <c r="K1335" s="14">
        <v>464</v>
      </c>
      <c r="L1335" s="14">
        <v>1780</v>
      </c>
      <c r="M1335" s="14">
        <v>711</v>
      </c>
      <c r="N1335" s="12">
        <v>21.53</v>
      </c>
      <c r="O1335" s="12" t="s">
        <v>1613</v>
      </c>
      <c r="P1335" s="12">
        <v>3.4633914854941298E-3</v>
      </c>
      <c r="Q1335" s="12">
        <v>2.0712135419365701E-2</v>
      </c>
      <c r="R1335" s="12">
        <v>7.1572580645161296E-2</v>
      </c>
      <c r="S1335" s="14">
        <v>31</v>
      </c>
      <c r="T1335" s="12">
        <v>1.42438564441638</v>
      </c>
      <c r="U1335" s="14">
        <v>504</v>
      </c>
      <c r="V1335" s="14">
        <v>2</v>
      </c>
      <c r="W1335" s="12">
        <v>5.5999999999999999E-3</v>
      </c>
      <c r="X1335" s="12">
        <v>1.4299856444163801</v>
      </c>
      <c r="Y1335" s="14">
        <v>504</v>
      </c>
      <c r="Z1335" s="14">
        <v>30</v>
      </c>
      <c r="AA1335" s="12" t="s">
        <v>2367</v>
      </c>
    </row>
    <row r="1336" spans="1:27" ht="14.25" x14ac:dyDescent="0.45">
      <c r="A1336" s="12" t="s">
        <v>1621</v>
      </c>
      <c r="B1336" s="12" t="s">
        <v>1971</v>
      </c>
      <c r="C1336" s="12" t="s">
        <v>1974</v>
      </c>
      <c r="D1336" s="12" t="s">
        <v>1983</v>
      </c>
      <c r="E1336" s="20">
        <v>34975</v>
      </c>
      <c r="F1336" s="20">
        <v>44336</v>
      </c>
      <c r="G1336" s="12">
        <v>1.97</v>
      </c>
      <c r="H1336" s="12">
        <v>7.5</v>
      </c>
      <c r="I1336" s="13">
        <v>0.26266666666666699</v>
      </c>
      <c r="J1336" s="12" t="s">
        <v>1621</v>
      </c>
      <c r="K1336" s="14">
        <v>1262</v>
      </c>
      <c r="L1336" s="14">
        <v>1377</v>
      </c>
      <c r="M1336" s="14">
        <v>1420</v>
      </c>
      <c r="N1336" s="12">
        <v>1.97</v>
      </c>
      <c r="O1336" s="12" t="s">
        <v>1621</v>
      </c>
      <c r="P1336" s="12">
        <v>3.1690112524029E-4</v>
      </c>
      <c r="Q1336" s="12">
        <v>1.19605981570178E-3</v>
      </c>
      <c r="R1336" s="12">
        <v>0.113407258064516</v>
      </c>
      <c r="S1336" s="14">
        <v>27</v>
      </c>
      <c r="T1336" s="12">
        <v>8.6637530677872096E-2</v>
      </c>
      <c r="U1336" s="14">
        <v>1330</v>
      </c>
      <c r="V1336" s="14">
        <v>1</v>
      </c>
      <c r="W1336" s="12">
        <v>5.4999999999999997E-3</v>
      </c>
      <c r="X1336" s="12">
        <v>9.2137530677872101E-2</v>
      </c>
      <c r="Y1336" s="14">
        <v>1330</v>
      </c>
      <c r="Z1336" s="14">
        <v>26</v>
      </c>
      <c r="AA1336" s="12" t="s">
        <v>2367</v>
      </c>
    </row>
    <row r="1337" spans="1:27" ht="14.25" x14ac:dyDescent="0.45">
      <c r="A1337" s="12" t="s">
        <v>1625</v>
      </c>
      <c r="B1337" s="12" t="s">
        <v>1971</v>
      </c>
      <c r="C1337" s="12" t="s">
        <v>1974</v>
      </c>
      <c r="D1337" s="12" t="s">
        <v>1982</v>
      </c>
      <c r="E1337" s="20">
        <v>36683</v>
      </c>
      <c r="F1337" s="20">
        <v>44371</v>
      </c>
      <c r="G1337" s="12">
        <v>15.65</v>
      </c>
      <c r="H1337" s="12">
        <v>6.3333333333333304</v>
      </c>
      <c r="I1337" s="13">
        <v>2.4710526315789498</v>
      </c>
      <c r="J1337" s="12" t="s">
        <v>1625</v>
      </c>
      <c r="K1337" s="14">
        <v>595</v>
      </c>
      <c r="L1337" s="14">
        <v>1557</v>
      </c>
      <c r="M1337" s="14">
        <v>761</v>
      </c>
      <c r="N1337" s="12">
        <v>15.65</v>
      </c>
      <c r="O1337" s="12" t="s">
        <v>1625</v>
      </c>
      <c r="P1337" s="12">
        <v>2.5175140152337702E-3</v>
      </c>
      <c r="Q1337" s="12">
        <v>1.12520054128771E-2</v>
      </c>
      <c r="R1337" s="12">
        <v>9.5766129032257993E-2</v>
      </c>
      <c r="S1337" s="14">
        <v>22</v>
      </c>
      <c r="T1337" s="12">
        <v>0.79765711387608496</v>
      </c>
      <c r="U1337" s="14">
        <v>672</v>
      </c>
      <c r="V1337" s="14">
        <v>2</v>
      </c>
      <c r="W1337" s="12">
        <v>5.5999999999999999E-3</v>
      </c>
      <c r="X1337" s="12">
        <v>0.803257113876085</v>
      </c>
      <c r="Y1337" s="14">
        <v>672</v>
      </c>
      <c r="Z1337" s="14">
        <v>22</v>
      </c>
      <c r="AA1337" s="12" t="s">
        <v>2370</v>
      </c>
    </row>
    <row r="1338" spans="1:27" ht="14.25" x14ac:dyDescent="0.45">
      <c r="A1338" s="12" t="s">
        <v>1645</v>
      </c>
      <c r="B1338" s="12" t="s">
        <v>1971</v>
      </c>
      <c r="C1338" s="12" t="s">
        <v>1974</v>
      </c>
      <c r="D1338" s="12" t="s">
        <v>1974</v>
      </c>
      <c r="E1338" s="20">
        <v>32320</v>
      </c>
      <c r="F1338" s="20">
        <v>44424</v>
      </c>
      <c r="G1338" s="12">
        <v>0.68</v>
      </c>
      <c r="H1338" s="12">
        <v>4.56666666666667</v>
      </c>
      <c r="I1338" s="13">
        <v>0.148905109489051</v>
      </c>
      <c r="J1338" s="12" t="s">
        <v>1645</v>
      </c>
      <c r="K1338" s="14">
        <v>1414</v>
      </c>
      <c r="L1338" s="14">
        <v>1809</v>
      </c>
      <c r="M1338" s="14">
        <v>1636</v>
      </c>
      <c r="N1338" s="12">
        <v>0.68</v>
      </c>
      <c r="O1338" s="12" t="s">
        <v>1645</v>
      </c>
      <c r="P1338" s="12">
        <v>1.0938719043827299E-4</v>
      </c>
      <c r="Q1338" s="12">
        <v>6.7804346882942095E-4</v>
      </c>
      <c r="R1338" s="12">
        <v>6.9052419354838704E-2</v>
      </c>
      <c r="S1338" s="14">
        <v>34</v>
      </c>
      <c r="T1338" s="12">
        <v>4.6479736443274002E-2</v>
      </c>
      <c r="U1338" s="14">
        <v>1535</v>
      </c>
      <c r="V1338" s="14">
        <v>1</v>
      </c>
      <c r="W1338" s="12">
        <v>5.4999999999999997E-3</v>
      </c>
      <c r="X1338" s="12">
        <v>5.1979736443273999E-2</v>
      </c>
      <c r="Y1338" s="14">
        <v>1535</v>
      </c>
      <c r="Z1338" s="14">
        <v>34</v>
      </c>
      <c r="AA1338" s="12" t="s">
        <v>2367</v>
      </c>
    </row>
    <row r="1339" spans="1:27" ht="14.25" x14ac:dyDescent="0.45">
      <c r="A1339" s="12" t="s">
        <v>1656</v>
      </c>
      <c r="B1339" s="12" t="s">
        <v>1971</v>
      </c>
      <c r="C1339" s="12" t="s">
        <v>1974</v>
      </c>
      <c r="D1339" s="12" t="s">
        <v>1975</v>
      </c>
      <c r="E1339" s="20">
        <v>36884</v>
      </c>
      <c r="F1339" s="20">
        <v>44386</v>
      </c>
      <c r="G1339" s="12">
        <v>10.34</v>
      </c>
      <c r="H1339" s="12">
        <v>5.8333333333333304</v>
      </c>
      <c r="I1339" s="13">
        <v>1.77257142857143</v>
      </c>
      <c r="J1339" s="12" t="s">
        <v>1656</v>
      </c>
      <c r="K1339" s="14">
        <v>695</v>
      </c>
      <c r="L1339" s="14">
        <v>1656</v>
      </c>
      <c r="M1339" s="14">
        <v>835</v>
      </c>
      <c r="N1339" s="12">
        <v>10.34</v>
      </c>
      <c r="O1339" s="12" t="s">
        <v>1656</v>
      </c>
      <c r="P1339" s="12">
        <v>1.66332874872315E-3</v>
      </c>
      <c r="Q1339" s="12">
        <v>8.0714522443225308E-3</v>
      </c>
      <c r="R1339" s="12">
        <v>8.82056451612903E-2</v>
      </c>
      <c r="S1339" s="14">
        <v>22</v>
      </c>
      <c r="T1339" s="12">
        <v>0.56684059334727599</v>
      </c>
      <c r="U1339" s="14">
        <v>760</v>
      </c>
      <c r="V1339" s="14">
        <v>3</v>
      </c>
      <c r="W1339" s="12">
        <v>5.7000000000000002E-3</v>
      </c>
      <c r="X1339" s="12">
        <v>0.57254059334727603</v>
      </c>
      <c r="Y1339" s="14">
        <v>760</v>
      </c>
      <c r="Z1339" s="14">
        <v>21</v>
      </c>
      <c r="AA1339" s="12" t="s">
        <v>2370</v>
      </c>
    </row>
    <row r="1340" spans="1:27" ht="14.25" x14ac:dyDescent="0.45">
      <c r="A1340" s="12" t="s">
        <v>1663</v>
      </c>
      <c r="B1340" s="12" t="s">
        <v>1971</v>
      </c>
      <c r="C1340" s="12" t="s">
        <v>1974</v>
      </c>
      <c r="D1340" s="12" t="s">
        <v>1982</v>
      </c>
      <c r="E1340" s="20">
        <v>36455</v>
      </c>
      <c r="F1340" s="20">
        <v>44336</v>
      </c>
      <c r="G1340" s="12">
        <v>1.29</v>
      </c>
      <c r="H1340" s="12">
        <v>7.5</v>
      </c>
      <c r="I1340" s="13">
        <v>0.17199999999999999</v>
      </c>
      <c r="J1340" s="12" t="s">
        <v>1663</v>
      </c>
      <c r="K1340" s="14">
        <v>1380</v>
      </c>
      <c r="L1340" s="14">
        <v>1377</v>
      </c>
      <c r="M1340" s="14">
        <v>1506</v>
      </c>
      <c r="N1340" s="12">
        <v>1.29</v>
      </c>
      <c r="O1340" s="12" t="s">
        <v>1663</v>
      </c>
      <c r="P1340" s="12">
        <v>2.0751393480201701E-4</v>
      </c>
      <c r="Q1340" s="12">
        <v>7.8320668134786696E-4</v>
      </c>
      <c r="R1340" s="12">
        <v>0.113407258064516</v>
      </c>
      <c r="S1340" s="14">
        <v>23</v>
      </c>
      <c r="T1340" s="12">
        <v>5.6732190139317303E-2</v>
      </c>
      <c r="U1340" s="14">
        <v>1494</v>
      </c>
      <c r="V1340" s="14">
        <v>2</v>
      </c>
      <c r="W1340" s="12">
        <v>5.5999999999999999E-3</v>
      </c>
      <c r="X1340" s="12">
        <v>6.2332190139317303E-2</v>
      </c>
      <c r="Y1340" s="14">
        <v>1494</v>
      </c>
      <c r="Z1340" s="14">
        <v>22</v>
      </c>
      <c r="AA1340" s="12" t="s">
        <v>2370</v>
      </c>
    </row>
    <row r="1341" spans="1:27" ht="14.25" x14ac:dyDescent="0.45">
      <c r="A1341" s="12" t="s">
        <v>1669</v>
      </c>
      <c r="B1341" s="12" t="s">
        <v>1971</v>
      </c>
      <c r="C1341" s="12" t="s">
        <v>1974</v>
      </c>
      <c r="D1341" s="12" t="s">
        <v>1973</v>
      </c>
      <c r="E1341" s="20">
        <v>36971</v>
      </c>
      <c r="F1341" s="20">
        <v>44421</v>
      </c>
      <c r="G1341" s="12">
        <v>205.24</v>
      </c>
      <c r="H1341" s="12">
        <v>4.6666666666666696</v>
      </c>
      <c r="I1341" s="13">
        <v>43.98</v>
      </c>
      <c r="J1341" s="12" t="s">
        <v>1669</v>
      </c>
      <c r="K1341" s="14">
        <v>52</v>
      </c>
      <c r="L1341" s="14">
        <v>1803</v>
      </c>
      <c r="M1341" s="14">
        <v>282</v>
      </c>
      <c r="N1341" s="12">
        <v>205.24</v>
      </c>
      <c r="O1341" s="12" t="s">
        <v>1669</v>
      </c>
      <c r="P1341" s="12">
        <v>3.3015627890516298E-2</v>
      </c>
      <c r="Q1341" s="12">
        <v>0.20026412700976301</v>
      </c>
      <c r="R1341" s="12">
        <v>7.0564516129032306E-2</v>
      </c>
      <c r="S1341" s="14">
        <v>21</v>
      </c>
      <c r="T1341" s="12">
        <v>13.754593984004501</v>
      </c>
      <c r="U1341" s="14">
        <v>77</v>
      </c>
      <c r="V1341" s="14">
        <v>6</v>
      </c>
      <c r="W1341" s="12">
        <v>6.0000000000000001E-3</v>
      </c>
      <c r="X1341" s="12">
        <v>13.760593984004499</v>
      </c>
      <c r="Y1341" s="14">
        <v>77</v>
      </c>
      <c r="Z1341" s="14">
        <v>21</v>
      </c>
      <c r="AA1341" s="12" t="s">
        <v>2370</v>
      </c>
    </row>
    <row r="1342" spans="1:27" ht="14.25" x14ac:dyDescent="0.45">
      <c r="A1342" s="12" t="s">
        <v>1696</v>
      </c>
      <c r="B1342" s="12" t="s">
        <v>1971</v>
      </c>
      <c r="C1342" s="12" t="s">
        <v>1974</v>
      </c>
      <c r="D1342" s="12" t="s">
        <v>1974</v>
      </c>
      <c r="E1342" s="20">
        <v>30879</v>
      </c>
      <c r="F1342" s="20">
        <v>44404</v>
      </c>
      <c r="G1342" s="12">
        <v>2.19</v>
      </c>
      <c r="H1342" s="12">
        <v>5.2333333333333298</v>
      </c>
      <c r="I1342" s="13">
        <v>0.41847133757961802</v>
      </c>
      <c r="J1342" s="12" t="s">
        <v>1696</v>
      </c>
      <c r="K1342" s="14">
        <v>1125</v>
      </c>
      <c r="L1342" s="14">
        <v>1697</v>
      </c>
      <c r="M1342" s="14">
        <v>1325</v>
      </c>
      <c r="N1342" s="12">
        <v>2.19</v>
      </c>
      <c r="O1342" s="12" t="s">
        <v>1696</v>
      </c>
      <c r="P1342" s="12">
        <v>3.5229109861737801E-4</v>
      </c>
      <c r="Q1342" s="12">
        <v>1.9055206252612501E-3</v>
      </c>
      <c r="R1342" s="12">
        <v>7.9133064516129004E-2</v>
      </c>
      <c r="S1342" s="14">
        <v>38</v>
      </c>
      <c r="T1342" s="12">
        <v>0.13230595527698</v>
      </c>
      <c r="U1342" s="14">
        <v>1200</v>
      </c>
      <c r="V1342" s="14">
        <v>2</v>
      </c>
      <c r="W1342" s="12">
        <v>5.5999999999999999E-3</v>
      </c>
      <c r="X1342" s="12">
        <v>0.13790595527697999</v>
      </c>
      <c r="Y1342" s="14">
        <v>1200</v>
      </c>
      <c r="Z1342" s="14">
        <v>37</v>
      </c>
      <c r="AA1342" s="12" t="s">
        <v>2369</v>
      </c>
    </row>
    <row r="1343" spans="1:27" ht="14.25" x14ac:dyDescent="0.45">
      <c r="A1343" s="12" t="s">
        <v>1722</v>
      </c>
      <c r="B1343" s="12" t="s">
        <v>1971</v>
      </c>
      <c r="C1343" s="12" t="s">
        <v>1974</v>
      </c>
      <c r="D1343" s="12" t="s">
        <v>1975</v>
      </c>
      <c r="E1343" s="20">
        <v>36390</v>
      </c>
      <c r="F1343" s="20">
        <v>44398</v>
      </c>
      <c r="G1343" s="12">
        <v>27.88</v>
      </c>
      <c r="H1343" s="12">
        <v>5.43333333333333</v>
      </c>
      <c r="I1343" s="13">
        <v>5.1312883435582801</v>
      </c>
      <c r="J1343" s="12" t="s">
        <v>1722</v>
      </c>
      <c r="K1343" s="14">
        <v>438</v>
      </c>
      <c r="L1343" s="14">
        <v>1681</v>
      </c>
      <c r="M1343" s="14">
        <v>589</v>
      </c>
      <c r="N1343" s="12">
        <v>27.88</v>
      </c>
      <c r="O1343" s="12" t="s">
        <v>1722</v>
      </c>
      <c r="P1343" s="12">
        <v>4.4848748079691801E-3</v>
      </c>
      <c r="Q1343" s="12">
        <v>2.3365461131379502E-2</v>
      </c>
      <c r="R1343" s="12">
        <v>8.2157258064516098E-2</v>
      </c>
      <c r="S1343" s="14">
        <v>23</v>
      </c>
      <c r="T1343" s="12">
        <v>1.62852412601006</v>
      </c>
      <c r="U1343" s="14">
        <v>471</v>
      </c>
      <c r="V1343" s="14">
        <v>2</v>
      </c>
      <c r="W1343" s="12">
        <v>5.5999999999999999E-3</v>
      </c>
      <c r="X1343" s="12">
        <v>1.6341241260100601</v>
      </c>
      <c r="Y1343" s="14">
        <v>471</v>
      </c>
      <c r="Z1343" s="14">
        <v>22</v>
      </c>
      <c r="AA1343" s="12" t="s">
        <v>2370</v>
      </c>
    </row>
    <row r="1344" spans="1:27" ht="14.25" x14ac:dyDescent="0.45">
      <c r="A1344" s="12" t="s">
        <v>1724</v>
      </c>
      <c r="B1344" s="12" t="s">
        <v>1971</v>
      </c>
      <c r="C1344" s="12" t="s">
        <v>1974</v>
      </c>
      <c r="D1344" s="12" t="s">
        <v>1974</v>
      </c>
      <c r="E1344" s="20">
        <v>28582</v>
      </c>
      <c r="F1344" s="20">
        <v>44335</v>
      </c>
      <c r="G1344" s="12">
        <v>7.37</v>
      </c>
      <c r="H1344" s="12">
        <v>7.5333333333333297</v>
      </c>
      <c r="I1344" s="13">
        <v>0.97831858407079597</v>
      </c>
      <c r="J1344" s="12" t="s">
        <v>1724</v>
      </c>
      <c r="K1344" s="14">
        <v>827</v>
      </c>
      <c r="L1344" s="14">
        <v>1332</v>
      </c>
      <c r="M1344" s="14">
        <v>905</v>
      </c>
      <c r="N1344" s="12">
        <v>7.37</v>
      </c>
      <c r="O1344" s="12" t="s">
        <v>1724</v>
      </c>
      <c r="P1344" s="12">
        <v>1.1855641081324501E-3</v>
      </c>
      <c r="Q1344" s="12">
        <v>4.4548002995990202E-3</v>
      </c>
      <c r="R1344" s="12">
        <v>0.113911290322581</v>
      </c>
      <c r="S1344" s="14">
        <v>44</v>
      </c>
      <c r="T1344" s="12">
        <v>0.32288367277990598</v>
      </c>
      <c r="U1344" s="14">
        <v>895</v>
      </c>
      <c r="V1344" s="14">
        <v>2</v>
      </c>
      <c r="W1344" s="12">
        <v>5.5999999999999999E-3</v>
      </c>
      <c r="X1344" s="12">
        <v>0.32848367277990598</v>
      </c>
      <c r="Y1344" s="14">
        <v>895</v>
      </c>
      <c r="Z1344" s="14">
        <v>44</v>
      </c>
      <c r="AA1344" s="12" t="s">
        <v>2369</v>
      </c>
    </row>
    <row r="1345" spans="1:27" ht="14.25" x14ac:dyDescent="0.45">
      <c r="A1345" s="12" t="s">
        <v>1738</v>
      </c>
      <c r="B1345" s="12" t="s">
        <v>1971</v>
      </c>
      <c r="C1345" s="12" t="s">
        <v>1974</v>
      </c>
      <c r="D1345" s="12" t="s">
        <v>2020</v>
      </c>
      <c r="E1345" s="20">
        <v>33938</v>
      </c>
      <c r="F1345" s="20">
        <v>44445</v>
      </c>
      <c r="G1345" s="12">
        <v>2.56</v>
      </c>
      <c r="H1345" s="12">
        <v>3.8666666666666698</v>
      </c>
      <c r="I1345" s="13">
        <v>0.66206896551724104</v>
      </c>
      <c r="J1345" s="12" t="s">
        <v>1738</v>
      </c>
      <c r="K1345" s="14">
        <v>954</v>
      </c>
      <c r="L1345" s="14">
        <v>1864</v>
      </c>
      <c r="M1345" s="14">
        <v>1268</v>
      </c>
      <c r="N1345" s="12">
        <v>2.56</v>
      </c>
      <c r="O1345" s="12" t="s">
        <v>1738</v>
      </c>
      <c r="P1345" s="12">
        <v>4.1181059929702599E-4</v>
      </c>
      <c r="Q1345" s="12">
        <v>3.0147490541056598E-3</v>
      </c>
      <c r="R1345" s="12">
        <v>5.8467741935483902E-2</v>
      </c>
      <c r="S1345" s="14">
        <v>30</v>
      </c>
      <c r="T1345" s="12">
        <v>0.20386471335524201</v>
      </c>
      <c r="U1345" s="14">
        <v>1038</v>
      </c>
      <c r="V1345" s="14">
        <v>1</v>
      </c>
      <c r="W1345" s="12">
        <v>5.4999999999999997E-3</v>
      </c>
      <c r="X1345" s="12">
        <v>0.20936471335524201</v>
      </c>
      <c r="Y1345" s="14">
        <v>1038</v>
      </c>
      <c r="Z1345" s="14">
        <v>29</v>
      </c>
      <c r="AA1345" s="12" t="s">
        <v>2367</v>
      </c>
    </row>
    <row r="1346" spans="1:27" ht="14.25" x14ac:dyDescent="0.45">
      <c r="A1346" s="12" t="s">
        <v>1750</v>
      </c>
      <c r="B1346" s="12" t="s">
        <v>1971</v>
      </c>
      <c r="C1346" s="12" t="s">
        <v>1974</v>
      </c>
      <c r="D1346" s="12" t="s">
        <v>1973</v>
      </c>
      <c r="E1346" s="20">
        <v>32390</v>
      </c>
      <c r="F1346" s="20">
        <v>44419</v>
      </c>
      <c r="G1346" s="12">
        <v>63.9</v>
      </c>
      <c r="H1346" s="12">
        <v>4.7333333333333298</v>
      </c>
      <c r="I1346" s="13">
        <v>13.5</v>
      </c>
      <c r="J1346" s="12" t="s">
        <v>1750</v>
      </c>
      <c r="K1346" s="14">
        <v>214</v>
      </c>
      <c r="L1346" s="14">
        <v>1780</v>
      </c>
      <c r="M1346" s="14">
        <v>442</v>
      </c>
      <c r="N1346" s="12">
        <v>63.9</v>
      </c>
      <c r="O1346" s="12" t="s">
        <v>1750</v>
      </c>
      <c r="P1346" s="12">
        <v>1.02791786308906E-2</v>
      </c>
      <c r="Q1346" s="12">
        <v>6.1472617431373201E-2</v>
      </c>
      <c r="R1346" s="12">
        <v>7.1572580645161296E-2</v>
      </c>
      <c r="S1346" s="14">
        <v>34</v>
      </c>
      <c r="T1346" s="12">
        <v>4.2275077881192296</v>
      </c>
      <c r="U1346" s="14">
        <v>295</v>
      </c>
      <c r="V1346" s="14">
        <v>4</v>
      </c>
      <c r="W1346" s="12">
        <v>5.7999999999999996E-3</v>
      </c>
      <c r="X1346" s="12">
        <v>4.2333077881192196</v>
      </c>
      <c r="Y1346" s="14">
        <v>295</v>
      </c>
      <c r="Z1346" s="14">
        <v>33</v>
      </c>
      <c r="AA1346" s="12" t="s">
        <v>2367</v>
      </c>
    </row>
    <row r="1347" spans="1:27" ht="14.25" x14ac:dyDescent="0.45">
      <c r="A1347" s="12" t="s">
        <v>1754</v>
      </c>
      <c r="B1347" s="12" t="s">
        <v>1971</v>
      </c>
      <c r="C1347" s="12" t="s">
        <v>1974</v>
      </c>
      <c r="D1347" s="12" t="s">
        <v>1982</v>
      </c>
      <c r="E1347" s="20">
        <v>36174</v>
      </c>
      <c r="F1347" s="20">
        <v>44404</v>
      </c>
      <c r="G1347" s="12">
        <v>16.21</v>
      </c>
      <c r="H1347" s="12">
        <v>5.2333333333333298</v>
      </c>
      <c r="I1347" s="13">
        <v>3.09745222929936</v>
      </c>
      <c r="J1347" s="12" t="s">
        <v>1754</v>
      </c>
      <c r="K1347" s="14">
        <v>551</v>
      </c>
      <c r="L1347" s="14">
        <v>1697</v>
      </c>
      <c r="M1347" s="14">
        <v>756</v>
      </c>
      <c r="N1347" s="12">
        <v>16.21</v>
      </c>
      <c r="O1347" s="12" t="s">
        <v>1754</v>
      </c>
      <c r="P1347" s="12">
        <v>2.6075975838300001E-3</v>
      </c>
      <c r="Q1347" s="12">
        <v>1.41043330299018E-2</v>
      </c>
      <c r="R1347" s="12">
        <v>7.9133064516129004E-2</v>
      </c>
      <c r="S1347" s="14">
        <v>23</v>
      </c>
      <c r="T1347" s="12">
        <v>0.97930572376248604</v>
      </c>
      <c r="U1347" s="14">
        <v>575</v>
      </c>
      <c r="V1347" s="14">
        <v>2</v>
      </c>
      <c r="W1347" s="12">
        <v>5.5999999999999999E-3</v>
      </c>
      <c r="X1347" s="12">
        <v>0.98490572376248597</v>
      </c>
      <c r="Y1347" s="14">
        <v>575</v>
      </c>
      <c r="Z1347" s="14">
        <v>23</v>
      </c>
      <c r="AA1347" s="12" t="s">
        <v>2370</v>
      </c>
    </row>
    <row r="1348" spans="1:27" ht="14.25" x14ac:dyDescent="0.45">
      <c r="A1348" s="12" t="s">
        <v>1758</v>
      </c>
      <c r="B1348" s="12" t="s">
        <v>1971</v>
      </c>
      <c r="C1348" s="12" t="s">
        <v>1974</v>
      </c>
      <c r="D1348" s="12" t="s">
        <v>1982</v>
      </c>
      <c r="E1348" s="20">
        <v>34208</v>
      </c>
      <c r="F1348" s="20">
        <v>44412</v>
      </c>
      <c r="G1348" s="12">
        <v>0.24</v>
      </c>
      <c r="H1348" s="12">
        <v>4.9666666666666703</v>
      </c>
      <c r="I1348" s="13">
        <v>4.8322147651006703E-2</v>
      </c>
      <c r="J1348" s="12" t="s">
        <v>1758</v>
      </c>
      <c r="K1348" s="14">
        <v>1612</v>
      </c>
      <c r="L1348" s="14">
        <v>1743</v>
      </c>
      <c r="M1348" s="14">
        <v>1761</v>
      </c>
      <c r="N1348" s="12">
        <v>0.24</v>
      </c>
      <c r="O1348" s="12" t="s">
        <v>1758</v>
      </c>
      <c r="P1348" s="12">
        <v>3.8607243684096202E-5</v>
      </c>
      <c r="Q1348" s="12">
        <v>2.20036214519457E-4</v>
      </c>
      <c r="R1348" s="12">
        <v>7.5100806451612906E-2</v>
      </c>
      <c r="S1348" s="14">
        <v>29</v>
      </c>
      <c r="T1348" s="12">
        <v>1.52000350456197E-2</v>
      </c>
      <c r="U1348" s="14">
        <v>1716</v>
      </c>
      <c r="V1348" s="14">
        <v>2</v>
      </c>
      <c r="W1348" s="12">
        <v>5.5999999999999999E-3</v>
      </c>
      <c r="X1348" s="12">
        <v>2.08000350456197E-2</v>
      </c>
      <c r="Y1348" s="14">
        <v>1716</v>
      </c>
      <c r="Z1348" s="14">
        <v>28</v>
      </c>
      <c r="AA1348" s="12" t="s">
        <v>2367</v>
      </c>
    </row>
    <row r="1349" spans="1:27" ht="14.25" x14ac:dyDescent="0.45">
      <c r="A1349" s="12" t="s">
        <v>1770</v>
      </c>
      <c r="B1349" s="12" t="s">
        <v>1971</v>
      </c>
      <c r="C1349" s="12" t="s">
        <v>1974</v>
      </c>
      <c r="D1349" s="12" t="s">
        <v>1982</v>
      </c>
      <c r="E1349" s="20">
        <v>36906</v>
      </c>
      <c r="F1349" s="20">
        <v>44445</v>
      </c>
      <c r="G1349" s="12">
        <v>1.42</v>
      </c>
      <c r="H1349" s="12">
        <v>3.8666666666666698</v>
      </c>
      <c r="I1349" s="13">
        <v>0.36724137931034501</v>
      </c>
      <c r="J1349" s="12" t="s">
        <v>1770</v>
      </c>
      <c r="K1349" s="14">
        <v>1169</v>
      </c>
      <c r="L1349" s="14">
        <v>1864</v>
      </c>
      <c r="M1349" s="14">
        <v>1486</v>
      </c>
      <c r="N1349" s="12">
        <v>1.42</v>
      </c>
      <c r="O1349" s="12" t="s">
        <v>1770</v>
      </c>
      <c r="P1349" s="12">
        <v>2.2842619179756901E-4</v>
      </c>
      <c r="Q1349" s="12">
        <v>1.6722436159492299E-3</v>
      </c>
      <c r="R1349" s="12">
        <v>5.8467741935483902E-2</v>
      </c>
      <c r="S1349" s="14">
        <v>21</v>
      </c>
      <c r="T1349" s="12">
        <v>0.113081208189236</v>
      </c>
      <c r="U1349" s="14">
        <v>1252</v>
      </c>
      <c r="V1349" s="14">
        <v>1</v>
      </c>
      <c r="W1349" s="12">
        <v>5.4999999999999997E-3</v>
      </c>
      <c r="X1349" s="12">
        <v>0.118581208189236</v>
      </c>
      <c r="Y1349" s="14">
        <v>1252</v>
      </c>
      <c r="Z1349" s="14">
        <v>21</v>
      </c>
      <c r="AA1349" s="12" t="s">
        <v>2370</v>
      </c>
    </row>
    <row r="1350" spans="1:27" ht="14.25" x14ac:dyDescent="0.45">
      <c r="A1350" s="12" t="s">
        <v>1777</v>
      </c>
      <c r="B1350" s="12" t="s">
        <v>1971</v>
      </c>
      <c r="C1350" s="12" t="s">
        <v>1974</v>
      </c>
      <c r="D1350" s="12" t="s">
        <v>1982</v>
      </c>
      <c r="E1350" s="20">
        <v>36529</v>
      </c>
      <c r="F1350" s="20">
        <v>44424</v>
      </c>
      <c r="G1350" s="12">
        <v>111.66</v>
      </c>
      <c r="H1350" s="12">
        <v>4.56666666666667</v>
      </c>
      <c r="I1350" s="13">
        <v>24.451094890510898</v>
      </c>
      <c r="J1350" s="12" t="s">
        <v>1777</v>
      </c>
      <c r="K1350" s="14">
        <v>107</v>
      </c>
      <c r="L1350" s="14">
        <v>1809</v>
      </c>
      <c r="M1350" s="14">
        <v>368</v>
      </c>
      <c r="N1350" s="12">
        <v>111.66</v>
      </c>
      <c r="O1350" s="12" t="s">
        <v>1777</v>
      </c>
      <c r="P1350" s="12">
        <v>1.7962020124025799E-2</v>
      </c>
      <c r="Q1350" s="12">
        <v>0.111338726072784</v>
      </c>
      <c r="R1350" s="12">
        <v>6.9052419354838704E-2</v>
      </c>
      <c r="S1350" s="14">
        <v>22</v>
      </c>
      <c r="T1350" s="12">
        <v>7.6322461341999697</v>
      </c>
      <c r="U1350" s="14">
        <v>167</v>
      </c>
      <c r="V1350" s="14">
        <v>6</v>
      </c>
      <c r="W1350" s="12">
        <v>6.0000000000000001E-3</v>
      </c>
      <c r="X1350" s="12">
        <v>7.6382461341999699</v>
      </c>
      <c r="Y1350" s="14">
        <v>167</v>
      </c>
      <c r="Z1350" s="14">
        <v>22</v>
      </c>
      <c r="AA1350" s="12" t="s">
        <v>2370</v>
      </c>
    </row>
    <row r="1351" spans="1:27" ht="14.25" x14ac:dyDescent="0.45">
      <c r="A1351" s="12" t="s">
        <v>1778</v>
      </c>
      <c r="B1351" s="12" t="s">
        <v>1971</v>
      </c>
      <c r="C1351" s="12" t="s">
        <v>1974</v>
      </c>
      <c r="D1351" s="12" t="s">
        <v>1974</v>
      </c>
      <c r="E1351" s="20">
        <v>34167</v>
      </c>
      <c r="F1351" s="20">
        <v>44406</v>
      </c>
      <c r="G1351" s="12">
        <v>3.65</v>
      </c>
      <c r="H1351" s="12">
        <v>5.1666666666666696</v>
      </c>
      <c r="I1351" s="13">
        <v>0.706451612903226</v>
      </c>
      <c r="J1351" s="12" t="s">
        <v>1778</v>
      </c>
      <c r="K1351" s="14">
        <v>931</v>
      </c>
      <c r="L1351" s="14">
        <v>1715</v>
      </c>
      <c r="M1351" s="14">
        <v>1151</v>
      </c>
      <c r="N1351" s="12">
        <v>3.65</v>
      </c>
      <c r="O1351" s="12" t="s">
        <v>1778</v>
      </c>
      <c r="P1351" s="12">
        <v>5.8715183102896304E-4</v>
      </c>
      <c r="Q1351" s="12">
        <v>3.2168466469464098E-3</v>
      </c>
      <c r="R1351" s="12">
        <v>7.8125E-2</v>
      </c>
      <c r="S1351" s="14">
        <v>29</v>
      </c>
      <c r="T1351" s="12">
        <v>0.223071109097737</v>
      </c>
      <c r="U1351" s="14">
        <v>1005</v>
      </c>
      <c r="V1351" s="14">
        <v>1</v>
      </c>
      <c r="W1351" s="12">
        <v>5.4999999999999997E-3</v>
      </c>
      <c r="X1351" s="12">
        <v>0.22857110909773701</v>
      </c>
      <c r="Y1351" s="14">
        <v>1005</v>
      </c>
      <c r="Z1351" s="14">
        <v>28</v>
      </c>
      <c r="AA1351" s="12" t="s">
        <v>2367</v>
      </c>
    </row>
    <row r="1352" spans="1:27" ht="14.25" x14ac:dyDescent="0.45">
      <c r="A1352" s="12" t="s">
        <v>1796</v>
      </c>
      <c r="B1352" s="12" t="s">
        <v>1971</v>
      </c>
      <c r="C1352" s="12" t="s">
        <v>1974</v>
      </c>
      <c r="D1352" s="12" t="s">
        <v>1982</v>
      </c>
      <c r="E1352" s="20">
        <v>36664</v>
      </c>
      <c r="F1352" s="20">
        <v>44438</v>
      </c>
      <c r="G1352" s="12">
        <v>4.5</v>
      </c>
      <c r="H1352" s="12">
        <v>4.0999999999999996</v>
      </c>
      <c r="I1352" s="13">
        <v>1.09756097560976</v>
      </c>
      <c r="J1352" s="12" t="s">
        <v>1796</v>
      </c>
      <c r="K1352" s="14">
        <v>794</v>
      </c>
      <c r="L1352" s="14">
        <v>1854</v>
      </c>
      <c r="M1352" s="14">
        <v>1073</v>
      </c>
      <c r="N1352" s="12">
        <v>4.5</v>
      </c>
      <c r="O1352" s="12" t="s">
        <v>1796</v>
      </c>
      <c r="P1352" s="12">
        <v>7.2388581907680395E-4</v>
      </c>
      <c r="Q1352" s="12">
        <v>4.9977737749083897E-3</v>
      </c>
      <c r="R1352" s="12">
        <v>6.1995967741935498E-2</v>
      </c>
      <c r="S1352" s="14">
        <v>22</v>
      </c>
      <c r="T1352" s="12">
        <v>0.33950657914715499</v>
      </c>
      <c r="U1352" s="14">
        <v>882</v>
      </c>
      <c r="V1352" s="14">
        <v>1</v>
      </c>
      <c r="W1352" s="12">
        <v>5.4999999999999997E-3</v>
      </c>
      <c r="X1352" s="12">
        <v>0.34500657914715499</v>
      </c>
      <c r="Y1352" s="14">
        <v>882</v>
      </c>
      <c r="Z1352" s="14">
        <v>22</v>
      </c>
      <c r="AA1352" s="12" t="s">
        <v>2370</v>
      </c>
    </row>
    <row r="1353" spans="1:27" ht="14.25" x14ac:dyDescent="0.45">
      <c r="A1353" s="12" t="s">
        <v>1801</v>
      </c>
      <c r="B1353" s="12" t="s">
        <v>1971</v>
      </c>
      <c r="C1353" s="12" t="s">
        <v>1974</v>
      </c>
      <c r="D1353" s="12" t="s">
        <v>2020</v>
      </c>
      <c r="E1353" s="20">
        <v>32852</v>
      </c>
      <c r="F1353" s="20">
        <v>44395</v>
      </c>
      <c r="G1353" s="12">
        <v>14.97</v>
      </c>
      <c r="H1353" s="12">
        <v>5.5333333333333297</v>
      </c>
      <c r="I1353" s="13">
        <v>2.7054216867469898</v>
      </c>
      <c r="J1353" s="12" t="s">
        <v>1801</v>
      </c>
      <c r="K1353" s="14">
        <v>575</v>
      </c>
      <c r="L1353" s="14">
        <v>1675</v>
      </c>
      <c r="M1353" s="14">
        <v>766</v>
      </c>
      <c r="N1353" s="12">
        <v>14.97</v>
      </c>
      <c r="O1353" s="12" t="s">
        <v>1801</v>
      </c>
      <c r="P1353" s="12">
        <v>2.4081268247955001E-3</v>
      </c>
      <c r="Q1353" s="12">
        <v>1.2319211284439901E-2</v>
      </c>
      <c r="R1353" s="12">
        <v>8.36693548387097E-2</v>
      </c>
      <c r="S1353" s="14">
        <v>33</v>
      </c>
      <c r="T1353" s="12">
        <v>0.86025546120732299</v>
      </c>
      <c r="U1353" s="14">
        <v>647</v>
      </c>
      <c r="V1353" s="14">
        <v>2</v>
      </c>
      <c r="W1353" s="12">
        <v>5.5999999999999999E-3</v>
      </c>
      <c r="X1353" s="12">
        <v>0.86585546120732304</v>
      </c>
      <c r="Y1353" s="14">
        <v>647</v>
      </c>
      <c r="Z1353" s="14">
        <v>32</v>
      </c>
      <c r="AA1353" s="12" t="s">
        <v>2367</v>
      </c>
    </row>
    <row r="1354" spans="1:27" ht="14.25" x14ac:dyDescent="0.45">
      <c r="A1354" s="12" t="s">
        <v>1809</v>
      </c>
      <c r="B1354" s="12" t="s">
        <v>1971</v>
      </c>
      <c r="C1354" s="12" t="s">
        <v>1974</v>
      </c>
      <c r="D1354" s="12" t="s">
        <v>1982</v>
      </c>
      <c r="E1354" s="20">
        <v>36855</v>
      </c>
      <c r="F1354" s="20">
        <v>44424</v>
      </c>
      <c r="G1354" s="12">
        <v>3.56</v>
      </c>
      <c r="H1354" s="12">
        <v>4.56666666666667</v>
      </c>
      <c r="I1354" s="13">
        <v>0.77956204379562</v>
      </c>
      <c r="J1354" s="12" t="s">
        <v>1809</v>
      </c>
      <c r="K1354" s="14">
        <v>896</v>
      </c>
      <c r="L1354" s="14">
        <v>1809</v>
      </c>
      <c r="M1354" s="14">
        <v>1166</v>
      </c>
      <c r="N1354" s="12">
        <v>3.56</v>
      </c>
      <c r="O1354" s="12" t="s">
        <v>1809</v>
      </c>
      <c r="P1354" s="12">
        <v>5.7267411464742698E-4</v>
      </c>
      <c r="Q1354" s="12">
        <v>3.5497569838716702E-3</v>
      </c>
      <c r="R1354" s="12">
        <v>6.9052419354838704E-2</v>
      </c>
      <c r="S1354" s="14">
        <v>22</v>
      </c>
      <c r="T1354" s="12">
        <v>0.24333509079125801</v>
      </c>
      <c r="U1354" s="14">
        <v>976</v>
      </c>
      <c r="V1354" s="14">
        <v>1</v>
      </c>
      <c r="W1354" s="12">
        <v>5.4999999999999997E-3</v>
      </c>
      <c r="X1354" s="12">
        <v>0.24883509079125801</v>
      </c>
      <c r="Y1354" s="14">
        <v>976</v>
      </c>
      <c r="Z1354" s="14">
        <v>21</v>
      </c>
      <c r="AA1354" s="12" t="s">
        <v>2370</v>
      </c>
    </row>
    <row r="1355" spans="1:27" ht="14.25" x14ac:dyDescent="0.45">
      <c r="A1355" s="12" t="s">
        <v>1815</v>
      </c>
      <c r="B1355" s="12" t="s">
        <v>1971</v>
      </c>
      <c r="C1355" s="12" t="s">
        <v>1974</v>
      </c>
      <c r="D1355" s="12" t="s">
        <v>1974</v>
      </c>
      <c r="E1355" s="20">
        <v>30288</v>
      </c>
      <c r="F1355" s="20">
        <v>44399</v>
      </c>
      <c r="G1355" s="12">
        <v>11.38</v>
      </c>
      <c r="H1355" s="12">
        <v>5.4</v>
      </c>
      <c r="I1355" s="13">
        <v>2.1074074074074098</v>
      </c>
      <c r="J1355" s="12" t="s">
        <v>1815</v>
      </c>
      <c r="K1355" s="14">
        <v>646</v>
      </c>
      <c r="L1355" s="14">
        <v>1687</v>
      </c>
      <c r="M1355" s="14">
        <v>821</v>
      </c>
      <c r="N1355" s="12">
        <v>11.38</v>
      </c>
      <c r="O1355" s="12" t="s">
        <v>1815</v>
      </c>
      <c r="P1355" s="12">
        <v>1.83062680468756E-3</v>
      </c>
      <c r="Q1355" s="12">
        <v>9.5961369872294595E-3</v>
      </c>
      <c r="R1355" s="12">
        <v>8.1653225806451596E-2</v>
      </c>
      <c r="S1355" s="14">
        <v>40</v>
      </c>
      <c r="T1355" s="12">
        <v>0.66840706687762497</v>
      </c>
      <c r="U1355" s="14">
        <v>732</v>
      </c>
      <c r="V1355" s="14">
        <v>1</v>
      </c>
      <c r="W1355" s="12">
        <v>5.4999999999999997E-3</v>
      </c>
      <c r="X1355" s="12">
        <v>0.67390706687762503</v>
      </c>
      <c r="Y1355" s="14">
        <v>732</v>
      </c>
      <c r="Z1355" s="14">
        <v>39</v>
      </c>
      <c r="AA1355" s="12" t="s">
        <v>2369</v>
      </c>
    </row>
    <row r="1356" spans="1:27" ht="14.25" x14ac:dyDescent="0.45">
      <c r="A1356" s="12" t="s">
        <v>1820</v>
      </c>
      <c r="B1356" s="12" t="s">
        <v>1971</v>
      </c>
      <c r="C1356" s="12" t="s">
        <v>1974</v>
      </c>
      <c r="D1356" s="12" t="s">
        <v>1990</v>
      </c>
      <c r="E1356" s="20">
        <v>34365</v>
      </c>
      <c r="F1356" s="20">
        <v>44417</v>
      </c>
      <c r="G1356" s="12">
        <v>8.49</v>
      </c>
      <c r="H1356" s="12">
        <v>4.8</v>
      </c>
      <c r="I1356" s="13">
        <v>1.76875</v>
      </c>
      <c r="J1356" s="12" t="s">
        <v>1820</v>
      </c>
      <c r="K1356" s="14">
        <v>696</v>
      </c>
      <c r="L1356" s="14">
        <v>1757</v>
      </c>
      <c r="M1356" s="14">
        <v>876</v>
      </c>
      <c r="N1356" s="12">
        <v>8.49</v>
      </c>
      <c r="O1356" s="12" t="s">
        <v>1820</v>
      </c>
      <c r="P1356" s="12">
        <v>1.3657312453249E-3</v>
      </c>
      <c r="Q1356" s="12">
        <v>8.0540512653141799E-3</v>
      </c>
      <c r="R1356" s="12">
        <v>7.25806451612903E-2</v>
      </c>
      <c r="S1356" s="14">
        <v>28</v>
      </c>
      <c r="T1356" s="12">
        <v>0.55459312578181996</v>
      </c>
      <c r="U1356" s="14">
        <v>769</v>
      </c>
      <c r="V1356" s="14">
        <v>1</v>
      </c>
      <c r="W1356" s="12">
        <v>5.4999999999999997E-3</v>
      </c>
      <c r="X1356" s="12">
        <v>0.56009312578182002</v>
      </c>
      <c r="Y1356" s="14">
        <v>769</v>
      </c>
      <c r="Z1356" s="14">
        <v>28</v>
      </c>
      <c r="AA1356" s="12" t="s">
        <v>2367</v>
      </c>
    </row>
    <row r="1357" spans="1:27" ht="14.25" x14ac:dyDescent="0.45">
      <c r="A1357" s="12" t="s">
        <v>1828</v>
      </c>
      <c r="B1357" s="12" t="s">
        <v>1971</v>
      </c>
      <c r="C1357" s="12" t="s">
        <v>1974</v>
      </c>
      <c r="D1357" s="12" t="s">
        <v>1975</v>
      </c>
      <c r="E1357" s="20">
        <v>37008</v>
      </c>
      <c r="F1357" s="20">
        <v>44410</v>
      </c>
      <c r="G1357" s="12">
        <v>0.27</v>
      </c>
      <c r="H1357" s="12">
        <v>5.0333333333333297</v>
      </c>
      <c r="I1357" s="13">
        <v>5.3642384105960297E-2</v>
      </c>
      <c r="J1357" s="12" t="s">
        <v>1828</v>
      </c>
      <c r="K1357" s="14">
        <v>1597</v>
      </c>
      <c r="L1357" s="14">
        <v>1727</v>
      </c>
      <c r="M1357" s="14">
        <v>1747</v>
      </c>
      <c r="N1357" s="12">
        <v>0.27</v>
      </c>
      <c r="O1357" s="12" t="s">
        <v>1828</v>
      </c>
      <c r="P1357" s="12">
        <v>4.3433149144608199E-5</v>
      </c>
      <c r="Q1357" s="12">
        <v>2.4426205601870202E-4</v>
      </c>
      <c r="R1357" s="12">
        <v>7.6108870967741896E-2</v>
      </c>
      <c r="S1357" s="14">
        <v>21</v>
      </c>
      <c r="T1357" s="12">
        <v>1.6895121594091699E-2</v>
      </c>
      <c r="U1357" s="14">
        <v>1703</v>
      </c>
      <c r="V1357" s="14">
        <v>1</v>
      </c>
      <c r="W1357" s="12">
        <v>5.4999999999999997E-3</v>
      </c>
      <c r="X1357" s="12">
        <v>2.23951215940917E-2</v>
      </c>
      <c r="Y1357" s="14">
        <v>1703</v>
      </c>
      <c r="Z1357" s="14">
        <v>21</v>
      </c>
      <c r="AA1357" s="12" t="s">
        <v>2370</v>
      </c>
    </row>
    <row r="1358" spans="1:27" ht="14.25" x14ac:dyDescent="0.45">
      <c r="A1358" s="12" t="s">
        <v>1829</v>
      </c>
      <c r="B1358" s="12" t="s">
        <v>1971</v>
      </c>
      <c r="C1358" s="12" t="s">
        <v>1974</v>
      </c>
      <c r="D1358" s="12" t="s">
        <v>1974</v>
      </c>
      <c r="E1358" s="20">
        <v>34905</v>
      </c>
      <c r="F1358" s="20">
        <v>44434</v>
      </c>
      <c r="G1358" s="12">
        <v>4.1100000000000003</v>
      </c>
      <c r="H1358" s="12">
        <v>4.2333333333333298</v>
      </c>
      <c r="I1358" s="13">
        <v>0.97086614173228303</v>
      </c>
      <c r="J1358" s="12" t="s">
        <v>1829</v>
      </c>
      <c r="K1358" s="14">
        <v>829</v>
      </c>
      <c r="L1358" s="14">
        <v>1850</v>
      </c>
      <c r="M1358" s="14">
        <v>1107</v>
      </c>
      <c r="N1358" s="12">
        <v>4.1100000000000003</v>
      </c>
      <c r="O1358" s="12" t="s">
        <v>1829</v>
      </c>
      <c r="P1358" s="12">
        <v>6.6114904809014795E-4</v>
      </c>
      <c r="Q1358" s="12">
        <v>4.42086540057645E-3</v>
      </c>
      <c r="R1358" s="12">
        <v>6.4012096774193505E-2</v>
      </c>
      <c r="S1358" s="14">
        <v>27</v>
      </c>
      <c r="T1358" s="12">
        <v>0.30109717683940901</v>
      </c>
      <c r="U1358" s="14">
        <v>920</v>
      </c>
      <c r="V1358" s="14">
        <v>1</v>
      </c>
      <c r="W1358" s="12">
        <v>5.4999999999999997E-3</v>
      </c>
      <c r="X1358" s="12">
        <v>0.30659717683940901</v>
      </c>
      <c r="Y1358" s="14">
        <v>920</v>
      </c>
      <c r="Z1358" s="14">
        <v>26</v>
      </c>
      <c r="AA1358" s="12" t="s">
        <v>2367</v>
      </c>
    </row>
    <row r="1359" spans="1:27" ht="14.25" x14ac:dyDescent="0.45">
      <c r="A1359" s="12" t="s">
        <v>1859</v>
      </c>
      <c r="B1359" s="12" t="s">
        <v>1971</v>
      </c>
      <c r="C1359" s="12" t="s">
        <v>1974</v>
      </c>
      <c r="D1359" s="12" t="s">
        <v>1993</v>
      </c>
      <c r="E1359" s="20">
        <v>36291</v>
      </c>
      <c r="F1359" s="20">
        <v>44495</v>
      </c>
      <c r="G1359" s="12">
        <v>4.0999999999999996</v>
      </c>
      <c r="H1359" s="12">
        <v>2.2000000000000002</v>
      </c>
      <c r="I1359" s="13">
        <v>1.86363636363636</v>
      </c>
      <c r="J1359" s="12" t="s">
        <v>1859</v>
      </c>
      <c r="K1359" s="14">
        <v>679</v>
      </c>
      <c r="L1359" s="14">
        <v>1922</v>
      </c>
      <c r="M1359" s="14">
        <v>1109</v>
      </c>
      <c r="N1359" s="12">
        <v>4.0999999999999996</v>
      </c>
      <c r="O1359" s="12" t="s">
        <v>1859</v>
      </c>
      <c r="P1359" s="12">
        <v>6.5954041293664399E-4</v>
      </c>
      <c r="Q1359" s="12">
        <v>8.4861189046676905E-3</v>
      </c>
      <c r="R1359" s="12">
        <v>3.3266129032258097E-2</v>
      </c>
      <c r="S1359" s="14">
        <v>23</v>
      </c>
      <c r="T1359" s="12">
        <v>0.55511519702685497</v>
      </c>
      <c r="U1359" s="14">
        <v>768</v>
      </c>
      <c r="V1359" s="14">
        <v>2</v>
      </c>
      <c r="W1359" s="12">
        <v>5.5999999999999999E-3</v>
      </c>
      <c r="X1359" s="12">
        <v>0.56071519702685502</v>
      </c>
      <c r="Y1359" s="14">
        <v>768</v>
      </c>
      <c r="Z1359" s="14">
        <v>23</v>
      </c>
      <c r="AA1359" s="12" t="s">
        <v>2370</v>
      </c>
    </row>
    <row r="1360" spans="1:27" ht="14.25" x14ac:dyDescent="0.45">
      <c r="A1360" s="12" t="s">
        <v>1860</v>
      </c>
      <c r="B1360" s="12" t="s">
        <v>1971</v>
      </c>
      <c r="C1360" s="12" t="s">
        <v>1974</v>
      </c>
      <c r="D1360" s="12" t="s">
        <v>1974</v>
      </c>
      <c r="E1360" s="20">
        <v>33270</v>
      </c>
      <c r="F1360" s="20">
        <v>44335</v>
      </c>
      <c r="G1360" s="12">
        <v>4.5199999999999996</v>
      </c>
      <c r="H1360" s="12">
        <v>7.5333333333333297</v>
      </c>
      <c r="I1360" s="13">
        <v>0.6</v>
      </c>
      <c r="J1360" s="12" t="s">
        <v>1860</v>
      </c>
      <c r="K1360" s="14">
        <v>997</v>
      </c>
      <c r="L1360" s="14">
        <v>1332</v>
      </c>
      <c r="M1360" s="14">
        <v>1072</v>
      </c>
      <c r="N1360" s="12">
        <v>4.5199999999999996</v>
      </c>
      <c r="O1360" s="12" t="s">
        <v>1860</v>
      </c>
      <c r="P1360" s="12">
        <v>7.2710308938381198E-4</v>
      </c>
      <c r="Q1360" s="12">
        <v>2.7321163302832501E-3</v>
      </c>
      <c r="R1360" s="12">
        <v>0.113911290322581</v>
      </c>
      <c r="S1360" s="14">
        <v>31</v>
      </c>
      <c r="T1360" s="12">
        <v>0.19802363649459601</v>
      </c>
      <c r="U1360" s="14">
        <v>1054</v>
      </c>
      <c r="V1360" s="14">
        <v>1</v>
      </c>
      <c r="W1360" s="12">
        <v>5.4999999999999997E-3</v>
      </c>
      <c r="X1360" s="12">
        <v>0.20352363649459601</v>
      </c>
      <c r="Y1360" s="14">
        <v>1054</v>
      </c>
      <c r="Z1360" s="14">
        <v>31</v>
      </c>
      <c r="AA1360" s="12" t="s">
        <v>2367</v>
      </c>
    </row>
    <row r="1361" spans="1:27" ht="14.25" x14ac:dyDescent="0.45">
      <c r="A1361" s="12" t="s">
        <v>1866</v>
      </c>
      <c r="B1361" s="12" t="s">
        <v>1971</v>
      </c>
      <c r="C1361" s="12" t="s">
        <v>1974</v>
      </c>
      <c r="D1361" s="12" t="s">
        <v>2012</v>
      </c>
      <c r="E1361" s="20">
        <v>32271</v>
      </c>
      <c r="F1361" s="20">
        <v>44466</v>
      </c>
      <c r="G1361" s="12">
        <v>3.46</v>
      </c>
      <c r="H1361" s="12">
        <v>3.1666666666666701</v>
      </c>
      <c r="I1361" s="13">
        <v>1.09263157894737</v>
      </c>
      <c r="J1361" s="12" t="s">
        <v>1866</v>
      </c>
      <c r="K1361" s="14">
        <v>796</v>
      </c>
      <c r="L1361" s="14">
        <v>1886</v>
      </c>
      <c r="M1361" s="14">
        <v>1180</v>
      </c>
      <c r="N1361" s="12">
        <v>3.46</v>
      </c>
      <c r="O1361" s="12" t="s">
        <v>1866</v>
      </c>
      <c r="P1361" s="12">
        <v>5.5658776311238696E-4</v>
      </c>
      <c r="Q1361" s="12">
        <v>4.9753276330421403E-3</v>
      </c>
      <c r="R1361" s="12">
        <v>4.7883064516128997E-2</v>
      </c>
      <c r="S1361" s="14">
        <v>34</v>
      </c>
      <c r="T1361" s="12">
        <v>0.33183001818184799</v>
      </c>
      <c r="U1361" s="14">
        <v>890</v>
      </c>
      <c r="V1361" s="14">
        <v>1</v>
      </c>
      <c r="W1361" s="12">
        <v>5.4999999999999997E-3</v>
      </c>
      <c r="X1361" s="12">
        <v>0.33733001818184799</v>
      </c>
      <c r="Y1361" s="14">
        <v>891</v>
      </c>
      <c r="Z1361" s="14">
        <v>34</v>
      </c>
      <c r="AA1361" s="12" t="s">
        <v>2367</v>
      </c>
    </row>
    <row r="1362" spans="1:27" ht="14.25" x14ac:dyDescent="0.45">
      <c r="A1362" s="12" t="s">
        <v>1872</v>
      </c>
      <c r="B1362" s="12" t="s">
        <v>1971</v>
      </c>
      <c r="C1362" s="12" t="s">
        <v>1974</v>
      </c>
      <c r="D1362" s="12" t="s">
        <v>1975</v>
      </c>
      <c r="E1362" s="20">
        <v>33913</v>
      </c>
      <c r="F1362" s="20">
        <v>44533</v>
      </c>
      <c r="G1362" s="12">
        <v>0.61</v>
      </c>
      <c r="H1362" s="12">
        <v>0.93333333333333302</v>
      </c>
      <c r="I1362" s="13">
        <v>0.65357142857142903</v>
      </c>
      <c r="J1362" s="12" t="s">
        <v>1872</v>
      </c>
      <c r="K1362" s="14">
        <v>963</v>
      </c>
      <c r="L1362" s="14">
        <v>1944</v>
      </c>
      <c r="M1362" s="14">
        <v>1655</v>
      </c>
      <c r="N1362" s="12">
        <v>0.61</v>
      </c>
      <c r="O1362" s="12" t="s">
        <v>1872</v>
      </c>
      <c r="P1362" s="12">
        <v>9.8126744363744595E-5</v>
      </c>
      <c r="Q1362" s="12">
        <v>2.9760552883442599E-3</v>
      </c>
      <c r="R1362" s="12">
        <v>1.41129032258065E-2</v>
      </c>
      <c r="S1362" s="14">
        <v>30</v>
      </c>
      <c r="T1362" s="12">
        <v>0.18968320843515701</v>
      </c>
      <c r="U1362" s="14">
        <v>1070</v>
      </c>
      <c r="V1362" s="14">
        <v>1</v>
      </c>
      <c r="W1362" s="12">
        <v>5.4999999999999997E-3</v>
      </c>
      <c r="X1362" s="12">
        <v>0.19518320843515699</v>
      </c>
      <c r="Y1362" s="14">
        <v>1071</v>
      </c>
      <c r="Z1362" s="14">
        <v>29</v>
      </c>
      <c r="AA1362" s="12" t="s">
        <v>2367</v>
      </c>
    </row>
    <row r="1363" spans="1:27" ht="14.25" x14ac:dyDescent="0.45">
      <c r="A1363" s="12" t="s">
        <v>1890</v>
      </c>
      <c r="B1363" s="12" t="s">
        <v>1971</v>
      </c>
      <c r="C1363" s="12" t="s">
        <v>1974</v>
      </c>
      <c r="D1363" s="12" t="s">
        <v>1974</v>
      </c>
      <c r="E1363" s="20">
        <v>20489</v>
      </c>
      <c r="F1363" s="20">
        <v>44390</v>
      </c>
      <c r="G1363" s="12">
        <v>0.77</v>
      </c>
      <c r="H1363" s="12">
        <v>5.7</v>
      </c>
      <c r="I1363" s="13">
        <v>0.13508771929824601</v>
      </c>
      <c r="J1363" s="12" t="s">
        <v>1890</v>
      </c>
      <c r="K1363" s="14">
        <v>1432</v>
      </c>
      <c r="L1363" s="14">
        <v>1666</v>
      </c>
      <c r="M1363" s="14">
        <v>1608</v>
      </c>
      <c r="N1363" s="12">
        <v>0.77</v>
      </c>
      <c r="O1363" s="12" t="s">
        <v>1890</v>
      </c>
      <c r="P1363" s="12">
        <v>1.23864906819809E-4</v>
      </c>
      <c r="Q1363" s="12">
        <v>6.1512560652576202E-4</v>
      </c>
      <c r="R1363" s="12">
        <v>8.6189516129032306E-2</v>
      </c>
      <c r="S1363" s="14">
        <v>66</v>
      </c>
      <c r="T1363" s="12">
        <v>4.3090284413602999E-2</v>
      </c>
      <c r="U1363" s="14">
        <v>1546</v>
      </c>
      <c r="V1363" s="14">
        <v>1</v>
      </c>
      <c r="W1363" s="12">
        <v>5.4999999999999997E-3</v>
      </c>
      <c r="X1363" s="12">
        <v>4.8590284413602997E-2</v>
      </c>
      <c r="Y1363" s="14">
        <v>1547</v>
      </c>
      <c r="Z1363" s="14">
        <v>66</v>
      </c>
      <c r="AA1363" s="12" t="s">
        <v>2371</v>
      </c>
    </row>
    <row r="1364" spans="1:27" ht="14.25" x14ac:dyDescent="0.45">
      <c r="A1364" s="12" t="s">
        <v>1893</v>
      </c>
      <c r="B1364" s="12" t="s">
        <v>1971</v>
      </c>
      <c r="C1364" s="12" t="s">
        <v>1974</v>
      </c>
      <c r="D1364" s="12" t="s">
        <v>1993</v>
      </c>
      <c r="E1364" s="20">
        <v>37058</v>
      </c>
      <c r="F1364" s="20">
        <v>44383</v>
      </c>
      <c r="G1364" s="12">
        <v>0.57999999999999996</v>
      </c>
      <c r="H1364" s="12">
        <v>5.93333333333333</v>
      </c>
      <c r="I1364" s="13">
        <v>9.7752808988763998E-2</v>
      </c>
      <c r="J1364" s="12" t="s">
        <v>1893</v>
      </c>
      <c r="K1364" s="14">
        <v>1499</v>
      </c>
      <c r="L1364" s="14">
        <v>1654</v>
      </c>
      <c r="M1364" s="14">
        <v>1661</v>
      </c>
      <c r="N1364" s="12">
        <v>0.57999999999999996</v>
      </c>
      <c r="O1364" s="12" t="s">
        <v>1893</v>
      </c>
      <c r="P1364" s="12">
        <v>9.3300838903232503E-5</v>
      </c>
      <c r="Q1364" s="12">
        <v>4.45120076282103E-4</v>
      </c>
      <c r="R1364" s="12">
        <v>8.9717741935483902E-2</v>
      </c>
      <c r="S1364" s="14">
        <v>21</v>
      </c>
      <c r="T1364" s="12">
        <v>3.13187862265027E-2</v>
      </c>
      <c r="U1364" s="14">
        <v>1614</v>
      </c>
      <c r="V1364" s="14">
        <v>1</v>
      </c>
      <c r="W1364" s="12">
        <v>5.4999999999999997E-3</v>
      </c>
      <c r="X1364" s="12">
        <v>3.6818786226502698E-2</v>
      </c>
      <c r="Y1364" s="14">
        <v>1614</v>
      </c>
      <c r="Z1364" s="14">
        <v>21</v>
      </c>
      <c r="AA1364" s="12" t="s">
        <v>2370</v>
      </c>
    </row>
    <row r="1365" spans="1:27" ht="14.25" x14ac:dyDescent="0.45">
      <c r="A1365" s="12" t="s">
        <v>1904</v>
      </c>
      <c r="B1365" s="12" t="s">
        <v>1971</v>
      </c>
      <c r="C1365" s="12" t="s">
        <v>1974</v>
      </c>
      <c r="D1365" s="12" t="s">
        <v>1974</v>
      </c>
      <c r="E1365" s="20">
        <v>34374</v>
      </c>
      <c r="F1365" s="20">
        <v>44517</v>
      </c>
      <c r="G1365" s="12">
        <v>0.97</v>
      </c>
      <c r="H1365" s="12">
        <v>1.4666666666666699</v>
      </c>
      <c r="I1365" s="13">
        <v>0.66136363636363604</v>
      </c>
      <c r="J1365" s="12" t="s">
        <v>1904</v>
      </c>
      <c r="K1365" s="14">
        <v>955</v>
      </c>
      <c r="L1365" s="14">
        <v>1936</v>
      </c>
      <c r="M1365" s="14">
        <v>1566</v>
      </c>
      <c r="N1365" s="12">
        <v>0.97</v>
      </c>
      <c r="O1365" s="12" t="s">
        <v>1904</v>
      </c>
      <c r="P1365" s="12">
        <v>1.5603760988988901E-4</v>
      </c>
      <c r="Q1365" s="12">
        <v>3.0115373186076801E-3</v>
      </c>
      <c r="R1365" s="12">
        <v>2.21774193548387E-2</v>
      </c>
      <c r="S1365" s="14">
        <v>28</v>
      </c>
      <c r="T1365" s="12">
        <v>0.194072492783851</v>
      </c>
      <c r="U1365" s="14">
        <v>1065</v>
      </c>
      <c r="V1365" s="14">
        <v>1</v>
      </c>
      <c r="W1365" s="12">
        <v>5.4999999999999997E-3</v>
      </c>
      <c r="X1365" s="12">
        <v>0.199572492783851</v>
      </c>
      <c r="Y1365" s="14">
        <v>1065</v>
      </c>
      <c r="Z1365" s="14">
        <v>28</v>
      </c>
      <c r="AA1365" s="12" t="s">
        <v>2367</v>
      </c>
    </row>
    <row r="1366" spans="1:27" ht="14.25" x14ac:dyDescent="0.45">
      <c r="A1366" s="12" t="s">
        <v>1919</v>
      </c>
      <c r="B1366" s="12" t="s">
        <v>1971</v>
      </c>
      <c r="C1366" s="12" t="s">
        <v>1974</v>
      </c>
      <c r="D1366" s="12" t="s">
        <v>2020</v>
      </c>
      <c r="E1366" s="20">
        <v>29417</v>
      </c>
      <c r="F1366" s="20">
        <v>44335</v>
      </c>
      <c r="G1366" s="12">
        <v>51.61</v>
      </c>
      <c r="H1366" s="12">
        <v>7.5333333333333297</v>
      </c>
      <c r="I1366" s="13">
        <v>6.8508849557522096</v>
      </c>
      <c r="J1366" s="12" t="s">
        <v>1919</v>
      </c>
      <c r="K1366" s="14">
        <v>383</v>
      </c>
      <c r="L1366" s="14">
        <v>1332</v>
      </c>
      <c r="M1366" s="14">
        <v>480</v>
      </c>
      <c r="N1366" s="12">
        <v>51.61</v>
      </c>
      <c r="O1366" s="12" t="s">
        <v>1919</v>
      </c>
      <c r="P1366" s="12">
        <v>8.3021660272341903E-3</v>
      </c>
      <c r="Q1366" s="12">
        <v>3.1195691107504201E-2</v>
      </c>
      <c r="R1366" s="12">
        <v>0.113911290322581</v>
      </c>
      <c r="S1366" s="14">
        <v>42</v>
      </c>
      <c r="T1366" s="12">
        <v>2.26106192024029</v>
      </c>
      <c r="U1366" s="14">
        <v>417</v>
      </c>
      <c r="V1366" s="14">
        <v>4</v>
      </c>
      <c r="W1366" s="12">
        <v>5.7999999999999996E-3</v>
      </c>
      <c r="X1366" s="12">
        <v>2.2668619202402902</v>
      </c>
      <c r="Y1366" s="14">
        <v>417</v>
      </c>
      <c r="Z1366" s="14">
        <v>41</v>
      </c>
      <c r="AA1366" s="12" t="s">
        <v>2369</v>
      </c>
    </row>
    <row r="1367" spans="1:27" ht="14.25" x14ac:dyDescent="0.45">
      <c r="A1367" s="12" t="s">
        <v>1920</v>
      </c>
      <c r="B1367" s="12" t="s">
        <v>1971</v>
      </c>
      <c r="C1367" s="12" t="s">
        <v>1974</v>
      </c>
      <c r="D1367" s="12" t="s">
        <v>1982</v>
      </c>
      <c r="E1367" s="20">
        <v>36466</v>
      </c>
      <c r="F1367" s="20">
        <v>44477</v>
      </c>
      <c r="G1367" s="12">
        <v>116.29</v>
      </c>
      <c r="H1367" s="12">
        <v>2.8</v>
      </c>
      <c r="I1367" s="13">
        <v>41.532142857142901</v>
      </c>
      <c r="J1367" s="12" t="s">
        <v>1920</v>
      </c>
      <c r="K1367" s="14">
        <v>57</v>
      </c>
      <c r="L1367" s="14">
        <v>1894</v>
      </c>
      <c r="M1367" s="14">
        <v>361</v>
      </c>
      <c r="N1367" s="12">
        <v>116.29</v>
      </c>
      <c r="O1367" s="12" t="s">
        <v>1920</v>
      </c>
      <c r="P1367" s="12">
        <v>1.8706818200098101E-2</v>
      </c>
      <c r="Q1367" s="12">
        <v>0.18911774288609501</v>
      </c>
      <c r="R1367" s="12">
        <v>4.2338709677419303E-2</v>
      </c>
      <c r="S1367" s="14">
        <v>23</v>
      </c>
      <c r="T1367" s="12">
        <v>12.5213646128846</v>
      </c>
      <c r="U1367" s="14">
        <v>83</v>
      </c>
      <c r="V1367" s="14">
        <v>6</v>
      </c>
      <c r="W1367" s="12">
        <v>6.0000000000000001E-3</v>
      </c>
      <c r="X1367" s="12">
        <v>12.5273646128846</v>
      </c>
      <c r="Y1367" s="14">
        <v>84</v>
      </c>
      <c r="Z1367" s="14">
        <v>22</v>
      </c>
      <c r="AA1367" s="12" t="s">
        <v>2370</v>
      </c>
    </row>
    <row r="1368" spans="1:27" ht="14.25" x14ac:dyDescent="0.45">
      <c r="A1368" s="12" t="s">
        <v>1924</v>
      </c>
      <c r="B1368" s="12" t="s">
        <v>1971</v>
      </c>
      <c r="C1368" s="12" t="s">
        <v>1974</v>
      </c>
      <c r="D1368" s="12" t="s">
        <v>1982</v>
      </c>
      <c r="E1368" s="20">
        <v>36864</v>
      </c>
      <c r="F1368" s="20">
        <v>44477</v>
      </c>
      <c r="G1368" s="12">
        <v>99.17</v>
      </c>
      <c r="H1368" s="12">
        <v>2.8</v>
      </c>
      <c r="I1368" s="13">
        <v>35.417857142857102</v>
      </c>
      <c r="J1368" s="12" t="s">
        <v>1924</v>
      </c>
      <c r="K1368" s="14">
        <v>66</v>
      </c>
      <c r="L1368" s="14">
        <v>1894</v>
      </c>
      <c r="M1368" s="14">
        <v>386</v>
      </c>
      <c r="N1368" s="12">
        <v>99.17</v>
      </c>
      <c r="O1368" s="12" t="s">
        <v>1924</v>
      </c>
      <c r="P1368" s="12">
        <v>1.59528348172993E-2</v>
      </c>
      <c r="Q1368" s="12">
        <v>0.16127617647273201</v>
      </c>
      <c r="R1368" s="12">
        <v>4.2338709677419303E-2</v>
      </c>
      <c r="S1368" s="14">
        <v>22</v>
      </c>
      <c r="T1368" s="12">
        <v>10.677992335194499</v>
      </c>
      <c r="U1368" s="14">
        <v>103</v>
      </c>
      <c r="V1368" s="14">
        <v>2</v>
      </c>
      <c r="W1368" s="12">
        <v>5.5999999999999999E-3</v>
      </c>
      <c r="X1368" s="12">
        <v>10.683592335194501</v>
      </c>
      <c r="Y1368" s="14">
        <v>103</v>
      </c>
      <c r="Z1368" s="14">
        <v>21</v>
      </c>
      <c r="AA1368" s="12" t="s">
        <v>2370</v>
      </c>
    </row>
    <row r="1369" spans="1:27" ht="14.25" x14ac:dyDescent="0.45">
      <c r="A1369" s="12" t="s">
        <v>1931</v>
      </c>
      <c r="B1369" s="12" t="s">
        <v>1971</v>
      </c>
      <c r="C1369" s="12" t="s">
        <v>1974</v>
      </c>
      <c r="D1369" s="12" t="s">
        <v>1982</v>
      </c>
      <c r="E1369" s="20">
        <v>35812</v>
      </c>
      <c r="F1369" s="20">
        <v>44480</v>
      </c>
      <c r="G1369" s="12">
        <v>242.1</v>
      </c>
      <c r="H1369" s="12">
        <v>2.7</v>
      </c>
      <c r="I1369" s="13">
        <v>89.6666666666667</v>
      </c>
      <c r="J1369" s="12" t="s">
        <v>1931</v>
      </c>
      <c r="K1369" s="14">
        <v>22</v>
      </c>
      <c r="L1369" s="14">
        <v>1899</v>
      </c>
      <c r="M1369" s="14">
        <v>262</v>
      </c>
      <c r="N1369" s="12">
        <v>242.1</v>
      </c>
      <c r="O1369" s="12" t="s">
        <v>1931</v>
      </c>
      <c r="P1369" s="12">
        <v>3.8945057066332098E-2</v>
      </c>
      <c r="Q1369" s="12">
        <v>0.40829960713677499</v>
      </c>
      <c r="R1369" s="12">
        <v>4.0826612903225798E-2</v>
      </c>
      <c r="S1369" s="14">
        <v>24</v>
      </c>
      <c r="T1369" s="12">
        <v>26.979165086035898</v>
      </c>
      <c r="U1369" s="14">
        <v>37</v>
      </c>
      <c r="V1369" s="14">
        <v>2</v>
      </c>
      <c r="W1369" s="12">
        <v>5.5999999999999999E-3</v>
      </c>
      <c r="X1369" s="12">
        <v>26.9847650860359</v>
      </c>
      <c r="Y1369" s="14">
        <v>37</v>
      </c>
      <c r="Z1369" s="14">
        <v>24</v>
      </c>
      <c r="AA1369" s="12" t="s">
        <v>2370</v>
      </c>
    </row>
    <row r="1370" spans="1:27" ht="14.25" x14ac:dyDescent="0.45">
      <c r="A1370" s="12" t="s">
        <v>1932</v>
      </c>
      <c r="B1370" s="12" t="s">
        <v>1971</v>
      </c>
      <c r="C1370" s="12" t="s">
        <v>1974</v>
      </c>
      <c r="D1370" s="12" t="s">
        <v>1982</v>
      </c>
      <c r="E1370" s="20">
        <v>36333</v>
      </c>
      <c r="F1370" s="20">
        <v>44398</v>
      </c>
      <c r="G1370" s="12">
        <v>0.05</v>
      </c>
      <c r="H1370" s="12">
        <v>5.43333333333333</v>
      </c>
      <c r="I1370" s="13">
        <v>9.2024539877300603E-3</v>
      </c>
      <c r="J1370" s="12" t="s">
        <v>1932</v>
      </c>
      <c r="K1370" s="14">
        <v>1751</v>
      </c>
      <c r="L1370" s="14">
        <v>1681</v>
      </c>
      <c r="M1370" s="14">
        <v>1878</v>
      </c>
      <c r="N1370" s="12">
        <v>0.05</v>
      </c>
      <c r="O1370" s="12" t="s">
        <v>1932</v>
      </c>
      <c r="P1370" s="12">
        <v>8.0431757675200496E-6</v>
      </c>
      <c r="Q1370" s="12">
        <v>4.19036246975959E-5</v>
      </c>
      <c r="R1370" s="12">
        <v>8.2157258064516098E-2</v>
      </c>
      <c r="S1370" s="14">
        <v>23</v>
      </c>
      <c r="T1370" s="12">
        <v>2.9205956348817498E-3</v>
      </c>
      <c r="U1370" s="14">
        <v>1858</v>
      </c>
      <c r="V1370" s="14">
        <v>1</v>
      </c>
      <c r="W1370" s="12">
        <v>5.4999999999999997E-3</v>
      </c>
      <c r="X1370" s="12">
        <v>8.4205956348817508E-3</v>
      </c>
      <c r="Y1370" s="14">
        <v>1859</v>
      </c>
      <c r="Z1370" s="14">
        <v>23</v>
      </c>
      <c r="AA1370" s="12" t="s">
        <v>2370</v>
      </c>
    </row>
    <row r="1371" spans="1:27" ht="14.25" x14ac:dyDescent="0.45">
      <c r="A1371" s="12" t="s">
        <v>1938</v>
      </c>
      <c r="B1371" s="12" t="s">
        <v>1971</v>
      </c>
      <c r="C1371" s="12" t="s">
        <v>1974</v>
      </c>
      <c r="D1371" s="12" t="s">
        <v>2020</v>
      </c>
      <c r="E1371" s="20">
        <v>34581</v>
      </c>
      <c r="F1371" s="20">
        <v>44480</v>
      </c>
      <c r="G1371" s="12">
        <v>0.7</v>
      </c>
      <c r="H1371" s="12">
        <v>2.7</v>
      </c>
      <c r="I1371" s="13">
        <v>0.25925925925925902</v>
      </c>
      <c r="J1371" s="12" t="s">
        <v>1938</v>
      </c>
      <c r="K1371" s="14">
        <v>1267</v>
      </c>
      <c r="L1371" s="14">
        <v>1899</v>
      </c>
      <c r="M1371" s="14">
        <v>1630</v>
      </c>
      <c r="N1371" s="12">
        <v>0.7</v>
      </c>
      <c r="O1371" s="12" t="s">
        <v>1938</v>
      </c>
      <c r="P1371" s="12">
        <v>1.1260446074528101E-4</v>
      </c>
      <c r="Q1371" s="12">
        <v>1.18054409333227E-3</v>
      </c>
      <c r="R1371" s="12">
        <v>4.0826612903225798E-2</v>
      </c>
      <c r="S1371" s="14">
        <v>28</v>
      </c>
      <c r="T1371" s="12">
        <v>7.8006673111214994E-2</v>
      </c>
      <c r="U1371" s="14">
        <v>1374</v>
      </c>
      <c r="V1371" s="14">
        <v>1</v>
      </c>
      <c r="W1371" s="12">
        <v>5.4999999999999997E-3</v>
      </c>
      <c r="X1371" s="12">
        <v>8.3506673111214999E-2</v>
      </c>
      <c r="Y1371" s="14">
        <v>1374</v>
      </c>
      <c r="Z1371" s="14">
        <v>27</v>
      </c>
      <c r="AA1371" s="12" t="s">
        <v>2367</v>
      </c>
    </row>
    <row r="1372" spans="1:27" ht="14.25" x14ac:dyDescent="0.45">
      <c r="A1372" s="12" t="s">
        <v>1941</v>
      </c>
      <c r="B1372" s="12" t="s">
        <v>1971</v>
      </c>
      <c r="C1372" s="12" t="s">
        <v>1974</v>
      </c>
      <c r="D1372" s="12" t="s">
        <v>1982</v>
      </c>
      <c r="E1372" s="20">
        <v>36758</v>
      </c>
      <c r="F1372" s="20">
        <v>44543</v>
      </c>
      <c r="G1372" s="12">
        <v>0.83</v>
      </c>
      <c r="H1372" s="12">
        <v>0.6</v>
      </c>
      <c r="I1372" s="13">
        <v>1.38333333333333</v>
      </c>
      <c r="J1372" s="12" t="s">
        <v>1941</v>
      </c>
      <c r="K1372" s="14">
        <v>743</v>
      </c>
      <c r="L1372" s="14">
        <v>1955</v>
      </c>
      <c r="M1372" s="14">
        <v>1594</v>
      </c>
      <c r="N1372" s="12">
        <v>0.83</v>
      </c>
      <c r="O1372" s="12" t="s">
        <v>1941</v>
      </c>
      <c r="P1372" s="12">
        <v>1.3351671774083299E-4</v>
      </c>
      <c r="Q1372" s="12">
        <v>6.2990459837086203E-3</v>
      </c>
      <c r="R1372" s="12">
        <v>9.0725806451612892E-3</v>
      </c>
      <c r="S1372" s="14">
        <v>22</v>
      </c>
      <c r="T1372" s="12">
        <v>0.39869725089706998</v>
      </c>
      <c r="U1372" s="14">
        <v>831</v>
      </c>
      <c r="V1372" s="14">
        <v>1</v>
      </c>
      <c r="W1372" s="12">
        <v>5.4999999999999997E-3</v>
      </c>
      <c r="X1372" s="12">
        <v>0.40419725089706998</v>
      </c>
      <c r="Y1372" s="14">
        <v>831</v>
      </c>
      <c r="Z1372" s="14">
        <v>21</v>
      </c>
      <c r="AA1372" s="12" t="s">
        <v>2370</v>
      </c>
    </row>
    <row r="1373" spans="1:27" ht="14.25" x14ac:dyDescent="0.45">
      <c r="A1373" s="12" t="s">
        <v>19</v>
      </c>
      <c r="B1373" s="12" t="s">
        <v>1971</v>
      </c>
      <c r="C1373" s="12" t="s">
        <v>1996</v>
      </c>
      <c r="D1373" s="12" t="s">
        <v>1997</v>
      </c>
      <c r="E1373" s="20">
        <v>28448</v>
      </c>
      <c r="F1373" s="20">
        <v>43606</v>
      </c>
      <c r="G1373" s="12">
        <v>162.09</v>
      </c>
      <c r="H1373" s="12">
        <v>31.8333333333333</v>
      </c>
      <c r="I1373" s="13">
        <v>5.0918324607329799</v>
      </c>
      <c r="J1373" s="12" t="s">
        <v>19</v>
      </c>
      <c r="K1373" s="14">
        <v>441</v>
      </c>
      <c r="L1373" s="14">
        <v>246</v>
      </c>
      <c r="M1373" s="14">
        <v>313</v>
      </c>
      <c r="N1373" s="12">
        <v>162.09</v>
      </c>
      <c r="O1373" s="12" t="s">
        <v>19</v>
      </c>
      <c r="P1373" s="12">
        <v>2.6074367203146501E-2</v>
      </c>
      <c r="Q1373" s="12">
        <v>2.31857976950583E-2</v>
      </c>
      <c r="R1373" s="12">
        <v>0.48135080645161299</v>
      </c>
      <c r="S1373" s="14">
        <v>45</v>
      </c>
      <c r="T1373" s="12">
        <v>2.4269011260591302</v>
      </c>
      <c r="U1373" s="14">
        <v>403</v>
      </c>
      <c r="V1373" s="14">
        <v>6</v>
      </c>
      <c r="W1373" s="12">
        <v>6.0000000000000001E-3</v>
      </c>
      <c r="X1373" s="12">
        <v>2.43290112605913</v>
      </c>
      <c r="Y1373" s="14">
        <v>404</v>
      </c>
      <c r="Z1373" s="14">
        <v>44</v>
      </c>
      <c r="AA1373" s="12" t="s">
        <v>2369</v>
      </c>
    </row>
    <row r="1374" spans="1:27" ht="14.25" x14ac:dyDescent="0.45">
      <c r="A1374" s="12" t="s">
        <v>32</v>
      </c>
      <c r="B1374" s="12" t="s">
        <v>1971</v>
      </c>
      <c r="C1374" s="12" t="s">
        <v>1996</v>
      </c>
      <c r="D1374" s="12" t="s">
        <v>1995</v>
      </c>
      <c r="E1374" s="20">
        <v>32396</v>
      </c>
      <c r="F1374" s="20">
        <v>42866</v>
      </c>
      <c r="G1374" s="12">
        <v>7.0000000000000007E-2</v>
      </c>
      <c r="H1374" s="12">
        <v>56.5</v>
      </c>
      <c r="I1374" s="13">
        <v>1.2389380530973501E-3</v>
      </c>
      <c r="J1374" s="12" t="s">
        <v>32</v>
      </c>
      <c r="K1374" s="14">
        <v>1825</v>
      </c>
      <c r="L1374" s="14">
        <v>27</v>
      </c>
      <c r="M1374" s="14">
        <v>1859</v>
      </c>
      <c r="N1374" s="12">
        <v>7.0000000000000007E-2</v>
      </c>
      <c r="O1374" s="12" t="s">
        <v>32</v>
      </c>
      <c r="P1374" s="12">
        <v>1.12604460745281E-5</v>
      </c>
      <c r="Q1374" s="12">
        <v>5.6415381451276698E-6</v>
      </c>
      <c r="R1374" s="12">
        <v>0.85433467741935498</v>
      </c>
      <c r="S1374" s="14">
        <v>34</v>
      </c>
      <c r="T1374" s="12">
        <v>7.7486286186528202E-4</v>
      </c>
      <c r="U1374" s="14">
        <v>1924</v>
      </c>
      <c r="V1374" s="14">
        <v>1</v>
      </c>
      <c r="W1374" s="12">
        <v>5.4999999999999997E-3</v>
      </c>
      <c r="X1374" s="12">
        <v>6.2748628618652796E-3</v>
      </c>
      <c r="Y1374" s="14">
        <v>1924</v>
      </c>
      <c r="Z1374" s="14">
        <v>33</v>
      </c>
      <c r="AA1374" s="12" t="s">
        <v>2367</v>
      </c>
    </row>
    <row r="1375" spans="1:27" ht="14.25" x14ac:dyDescent="0.45">
      <c r="A1375" s="12" t="s">
        <v>58</v>
      </c>
      <c r="B1375" s="12" t="s">
        <v>1971</v>
      </c>
      <c r="C1375" s="12" t="s">
        <v>1993</v>
      </c>
      <c r="D1375" s="12" t="s">
        <v>1982</v>
      </c>
      <c r="E1375" s="20">
        <v>31890</v>
      </c>
      <c r="F1375" s="20">
        <v>44151</v>
      </c>
      <c r="G1375" s="12">
        <v>2.39</v>
      </c>
      <c r="H1375" s="12">
        <v>13.6666666666667</v>
      </c>
      <c r="I1375" s="13">
        <v>0.17487804878048799</v>
      </c>
      <c r="J1375" s="12" t="s">
        <v>58</v>
      </c>
      <c r="K1375" s="14">
        <v>1377</v>
      </c>
      <c r="L1375" s="14">
        <v>625</v>
      </c>
      <c r="M1375" s="14">
        <v>1295</v>
      </c>
      <c r="N1375" s="12">
        <v>2.39</v>
      </c>
      <c r="O1375" s="12" t="s">
        <v>58</v>
      </c>
      <c r="P1375" s="12">
        <v>3.8446380168745799E-4</v>
      </c>
      <c r="Q1375" s="12">
        <v>7.9631195480207102E-4</v>
      </c>
      <c r="R1375" s="12">
        <v>0.20665322580645201</v>
      </c>
      <c r="S1375" s="14">
        <v>35</v>
      </c>
      <c r="T1375" s="12">
        <v>6.4186889738409095E-2</v>
      </c>
      <c r="U1375" s="14">
        <v>1465</v>
      </c>
      <c r="V1375" s="14">
        <v>1</v>
      </c>
      <c r="W1375" s="12">
        <v>5.4999999999999997E-3</v>
      </c>
      <c r="X1375" s="12">
        <v>6.96868897384091E-2</v>
      </c>
      <c r="Y1375" s="14">
        <v>1465</v>
      </c>
      <c r="Z1375" s="14">
        <v>35</v>
      </c>
      <c r="AA1375" s="12" t="s">
        <v>2369</v>
      </c>
    </row>
    <row r="1376" spans="1:27" ht="14.25" x14ac:dyDescent="0.45">
      <c r="A1376" s="12" t="s">
        <v>122</v>
      </c>
      <c r="B1376" s="12" t="s">
        <v>1971</v>
      </c>
      <c r="C1376" s="12" t="s">
        <v>1993</v>
      </c>
      <c r="D1376" s="12" t="s">
        <v>1993</v>
      </c>
      <c r="E1376" s="20">
        <v>31580</v>
      </c>
      <c r="F1376" s="20">
        <v>43318</v>
      </c>
      <c r="G1376" s="12">
        <v>572.72</v>
      </c>
      <c r="H1376" s="12">
        <v>41.433333333333302</v>
      </c>
      <c r="I1376" s="13">
        <v>13.8226870474658</v>
      </c>
      <c r="J1376" s="12" t="s">
        <v>122</v>
      </c>
      <c r="K1376" s="14">
        <v>210</v>
      </c>
      <c r="L1376" s="14">
        <v>141</v>
      </c>
      <c r="M1376" s="14">
        <v>127</v>
      </c>
      <c r="N1376" s="12">
        <v>572.72</v>
      </c>
      <c r="O1376" s="12" t="s">
        <v>122</v>
      </c>
      <c r="P1376" s="12">
        <v>9.2129752511481602E-2</v>
      </c>
      <c r="Q1376" s="12">
        <v>6.2941981684627002E-2</v>
      </c>
      <c r="R1376" s="12">
        <v>0.62651209677419295</v>
      </c>
      <c r="S1376" s="14">
        <v>36</v>
      </c>
      <c r="T1376" s="12">
        <v>7.3887395744697502</v>
      </c>
      <c r="U1376" s="14">
        <v>175</v>
      </c>
      <c r="V1376" s="14">
        <v>7</v>
      </c>
      <c r="W1376" s="12">
        <v>6.1000000000000004E-3</v>
      </c>
      <c r="X1376" s="12">
        <v>7.3948395744697502</v>
      </c>
      <c r="Y1376" s="14">
        <v>175</v>
      </c>
      <c r="Z1376" s="14">
        <v>36</v>
      </c>
      <c r="AA1376" s="12" t="s">
        <v>2369</v>
      </c>
    </row>
    <row r="1377" spans="1:27" ht="14.25" x14ac:dyDescent="0.45">
      <c r="A1377" s="12" t="s">
        <v>160</v>
      </c>
      <c r="B1377" s="12" t="s">
        <v>1971</v>
      </c>
      <c r="C1377" s="12" t="s">
        <v>1993</v>
      </c>
      <c r="D1377" s="12" t="s">
        <v>1993</v>
      </c>
      <c r="E1377" s="20">
        <v>32728</v>
      </c>
      <c r="F1377" s="20">
        <v>43238</v>
      </c>
      <c r="G1377" s="12">
        <v>647.05999999999995</v>
      </c>
      <c r="H1377" s="12">
        <v>44.1</v>
      </c>
      <c r="I1377" s="13">
        <v>14.6725623582766</v>
      </c>
      <c r="J1377" s="12" t="s">
        <v>160</v>
      </c>
      <c r="K1377" s="14">
        <v>191</v>
      </c>
      <c r="L1377" s="14">
        <v>95</v>
      </c>
      <c r="M1377" s="14">
        <v>104</v>
      </c>
      <c r="N1377" s="12">
        <v>647.05999999999995</v>
      </c>
      <c r="O1377" s="12" t="s">
        <v>160</v>
      </c>
      <c r="P1377" s="12">
        <v>0.10408834624263</v>
      </c>
      <c r="Q1377" s="12">
        <v>6.6811912043578295E-2</v>
      </c>
      <c r="R1377" s="12">
        <v>0.66683467741935498</v>
      </c>
      <c r="S1377" s="14">
        <v>33</v>
      </c>
      <c r="T1377" s="12">
        <v>8.0790574868222897</v>
      </c>
      <c r="U1377" s="14">
        <v>149</v>
      </c>
      <c r="V1377" s="14">
        <v>8</v>
      </c>
      <c r="W1377" s="12">
        <v>6.1999999999999998E-3</v>
      </c>
      <c r="X1377" s="12">
        <v>8.0852574868222895</v>
      </c>
      <c r="Y1377" s="14">
        <v>150</v>
      </c>
      <c r="Z1377" s="14">
        <v>32</v>
      </c>
      <c r="AA1377" s="12" t="s">
        <v>2367</v>
      </c>
    </row>
    <row r="1378" spans="1:27" ht="14.25" x14ac:dyDescent="0.45">
      <c r="A1378" s="12" t="s">
        <v>214</v>
      </c>
      <c r="B1378" s="12" t="s">
        <v>1971</v>
      </c>
      <c r="C1378" s="12" t="s">
        <v>1996</v>
      </c>
      <c r="D1378" s="12" t="s">
        <v>2094</v>
      </c>
      <c r="E1378" s="20">
        <v>34686</v>
      </c>
      <c r="F1378" s="20">
        <v>44210</v>
      </c>
      <c r="G1378" s="12">
        <v>0.06</v>
      </c>
      <c r="H1378" s="12">
        <v>11.7</v>
      </c>
      <c r="I1378" s="13">
        <v>5.1282051282051299E-3</v>
      </c>
      <c r="J1378" s="12" t="s">
        <v>214</v>
      </c>
      <c r="K1378" s="14">
        <v>1778</v>
      </c>
      <c r="L1378" s="14">
        <v>822</v>
      </c>
      <c r="M1378" s="14">
        <v>1867</v>
      </c>
      <c r="N1378" s="12">
        <v>0.06</v>
      </c>
      <c r="O1378" s="12" t="s">
        <v>214</v>
      </c>
      <c r="P1378" s="12">
        <v>9.6518109210240504E-6</v>
      </c>
      <c r="Q1378" s="12">
        <v>2.33514216263526E-5</v>
      </c>
      <c r="R1378" s="12">
        <v>0.17691532258064499</v>
      </c>
      <c r="S1378" s="14">
        <v>28</v>
      </c>
      <c r="T1378" s="12">
        <v>1.82140676118544E-3</v>
      </c>
      <c r="U1378" s="14">
        <v>1883</v>
      </c>
      <c r="V1378" s="14">
        <v>1</v>
      </c>
      <c r="W1378" s="12">
        <v>5.4999999999999997E-3</v>
      </c>
      <c r="X1378" s="12">
        <v>7.3214067611854401E-3</v>
      </c>
      <c r="Y1378" s="14">
        <v>1883</v>
      </c>
      <c r="Z1378" s="14">
        <v>27</v>
      </c>
      <c r="AA1378" s="12" t="s">
        <v>2367</v>
      </c>
    </row>
    <row r="1379" spans="1:27" ht="14.25" x14ac:dyDescent="0.45">
      <c r="A1379" s="12" t="s">
        <v>228</v>
      </c>
      <c r="B1379" s="12" t="s">
        <v>1971</v>
      </c>
      <c r="C1379" s="12" t="s">
        <v>1996</v>
      </c>
      <c r="D1379" s="12" t="s">
        <v>1997</v>
      </c>
      <c r="E1379" s="20">
        <v>29986</v>
      </c>
      <c r="F1379" s="20">
        <v>44175</v>
      </c>
      <c r="G1379" s="12">
        <v>9.25</v>
      </c>
      <c r="H1379" s="12">
        <v>12.866666666666699</v>
      </c>
      <c r="I1379" s="13">
        <v>0.71891191709844604</v>
      </c>
      <c r="J1379" s="12" t="s">
        <v>228</v>
      </c>
      <c r="K1379" s="14">
        <v>926</v>
      </c>
      <c r="L1379" s="14">
        <v>692</v>
      </c>
      <c r="M1379" s="14">
        <v>861</v>
      </c>
      <c r="N1379" s="12">
        <v>9.25</v>
      </c>
      <c r="O1379" s="12" t="s">
        <v>228</v>
      </c>
      <c r="P1379" s="12">
        <v>1.4879875169912099E-3</v>
      </c>
      <c r="Q1379" s="12">
        <v>3.2735849812331702E-3</v>
      </c>
      <c r="R1379" s="12">
        <v>0.194556451612903</v>
      </c>
      <c r="S1379" s="14">
        <v>40</v>
      </c>
      <c r="T1379" s="12">
        <v>0.26039859321424402</v>
      </c>
      <c r="U1379" s="14">
        <v>957</v>
      </c>
      <c r="V1379" s="14">
        <v>1</v>
      </c>
      <c r="W1379" s="12">
        <v>5.4999999999999997E-3</v>
      </c>
      <c r="X1379" s="12">
        <v>0.26589859321424397</v>
      </c>
      <c r="Y1379" s="14">
        <v>957</v>
      </c>
      <c r="Z1379" s="14">
        <v>40</v>
      </c>
      <c r="AA1379" s="12" t="s">
        <v>2369</v>
      </c>
    </row>
    <row r="1380" spans="1:27" ht="14.25" x14ac:dyDescent="0.45">
      <c r="A1380" s="12" t="s">
        <v>323</v>
      </c>
      <c r="B1380" s="12" t="s">
        <v>1971</v>
      </c>
      <c r="C1380" s="12" t="s">
        <v>1993</v>
      </c>
      <c r="D1380" s="12" t="s">
        <v>1993</v>
      </c>
      <c r="E1380" s="20">
        <v>26033</v>
      </c>
      <c r="F1380" s="20">
        <v>44216</v>
      </c>
      <c r="G1380" s="12">
        <v>208.4</v>
      </c>
      <c r="H1380" s="12">
        <v>11.5</v>
      </c>
      <c r="I1380" s="13">
        <v>18.121739130434801</v>
      </c>
      <c r="J1380" s="12" t="s">
        <v>323</v>
      </c>
      <c r="K1380" s="14">
        <v>150</v>
      </c>
      <c r="L1380" s="14">
        <v>841</v>
      </c>
      <c r="M1380" s="14">
        <v>280</v>
      </c>
      <c r="N1380" s="12">
        <v>208.4</v>
      </c>
      <c r="O1380" s="12" t="s">
        <v>323</v>
      </c>
      <c r="P1380" s="12">
        <v>3.3523956599023602E-2</v>
      </c>
      <c r="Q1380" s="12">
        <v>8.2517832352323295E-2</v>
      </c>
      <c r="R1380" s="12">
        <v>0.17389112903225801</v>
      </c>
      <c r="S1380" s="14">
        <v>51</v>
      </c>
      <c r="T1380" s="12">
        <v>6.4145128944835896</v>
      </c>
      <c r="U1380" s="14">
        <v>206</v>
      </c>
      <c r="V1380" s="14">
        <v>8</v>
      </c>
      <c r="W1380" s="12">
        <v>6.1999999999999998E-3</v>
      </c>
      <c r="X1380" s="12">
        <v>6.4207128944835903</v>
      </c>
      <c r="Y1380" s="14">
        <v>206</v>
      </c>
      <c r="Z1380" s="14">
        <v>51</v>
      </c>
      <c r="AA1380" s="12" t="s">
        <v>2371</v>
      </c>
    </row>
    <row r="1381" spans="1:27" ht="14.25" x14ac:dyDescent="0.45">
      <c r="A1381" s="12" t="s">
        <v>470</v>
      </c>
      <c r="B1381" s="12" t="s">
        <v>1971</v>
      </c>
      <c r="C1381" s="12" t="s">
        <v>1993</v>
      </c>
      <c r="D1381" s="12" t="s">
        <v>1993</v>
      </c>
      <c r="E1381" s="20">
        <v>29370</v>
      </c>
      <c r="F1381" s="20">
        <v>44146</v>
      </c>
      <c r="G1381" s="12">
        <v>297.36</v>
      </c>
      <c r="H1381" s="12">
        <v>13.8333333333333</v>
      </c>
      <c r="I1381" s="13">
        <v>21.495903614457799</v>
      </c>
      <c r="J1381" s="12" t="s">
        <v>470</v>
      </c>
      <c r="K1381" s="14">
        <v>126</v>
      </c>
      <c r="L1381" s="14">
        <v>616</v>
      </c>
      <c r="M1381" s="14">
        <v>225</v>
      </c>
      <c r="N1381" s="12">
        <v>297.36</v>
      </c>
      <c r="O1381" s="12" t="s">
        <v>470</v>
      </c>
      <c r="P1381" s="12">
        <v>4.7834374924595198E-2</v>
      </c>
      <c r="Q1381" s="12">
        <v>9.7882182165425102E-2</v>
      </c>
      <c r="R1381" s="12">
        <v>0.20917338709677399</v>
      </c>
      <c r="S1381" s="14">
        <v>42</v>
      </c>
      <c r="T1381" s="12">
        <v>7.9114254450113899</v>
      </c>
      <c r="U1381" s="14">
        <v>158</v>
      </c>
      <c r="V1381" s="14">
        <v>6</v>
      </c>
      <c r="W1381" s="12">
        <v>6.0000000000000001E-3</v>
      </c>
      <c r="X1381" s="12">
        <v>7.9174254450113901</v>
      </c>
      <c r="Y1381" s="14">
        <v>158</v>
      </c>
      <c r="Z1381" s="14">
        <v>42</v>
      </c>
      <c r="AA1381" s="12" t="s">
        <v>2369</v>
      </c>
    </row>
    <row r="1382" spans="1:27" ht="14.25" x14ac:dyDescent="0.45">
      <c r="A1382" s="12" t="s">
        <v>487</v>
      </c>
      <c r="B1382" s="12" t="s">
        <v>1971</v>
      </c>
      <c r="C1382" s="12" t="s">
        <v>1996</v>
      </c>
      <c r="D1382" s="12" t="s">
        <v>1997</v>
      </c>
      <c r="E1382" s="20">
        <v>30039</v>
      </c>
      <c r="F1382" s="20">
        <v>44062</v>
      </c>
      <c r="G1382" s="12">
        <v>807.91</v>
      </c>
      <c r="H1382" s="12">
        <v>16.633333333333301</v>
      </c>
      <c r="I1382" s="13">
        <v>48.571743486974</v>
      </c>
      <c r="J1382" s="12" t="s">
        <v>487</v>
      </c>
      <c r="K1382" s="14">
        <v>47</v>
      </c>
      <c r="L1382" s="14">
        <v>463</v>
      </c>
      <c r="M1382" s="14">
        <v>72</v>
      </c>
      <c r="N1382" s="12">
        <v>807.91</v>
      </c>
      <c r="O1382" s="12" t="s">
        <v>487</v>
      </c>
      <c r="P1382" s="12">
        <v>0.129963242686742</v>
      </c>
      <c r="Q1382" s="12">
        <v>0.22117275595181801</v>
      </c>
      <c r="R1382" s="12">
        <v>0.25151209677419401</v>
      </c>
      <c r="S1382" s="14">
        <v>40</v>
      </c>
      <c r="T1382" s="12">
        <v>18.6969188477415</v>
      </c>
      <c r="U1382" s="14">
        <v>57</v>
      </c>
      <c r="V1382" s="14">
        <v>18</v>
      </c>
      <c r="W1382" s="12">
        <v>7.0000000000000001E-3</v>
      </c>
      <c r="X1382" s="12">
        <v>18.703918847741502</v>
      </c>
      <c r="Y1382" s="14">
        <v>57</v>
      </c>
      <c r="Z1382" s="14">
        <v>40</v>
      </c>
      <c r="AA1382" s="12" t="s">
        <v>2369</v>
      </c>
    </row>
    <row r="1383" spans="1:27" ht="14.25" x14ac:dyDescent="0.45">
      <c r="A1383" s="12" t="s">
        <v>509</v>
      </c>
      <c r="B1383" s="12" t="s">
        <v>1971</v>
      </c>
      <c r="C1383" s="12" t="s">
        <v>1996</v>
      </c>
      <c r="D1383" s="12" t="s">
        <v>2070</v>
      </c>
      <c r="E1383" s="20">
        <v>32307</v>
      </c>
      <c r="F1383" s="20">
        <v>44113</v>
      </c>
      <c r="G1383" s="12">
        <v>6.96</v>
      </c>
      <c r="H1383" s="12">
        <v>14.9333333333333</v>
      </c>
      <c r="I1383" s="13">
        <v>0.46607142857142903</v>
      </c>
      <c r="J1383" s="12" t="s">
        <v>509</v>
      </c>
      <c r="K1383" s="14">
        <v>1086</v>
      </c>
      <c r="L1383" s="14">
        <v>528</v>
      </c>
      <c r="M1383" s="14">
        <v>924</v>
      </c>
      <c r="N1383" s="12">
        <v>6.96</v>
      </c>
      <c r="O1383" s="12" t="s">
        <v>509</v>
      </c>
      <c r="P1383" s="12">
        <v>1.11961006683879E-3</v>
      </c>
      <c r="Q1383" s="12">
        <v>2.1222689351307398E-3</v>
      </c>
      <c r="R1383" s="12">
        <v>0.225806451612903</v>
      </c>
      <c r="S1383" s="14">
        <v>34</v>
      </c>
      <c r="T1383" s="12">
        <v>0.17462718595212601</v>
      </c>
      <c r="U1383" s="14">
        <v>1100</v>
      </c>
      <c r="V1383" s="14">
        <v>3</v>
      </c>
      <c r="W1383" s="12">
        <v>5.7000000000000002E-3</v>
      </c>
      <c r="X1383" s="12">
        <v>0.18032718595212599</v>
      </c>
      <c r="Y1383" s="14">
        <v>1100</v>
      </c>
      <c r="Z1383" s="14">
        <v>34</v>
      </c>
      <c r="AA1383" s="12" t="s">
        <v>2367</v>
      </c>
    </row>
    <row r="1384" spans="1:27" ht="14.25" x14ac:dyDescent="0.45">
      <c r="A1384" s="12" t="s">
        <v>515</v>
      </c>
      <c r="B1384" s="12" t="s">
        <v>1971</v>
      </c>
      <c r="C1384" s="12" t="s">
        <v>1993</v>
      </c>
      <c r="D1384" s="12" t="s">
        <v>1982</v>
      </c>
      <c r="E1384" s="20">
        <v>36222</v>
      </c>
      <c r="F1384" s="20">
        <v>43514</v>
      </c>
      <c r="G1384" s="12">
        <v>24.08</v>
      </c>
      <c r="H1384" s="12">
        <v>34.9</v>
      </c>
      <c r="I1384" s="13">
        <v>0.68997134670487104</v>
      </c>
      <c r="J1384" s="12" t="s">
        <v>515</v>
      </c>
      <c r="K1384" s="14">
        <v>939</v>
      </c>
      <c r="L1384" s="14">
        <v>229</v>
      </c>
      <c r="M1384" s="14">
        <v>690</v>
      </c>
      <c r="N1384" s="12">
        <v>24.08</v>
      </c>
      <c r="O1384" s="12" t="s">
        <v>515</v>
      </c>
      <c r="P1384" s="12">
        <v>3.8735934496376499E-3</v>
      </c>
      <c r="Q1384" s="12">
        <v>3.1418033062665099E-3</v>
      </c>
      <c r="R1384" s="12">
        <v>0.52772177419354804</v>
      </c>
      <c r="S1384" s="14">
        <v>23</v>
      </c>
      <c r="T1384" s="12">
        <v>0.34162246100306898</v>
      </c>
      <c r="U1384" s="14">
        <v>881</v>
      </c>
      <c r="V1384" s="14">
        <v>3</v>
      </c>
      <c r="W1384" s="12">
        <v>5.7000000000000002E-3</v>
      </c>
      <c r="X1384" s="12">
        <v>0.34732246100306902</v>
      </c>
      <c r="Y1384" s="14">
        <v>881</v>
      </c>
      <c r="Z1384" s="14">
        <v>23</v>
      </c>
      <c r="AA1384" s="12" t="s">
        <v>2370</v>
      </c>
    </row>
    <row r="1385" spans="1:27" ht="14.25" x14ac:dyDescent="0.45">
      <c r="A1385" s="12" t="s">
        <v>534</v>
      </c>
      <c r="B1385" s="12" t="s">
        <v>1971</v>
      </c>
      <c r="C1385" s="12" t="s">
        <v>1996</v>
      </c>
      <c r="D1385" s="12" t="s">
        <v>1997</v>
      </c>
      <c r="E1385" s="20">
        <v>32861</v>
      </c>
      <c r="F1385" s="20">
        <v>44088</v>
      </c>
      <c r="G1385" s="12">
        <v>724.27</v>
      </c>
      <c r="H1385" s="12">
        <v>15.766666666666699</v>
      </c>
      <c r="I1385" s="13">
        <v>45.936786469344597</v>
      </c>
      <c r="J1385" s="12" t="s">
        <v>534</v>
      </c>
      <c r="K1385" s="14">
        <v>50</v>
      </c>
      <c r="L1385" s="14">
        <v>487</v>
      </c>
      <c r="M1385" s="14">
        <v>88</v>
      </c>
      <c r="N1385" s="12">
        <v>724.27</v>
      </c>
      <c r="O1385" s="12" t="s">
        <v>534</v>
      </c>
      <c r="P1385" s="12">
        <v>0.116508618262835</v>
      </c>
      <c r="Q1385" s="12">
        <v>0.20917440745605201</v>
      </c>
      <c r="R1385" s="12">
        <v>0.23840725806451599</v>
      </c>
      <c r="S1385" s="14">
        <v>33</v>
      </c>
      <c r="T1385" s="12">
        <v>17.442473650859601</v>
      </c>
      <c r="U1385" s="14">
        <v>62</v>
      </c>
      <c r="V1385" s="14">
        <v>49</v>
      </c>
      <c r="W1385" s="12">
        <v>8.5000000000000006E-3</v>
      </c>
      <c r="X1385" s="12">
        <v>17.450973650859599</v>
      </c>
      <c r="Y1385" s="14">
        <v>62</v>
      </c>
      <c r="Z1385" s="14">
        <v>32</v>
      </c>
      <c r="AA1385" s="12" t="s">
        <v>2367</v>
      </c>
    </row>
    <row r="1386" spans="1:27" ht="14.25" x14ac:dyDescent="0.45">
      <c r="A1386" s="12" t="s">
        <v>560</v>
      </c>
      <c r="B1386" s="12" t="s">
        <v>1971</v>
      </c>
      <c r="C1386" s="12" t="s">
        <v>1996</v>
      </c>
      <c r="D1386" s="12" t="s">
        <v>1997</v>
      </c>
      <c r="E1386" s="20">
        <v>33897</v>
      </c>
      <c r="F1386" s="20">
        <v>43879</v>
      </c>
      <c r="G1386" s="12">
        <v>0.05</v>
      </c>
      <c r="H1386" s="12">
        <v>22.733333333333299</v>
      </c>
      <c r="I1386" s="13">
        <v>2.1994134897360702E-3</v>
      </c>
      <c r="J1386" s="12" t="s">
        <v>560</v>
      </c>
      <c r="K1386" s="14">
        <v>1807</v>
      </c>
      <c r="L1386" s="14">
        <v>414</v>
      </c>
      <c r="M1386" s="14">
        <v>1878</v>
      </c>
      <c r="N1386" s="12">
        <v>0.05</v>
      </c>
      <c r="O1386" s="12" t="s">
        <v>560</v>
      </c>
      <c r="P1386" s="12">
        <v>8.0431757675200496E-6</v>
      </c>
      <c r="Q1386" s="12">
        <v>1.00150891872553E-5</v>
      </c>
      <c r="R1386" s="12">
        <v>0.34375</v>
      </c>
      <c r="S1386" s="14">
        <v>30</v>
      </c>
      <c r="T1386" s="12">
        <v>9.2756216548546002E-4</v>
      </c>
      <c r="U1386" s="14">
        <v>1909</v>
      </c>
      <c r="V1386" s="14">
        <v>1</v>
      </c>
      <c r="W1386" s="12">
        <v>5.4999999999999997E-3</v>
      </c>
      <c r="X1386" s="12">
        <v>6.4275621654854599E-3</v>
      </c>
      <c r="Y1386" s="14">
        <v>1910</v>
      </c>
      <c r="Z1386" s="14">
        <v>29</v>
      </c>
      <c r="AA1386" s="12" t="s">
        <v>2367</v>
      </c>
    </row>
    <row r="1387" spans="1:27" ht="14.25" x14ac:dyDescent="0.45">
      <c r="A1387" s="12" t="s">
        <v>568</v>
      </c>
      <c r="B1387" s="12" t="s">
        <v>1971</v>
      </c>
      <c r="C1387" s="12" t="s">
        <v>1993</v>
      </c>
      <c r="D1387" s="12" t="s">
        <v>2026</v>
      </c>
      <c r="E1387" s="20">
        <v>26034</v>
      </c>
      <c r="F1387" s="20">
        <v>43612</v>
      </c>
      <c r="G1387" s="12">
        <v>269.55</v>
      </c>
      <c r="H1387" s="12">
        <v>31.633333333333301</v>
      </c>
      <c r="I1387" s="13">
        <v>8.5210748155953606</v>
      </c>
      <c r="J1387" s="12" t="s">
        <v>568</v>
      </c>
      <c r="K1387" s="14">
        <v>336</v>
      </c>
      <c r="L1387" s="14">
        <v>250</v>
      </c>
      <c r="M1387" s="14">
        <v>247</v>
      </c>
      <c r="N1387" s="12">
        <v>269.55</v>
      </c>
      <c r="O1387" s="12" t="s">
        <v>568</v>
      </c>
      <c r="P1387" s="12">
        <v>4.33607605627006E-2</v>
      </c>
      <c r="Q1387" s="12">
        <v>3.8800946092089103E-2</v>
      </c>
      <c r="R1387" s="12">
        <v>0.47832661290322598</v>
      </c>
      <c r="S1387" s="14">
        <v>51</v>
      </c>
      <c r="T1387" s="12">
        <v>4.0510876518568404</v>
      </c>
      <c r="U1387" s="14">
        <v>306</v>
      </c>
      <c r="V1387" s="14">
        <v>36</v>
      </c>
      <c r="W1387" s="12">
        <v>8.0999999999999996E-3</v>
      </c>
      <c r="X1387" s="12">
        <v>4.0591876518568402</v>
      </c>
      <c r="Y1387" s="14">
        <v>306</v>
      </c>
      <c r="Z1387" s="14">
        <v>51</v>
      </c>
      <c r="AA1387" s="12" t="s">
        <v>2371</v>
      </c>
    </row>
    <row r="1388" spans="1:27" ht="14.25" x14ac:dyDescent="0.45">
      <c r="A1388" s="12" t="s">
        <v>837</v>
      </c>
      <c r="B1388" s="12" t="s">
        <v>1971</v>
      </c>
      <c r="C1388" s="12" t="s">
        <v>1993</v>
      </c>
      <c r="D1388" s="12" t="s">
        <v>1973</v>
      </c>
      <c r="E1388" s="20">
        <v>20931</v>
      </c>
      <c r="F1388" s="20">
        <v>43851</v>
      </c>
      <c r="G1388" s="12">
        <v>5.72</v>
      </c>
      <c r="H1388" s="12">
        <v>23.6666666666667</v>
      </c>
      <c r="I1388" s="13">
        <v>0.24169014084507001</v>
      </c>
      <c r="J1388" s="12" t="s">
        <v>837</v>
      </c>
      <c r="K1388" s="14">
        <v>1289</v>
      </c>
      <c r="L1388" s="14">
        <v>394</v>
      </c>
      <c r="M1388" s="14">
        <v>986</v>
      </c>
      <c r="N1388" s="12">
        <v>5.72</v>
      </c>
      <c r="O1388" s="12" t="s">
        <v>837</v>
      </c>
      <c r="P1388" s="12">
        <v>9.2013930780429295E-4</v>
      </c>
      <c r="Q1388" s="12">
        <v>1.1005426344521301E-3</v>
      </c>
      <c r="R1388" s="12">
        <v>0.35786290322580599</v>
      </c>
      <c r="S1388" s="14">
        <v>65</v>
      </c>
      <c r="T1388" s="12">
        <v>0.10328913869591901</v>
      </c>
      <c r="U1388" s="14">
        <v>1284</v>
      </c>
      <c r="V1388" s="14">
        <v>9</v>
      </c>
      <c r="W1388" s="12">
        <v>6.3E-3</v>
      </c>
      <c r="X1388" s="12">
        <v>0.10958913869591901</v>
      </c>
      <c r="Y1388" s="14">
        <v>1282</v>
      </c>
      <c r="Z1388" s="14">
        <v>65</v>
      </c>
      <c r="AA1388" s="12" t="s">
        <v>2371</v>
      </c>
    </row>
    <row r="1389" spans="1:27" ht="14.25" x14ac:dyDescent="0.45">
      <c r="A1389" s="12" t="s">
        <v>846</v>
      </c>
      <c r="B1389" s="12" t="s">
        <v>1971</v>
      </c>
      <c r="C1389" s="12" t="s">
        <v>1993</v>
      </c>
      <c r="D1389" s="12" t="s">
        <v>1993</v>
      </c>
      <c r="E1389" s="20">
        <v>36772</v>
      </c>
      <c r="F1389" s="20">
        <v>44272</v>
      </c>
      <c r="G1389" s="12">
        <v>2.1800000000000002</v>
      </c>
      <c r="H1389" s="12">
        <v>9.6333333333333293</v>
      </c>
      <c r="I1389" s="13">
        <v>0.226297577854671</v>
      </c>
      <c r="J1389" s="12" t="s">
        <v>846</v>
      </c>
      <c r="K1389" s="14">
        <v>1310</v>
      </c>
      <c r="L1389" s="14">
        <v>1025</v>
      </c>
      <c r="M1389" s="14">
        <v>1327</v>
      </c>
      <c r="N1389" s="12">
        <v>2.1800000000000002</v>
      </c>
      <c r="O1389" s="12" t="s">
        <v>846</v>
      </c>
      <c r="P1389" s="12">
        <v>3.50682463463874E-4</v>
      </c>
      <c r="Q1389" s="12">
        <v>1.0304521799338201E-3</v>
      </c>
      <c r="R1389" s="12">
        <v>0.14566532258064499</v>
      </c>
      <c r="S1389" s="14">
        <v>22</v>
      </c>
      <c r="T1389" s="12">
        <v>7.75538536257592E-2</v>
      </c>
      <c r="U1389" s="14">
        <v>1382</v>
      </c>
      <c r="V1389" s="14">
        <v>1</v>
      </c>
      <c r="W1389" s="12">
        <v>5.4999999999999997E-3</v>
      </c>
      <c r="X1389" s="12">
        <v>8.3053853625759205E-2</v>
      </c>
      <c r="Y1389" s="14">
        <v>1382</v>
      </c>
      <c r="Z1389" s="14">
        <v>21</v>
      </c>
      <c r="AA1389" s="12" t="s">
        <v>2370</v>
      </c>
    </row>
    <row r="1390" spans="1:27" ht="14.25" x14ac:dyDescent="0.45">
      <c r="A1390" s="12" t="s">
        <v>941</v>
      </c>
      <c r="B1390" s="12" t="s">
        <v>1971</v>
      </c>
      <c r="C1390" s="12" t="s">
        <v>1996</v>
      </c>
      <c r="D1390" s="12" t="s">
        <v>1997</v>
      </c>
      <c r="E1390" s="20">
        <v>28731</v>
      </c>
      <c r="F1390" s="20">
        <v>42706</v>
      </c>
      <c r="G1390" s="12">
        <v>186.59</v>
      </c>
      <c r="H1390" s="12">
        <v>61.8333333333333</v>
      </c>
      <c r="I1390" s="13">
        <v>3.01762803234501</v>
      </c>
      <c r="J1390" s="12" t="s">
        <v>941</v>
      </c>
      <c r="K1390" s="14">
        <v>557</v>
      </c>
      <c r="L1390" s="14">
        <v>2</v>
      </c>
      <c r="M1390" s="14">
        <v>295</v>
      </c>
      <c r="N1390" s="12">
        <v>186.59</v>
      </c>
      <c r="O1390" s="12" t="s">
        <v>941</v>
      </c>
      <c r="P1390" s="12">
        <v>3.0015523329231301E-2</v>
      </c>
      <c r="Q1390" s="12">
        <v>1.37408513764839E-2</v>
      </c>
      <c r="R1390" s="12">
        <v>0.93497983870967705</v>
      </c>
      <c r="S1390" s="14">
        <v>44</v>
      </c>
      <c r="T1390" s="12">
        <v>1.9843853358764201</v>
      </c>
      <c r="U1390" s="14">
        <v>439</v>
      </c>
      <c r="V1390" s="14">
        <v>4</v>
      </c>
      <c r="W1390" s="12">
        <v>5.7999999999999996E-3</v>
      </c>
      <c r="X1390" s="12">
        <v>1.9901853358764201</v>
      </c>
      <c r="Y1390" s="14">
        <v>439</v>
      </c>
      <c r="Z1390" s="14">
        <v>43</v>
      </c>
      <c r="AA1390" s="12" t="s">
        <v>2369</v>
      </c>
    </row>
    <row r="1391" spans="1:27" ht="14.25" x14ac:dyDescent="0.45">
      <c r="A1391" s="12" t="s">
        <v>951</v>
      </c>
      <c r="B1391" s="12" t="s">
        <v>1971</v>
      </c>
      <c r="C1391" s="12" t="s">
        <v>1996</v>
      </c>
      <c r="D1391" s="12" t="s">
        <v>1997</v>
      </c>
      <c r="E1391" s="20">
        <v>33787</v>
      </c>
      <c r="F1391" s="20">
        <v>44265</v>
      </c>
      <c r="G1391" s="12">
        <v>0.18</v>
      </c>
      <c r="H1391" s="12">
        <v>9.8666666666666707</v>
      </c>
      <c r="I1391" s="13">
        <v>1.8243243243243199E-2</v>
      </c>
      <c r="J1391" s="12" t="s">
        <v>951</v>
      </c>
      <c r="K1391" s="14">
        <v>1695</v>
      </c>
      <c r="L1391" s="14">
        <v>979</v>
      </c>
      <c r="M1391" s="14">
        <v>1788</v>
      </c>
      <c r="N1391" s="12">
        <v>0.18</v>
      </c>
      <c r="O1391" s="12" t="s">
        <v>951</v>
      </c>
      <c r="P1391" s="12">
        <v>2.89554327630722E-5</v>
      </c>
      <c r="Q1391" s="12">
        <v>8.3071104636990795E-5</v>
      </c>
      <c r="R1391" s="12">
        <v>0.149193548387097</v>
      </c>
      <c r="S1391" s="14">
        <v>30</v>
      </c>
      <c r="T1391" s="12">
        <v>6.2777727684271301E-3</v>
      </c>
      <c r="U1391" s="14">
        <v>1800</v>
      </c>
      <c r="V1391" s="14">
        <v>1</v>
      </c>
      <c r="W1391" s="12">
        <v>5.4999999999999997E-3</v>
      </c>
      <c r="X1391" s="12">
        <v>1.17777727684271E-2</v>
      </c>
      <c r="Y1391" s="14">
        <v>1801</v>
      </c>
      <c r="Z1391" s="14">
        <v>30</v>
      </c>
      <c r="AA1391" s="12" t="s">
        <v>2367</v>
      </c>
    </row>
    <row r="1392" spans="1:27" ht="14.25" x14ac:dyDescent="0.45">
      <c r="A1392" s="12" t="s">
        <v>963</v>
      </c>
      <c r="B1392" s="12" t="s">
        <v>1971</v>
      </c>
      <c r="C1392" s="12" t="s">
        <v>1996</v>
      </c>
      <c r="D1392" s="12" t="s">
        <v>1997</v>
      </c>
      <c r="E1392" s="20">
        <v>34311</v>
      </c>
      <c r="F1392" s="20">
        <v>43900</v>
      </c>
      <c r="G1392" s="12">
        <v>3.61</v>
      </c>
      <c r="H1392" s="12">
        <v>22.033333333333299</v>
      </c>
      <c r="I1392" s="13">
        <v>0.16384266263237501</v>
      </c>
      <c r="J1392" s="12" t="s">
        <v>963</v>
      </c>
      <c r="K1392" s="14">
        <v>1393</v>
      </c>
      <c r="L1392" s="14">
        <v>425</v>
      </c>
      <c r="M1392" s="14">
        <v>1154</v>
      </c>
      <c r="N1392" s="12">
        <v>3.61</v>
      </c>
      <c r="O1392" s="12" t="s">
        <v>963</v>
      </c>
      <c r="P1392" s="12">
        <v>5.8071729041494699E-4</v>
      </c>
      <c r="Q1392" s="12">
        <v>7.46062023625004E-4</v>
      </c>
      <c r="R1392" s="12">
        <v>0.33316532258064502</v>
      </c>
      <c r="S1392" s="14">
        <v>29</v>
      </c>
      <c r="T1392" s="12">
        <v>6.8405774867123306E-2</v>
      </c>
      <c r="U1392" s="14">
        <v>1451</v>
      </c>
      <c r="V1392" s="14">
        <v>2</v>
      </c>
      <c r="W1392" s="12">
        <v>5.5999999999999999E-3</v>
      </c>
      <c r="X1392" s="12">
        <v>7.40057748671233E-2</v>
      </c>
      <c r="Y1392" s="14">
        <v>1451</v>
      </c>
      <c r="Z1392" s="14">
        <v>28</v>
      </c>
      <c r="AA1392" s="12" t="s">
        <v>2367</v>
      </c>
    </row>
    <row r="1393" spans="1:27" ht="14.25" x14ac:dyDescent="0.45">
      <c r="A1393" s="12" t="s">
        <v>1045</v>
      </c>
      <c r="B1393" s="12" t="s">
        <v>1971</v>
      </c>
      <c r="C1393" s="12" t="s">
        <v>1993</v>
      </c>
      <c r="D1393" s="12" t="s">
        <v>1993</v>
      </c>
      <c r="E1393" s="20">
        <v>36119</v>
      </c>
      <c r="F1393" s="20">
        <v>43955</v>
      </c>
      <c r="G1393" s="12">
        <v>7.81</v>
      </c>
      <c r="H1393" s="12">
        <v>20.2</v>
      </c>
      <c r="I1393" s="13">
        <v>0.38663366336633698</v>
      </c>
      <c r="J1393" s="12" t="s">
        <v>1045</v>
      </c>
      <c r="K1393" s="14">
        <v>1152</v>
      </c>
      <c r="L1393" s="14">
        <v>447</v>
      </c>
      <c r="M1393" s="14">
        <v>894</v>
      </c>
      <c r="N1393" s="12">
        <v>7.81</v>
      </c>
      <c r="O1393" s="12" t="s">
        <v>1045</v>
      </c>
      <c r="P1393" s="12">
        <v>1.2563440548866299E-3</v>
      </c>
      <c r="Q1393" s="12">
        <v>1.76054690920068E-3</v>
      </c>
      <c r="R1393" s="12">
        <v>0.30544354838709697</v>
      </c>
      <c r="S1393" s="14">
        <v>24</v>
      </c>
      <c r="T1393" s="12">
        <v>0.15714708388329099</v>
      </c>
      <c r="U1393" s="14">
        <v>1135</v>
      </c>
      <c r="V1393" s="14">
        <v>2</v>
      </c>
      <c r="W1393" s="12">
        <v>5.5999999999999999E-3</v>
      </c>
      <c r="X1393" s="12">
        <v>0.16274708388329101</v>
      </c>
      <c r="Y1393" s="14">
        <v>1136</v>
      </c>
      <c r="Z1393" s="14">
        <v>23</v>
      </c>
      <c r="AA1393" s="12" t="s">
        <v>2370</v>
      </c>
    </row>
    <row r="1394" spans="1:27" ht="14.25" x14ac:dyDescent="0.45">
      <c r="A1394" s="12" t="s">
        <v>1054</v>
      </c>
      <c r="B1394" s="12" t="s">
        <v>1971</v>
      </c>
      <c r="C1394" s="12" t="s">
        <v>1993</v>
      </c>
      <c r="D1394" s="12" t="s">
        <v>1993</v>
      </c>
      <c r="E1394" s="20">
        <v>33097</v>
      </c>
      <c r="F1394" s="20">
        <v>43873</v>
      </c>
      <c r="G1394" s="12">
        <v>1.22</v>
      </c>
      <c r="H1394" s="12">
        <v>22.933333333333302</v>
      </c>
      <c r="I1394" s="13">
        <v>5.31976744186047E-2</v>
      </c>
      <c r="J1394" s="12" t="s">
        <v>1054</v>
      </c>
      <c r="K1394" s="14">
        <v>1598</v>
      </c>
      <c r="L1394" s="14">
        <v>410</v>
      </c>
      <c r="M1394" s="14">
        <v>1519</v>
      </c>
      <c r="N1394" s="12">
        <v>1.22</v>
      </c>
      <c r="O1394" s="12" t="s">
        <v>1054</v>
      </c>
      <c r="P1394" s="12">
        <v>1.96253488727489E-4</v>
      </c>
      <c r="Q1394" s="12">
        <v>2.42237058353603E-4</v>
      </c>
      <c r="R1394" s="12">
        <v>0.34677419354838701</v>
      </c>
      <c r="S1394" s="14">
        <v>32</v>
      </c>
      <c r="T1394" s="12">
        <v>2.2499321974380999E-2</v>
      </c>
      <c r="U1394" s="14">
        <v>1669</v>
      </c>
      <c r="V1394" s="14">
        <v>1</v>
      </c>
      <c r="W1394" s="12">
        <v>5.4999999999999997E-3</v>
      </c>
      <c r="X1394" s="12">
        <v>2.7999321974381E-2</v>
      </c>
      <c r="Y1394" s="14">
        <v>1669</v>
      </c>
      <c r="Z1394" s="14">
        <v>31</v>
      </c>
      <c r="AA1394" s="12" t="s">
        <v>2367</v>
      </c>
    </row>
    <row r="1395" spans="1:27" ht="14.25" x14ac:dyDescent="0.45">
      <c r="A1395" s="12" t="s">
        <v>1073</v>
      </c>
      <c r="B1395" s="12" t="s">
        <v>1971</v>
      </c>
      <c r="C1395" s="12" t="s">
        <v>1996</v>
      </c>
      <c r="D1395" s="12" t="s">
        <v>2026</v>
      </c>
      <c r="E1395" s="20">
        <v>32119</v>
      </c>
      <c r="F1395" s="20">
        <v>44247</v>
      </c>
      <c r="G1395" s="12">
        <v>105.57</v>
      </c>
      <c r="H1395" s="12">
        <v>10.466666666666701</v>
      </c>
      <c r="I1395" s="13">
        <v>10.086305732484099</v>
      </c>
      <c r="J1395" s="12" t="s">
        <v>1073</v>
      </c>
      <c r="K1395" s="14">
        <v>291</v>
      </c>
      <c r="L1395" s="14">
        <v>951</v>
      </c>
      <c r="M1395" s="14">
        <v>376</v>
      </c>
      <c r="N1395" s="12">
        <v>105.57</v>
      </c>
      <c r="O1395" s="12" t="s">
        <v>1073</v>
      </c>
      <c r="P1395" s="12">
        <v>1.6982361315541799E-2</v>
      </c>
      <c r="Q1395" s="12">
        <v>4.5928267673248903E-2</v>
      </c>
      <c r="R1395" s="12">
        <v>0.15826612903225801</v>
      </c>
      <c r="S1395" s="14">
        <v>35</v>
      </c>
      <c r="T1395" s="12">
        <v>3.5073552789108802</v>
      </c>
      <c r="U1395" s="14">
        <v>342</v>
      </c>
      <c r="V1395" s="14">
        <v>9</v>
      </c>
      <c r="W1395" s="12">
        <v>6.3E-3</v>
      </c>
      <c r="X1395" s="12">
        <v>3.5136552789108801</v>
      </c>
      <c r="Y1395" s="14">
        <v>342</v>
      </c>
      <c r="Z1395" s="14">
        <v>34</v>
      </c>
      <c r="AA1395" s="12" t="s">
        <v>2367</v>
      </c>
    </row>
    <row r="1396" spans="1:27" ht="14.25" x14ac:dyDescent="0.45">
      <c r="A1396" s="12" t="s">
        <v>1127</v>
      </c>
      <c r="B1396" s="12" t="s">
        <v>1971</v>
      </c>
      <c r="C1396" s="12" t="s">
        <v>1993</v>
      </c>
      <c r="D1396" s="12" t="s">
        <v>1993</v>
      </c>
      <c r="E1396" s="20">
        <v>36675</v>
      </c>
      <c r="F1396" s="20">
        <v>44335</v>
      </c>
      <c r="G1396" s="12">
        <v>179.85</v>
      </c>
      <c r="H1396" s="12">
        <v>7.5333333333333297</v>
      </c>
      <c r="I1396" s="13">
        <v>23.873893805309699</v>
      </c>
      <c r="J1396" s="12" t="s">
        <v>1127</v>
      </c>
      <c r="K1396" s="14">
        <v>109</v>
      </c>
      <c r="L1396" s="14">
        <v>1332</v>
      </c>
      <c r="M1396" s="14">
        <v>303</v>
      </c>
      <c r="N1396" s="12">
        <v>179.85</v>
      </c>
      <c r="O1396" s="12" t="s">
        <v>1127</v>
      </c>
      <c r="P1396" s="12">
        <v>2.89313032357696E-2</v>
      </c>
      <c r="Q1396" s="12">
        <v>0.10871042522155799</v>
      </c>
      <c r="R1396" s="12">
        <v>0.113911290322581</v>
      </c>
      <c r="S1396" s="14">
        <v>22</v>
      </c>
      <c r="T1396" s="12">
        <v>7.8793254476887498</v>
      </c>
      <c r="U1396" s="14">
        <v>159</v>
      </c>
      <c r="V1396" s="14">
        <v>5</v>
      </c>
      <c r="W1396" s="12">
        <v>5.8999999999999999E-3</v>
      </c>
      <c r="X1396" s="12">
        <v>7.8852254476887502</v>
      </c>
      <c r="Y1396" s="14">
        <v>159</v>
      </c>
      <c r="Z1396" s="14">
        <v>22</v>
      </c>
      <c r="AA1396" s="12" t="s">
        <v>2370</v>
      </c>
    </row>
    <row r="1397" spans="1:27" ht="14.25" x14ac:dyDescent="0.45">
      <c r="A1397" s="12" t="s">
        <v>1131</v>
      </c>
      <c r="B1397" s="12" t="s">
        <v>1971</v>
      </c>
      <c r="C1397" s="12" t="s">
        <v>1993</v>
      </c>
      <c r="D1397" s="12" t="s">
        <v>1993</v>
      </c>
      <c r="E1397" s="20">
        <v>32142</v>
      </c>
      <c r="F1397" s="20">
        <v>42930</v>
      </c>
      <c r="G1397" s="12">
        <v>562.01</v>
      </c>
      <c r="H1397" s="12">
        <v>54.366666666666703</v>
      </c>
      <c r="I1397" s="13">
        <v>10.337400367872499</v>
      </c>
      <c r="J1397" s="12" t="s">
        <v>1131</v>
      </c>
      <c r="K1397" s="14">
        <v>285</v>
      </c>
      <c r="L1397" s="14">
        <v>41</v>
      </c>
      <c r="M1397" s="14">
        <v>129</v>
      </c>
      <c r="N1397" s="12">
        <v>562.01</v>
      </c>
      <c r="O1397" s="12" t="s">
        <v>1131</v>
      </c>
      <c r="P1397" s="12">
        <v>9.0406904262078799E-2</v>
      </c>
      <c r="Q1397" s="12">
        <v>4.7071633929567501E-2</v>
      </c>
      <c r="R1397" s="12">
        <v>0.82207661290322598</v>
      </c>
      <c r="S1397" s="14">
        <v>35</v>
      </c>
      <c r="T1397" s="12">
        <v>6.3322360304259204</v>
      </c>
      <c r="U1397" s="14">
        <v>210</v>
      </c>
      <c r="V1397" s="14">
        <v>10</v>
      </c>
      <c r="W1397" s="12">
        <v>6.4000000000000003E-3</v>
      </c>
      <c r="X1397" s="12">
        <v>6.3386360304259304</v>
      </c>
      <c r="Y1397" s="14">
        <v>210</v>
      </c>
      <c r="Z1397" s="14">
        <v>34</v>
      </c>
      <c r="AA1397" s="12" t="s">
        <v>2367</v>
      </c>
    </row>
    <row r="1398" spans="1:27" ht="14.25" x14ac:dyDescent="0.45">
      <c r="A1398" s="12" t="s">
        <v>1253</v>
      </c>
      <c r="B1398" s="12" t="s">
        <v>1971</v>
      </c>
      <c r="C1398" s="12" t="s">
        <v>1996</v>
      </c>
      <c r="D1398" s="12" t="s">
        <v>2012</v>
      </c>
      <c r="E1398" s="20">
        <v>30162</v>
      </c>
      <c r="F1398" s="20">
        <v>44335</v>
      </c>
      <c r="G1398" s="12">
        <v>3.84</v>
      </c>
      <c r="H1398" s="12">
        <v>7.5333333333333297</v>
      </c>
      <c r="I1398" s="13">
        <v>0.50973451327433605</v>
      </c>
      <c r="J1398" s="12" t="s">
        <v>1253</v>
      </c>
      <c r="K1398" s="14">
        <v>1041</v>
      </c>
      <c r="L1398" s="14">
        <v>1332</v>
      </c>
      <c r="M1398" s="14">
        <v>1131</v>
      </c>
      <c r="N1398" s="12">
        <v>3.84</v>
      </c>
      <c r="O1398" s="12" t="s">
        <v>1253</v>
      </c>
      <c r="P1398" s="12">
        <v>6.1771589894553901E-4</v>
      </c>
      <c r="Q1398" s="12">
        <v>2.3210899797096699E-3</v>
      </c>
      <c r="R1398" s="12">
        <v>0.113911290322581</v>
      </c>
      <c r="S1398" s="14">
        <v>40</v>
      </c>
      <c r="T1398" s="12">
        <v>0.168232469942312</v>
      </c>
      <c r="U1398" s="14">
        <v>1112</v>
      </c>
      <c r="V1398" s="14">
        <v>1</v>
      </c>
      <c r="W1398" s="12">
        <v>5.4999999999999997E-3</v>
      </c>
      <c r="X1398" s="12">
        <v>0.17373246994231201</v>
      </c>
      <c r="Y1398" s="14">
        <v>1112</v>
      </c>
      <c r="Z1398" s="14">
        <v>39</v>
      </c>
      <c r="AA1398" s="12" t="s">
        <v>2369</v>
      </c>
    </row>
    <row r="1399" spans="1:27" ht="14.25" x14ac:dyDescent="0.45">
      <c r="A1399" s="12" t="s">
        <v>1278</v>
      </c>
      <c r="B1399" s="12" t="s">
        <v>1971</v>
      </c>
      <c r="C1399" s="12" t="s">
        <v>1996</v>
      </c>
      <c r="D1399" s="12" t="s">
        <v>2007</v>
      </c>
      <c r="E1399" s="20">
        <v>34703</v>
      </c>
      <c r="F1399" s="20">
        <v>44371</v>
      </c>
      <c r="G1399" s="12">
        <v>1.29</v>
      </c>
      <c r="H1399" s="12">
        <v>6.3333333333333304</v>
      </c>
      <c r="I1399" s="13">
        <v>0.203684210526316</v>
      </c>
      <c r="J1399" s="12" t="s">
        <v>1278</v>
      </c>
      <c r="K1399" s="14">
        <v>1342</v>
      </c>
      <c r="L1399" s="14">
        <v>1557</v>
      </c>
      <c r="M1399" s="14">
        <v>1506</v>
      </c>
      <c r="N1399" s="12">
        <v>1.29</v>
      </c>
      <c r="O1399" s="12" t="s">
        <v>1278</v>
      </c>
      <c r="P1399" s="12">
        <v>2.0751393480201701E-4</v>
      </c>
      <c r="Q1399" s="12">
        <v>9.2748159633299998E-4</v>
      </c>
      <c r="R1399" s="12">
        <v>9.5766129032257993E-2</v>
      </c>
      <c r="S1399" s="14">
        <v>27</v>
      </c>
      <c r="T1399" s="12">
        <v>6.5749372325888095E-2</v>
      </c>
      <c r="U1399" s="14">
        <v>1461</v>
      </c>
      <c r="V1399" s="14">
        <v>1</v>
      </c>
      <c r="W1399" s="12">
        <v>5.4999999999999997E-3</v>
      </c>
      <c r="X1399" s="12">
        <v>7.12493723258881E-2</v>
      </c>
      <c r="Y1399" s="14">
        <v>1461</v>
      </c>
      <c r="Z1399" s="14">
        <v>27</v>
      </c>
      <c r="AA1399" s="12" t="s">
        <v>2367</v>
      </c>
    </row>
    <row r="1400" spans="1:27" ht="14.25" x14ac:dyDescent="0.45">
      <c r="A1400" s="12" t="s">
        <v>1287</v>
      </c>
      <c r="B1400" s="12" t="s">
        <v>1971</v>
      </c>
      <c r="C1400" s="12" t="s">
        <v>1993</v>
      </c>
      <c r="D1400" s="12" t="s">
        <v>1975</v>
      </c>
      <c r="E1400" s="20">
        <v>37657</v>
      </c>
      <c r="F1400" s="20">
        <v>44372</v>
      </c>
      <c r="G1400" s="12">
        <v>0.06</v>
      </c>
      <c r="H1400" s="12">
        <v>6.3</v>
      </c>
      <c r="I1400" s="13">
        <v>9.5238095238095195E-3</v>
      </c>
      <c r="J1400" s="12" t="s">
        <v>1287</v>
      </c>
      <c r="K1400" s="14">
        <v>1749</v>
      </c>
      <c r="L1400" s="14">
        <v>1606</v>
      </c>
      <c r="M1400" s="14">
        <v>1867</v>
      </c>
      <c r="N1400" s="12">
        <v>0.06</v>
      </c>
      <c r="O1400" s="12" t="s">
        <v>1287</v>
      </c>
      <c r="P1400" s="12">
        <v>9.6518109210240504E-6</v>
      </c>
      <c r="Q1400" s="12">
        <v>4.3366925877512E-5</v>
      </c>
      <c r="R1400" s="12">
        <v>9.5262096774193505E-2</v>
      </c>
      <c r="S1400" s="14">
        <v>19</v>
      </c>
      <c r="T1400" s="12">
        <v>3.0723757768829E-3</v>
      </c>
      <c r="U1400" s="14">
        <v>1855</v>
      </c>
      <c r="V1400" s="14">
        <v>1</v>
      </c>
      <c r="W1400" s="12">
        <v>5.4999999999999997E-3</v>
      </c>
      <c r="X1400" s="12">
        <v>8.5723757768829002E-3</v>
      </c>
      <c r="Y1400" s="14">
        <v>1855</v>
      </c>
      <c r="Z1400" s="14">
        <v>19</v>
      </c>
      <c r="AA1400" s="12" t="s">
        <v>2370</v>
      </c>
    </row>
    <row r="1401" spans="1:27" ht="14.25" x14ac:dyDescent="0.45">
      <c r="A1401" s="12" t="s">
        <v>1296</v>
      </c>
      <c r="B1401" s="12" t="s">
        <v>1971</v>
      </c>
      <c r="C1401" s="12" t="s">
        <v>1993</v>
      </c>
      <c r="D1401" s="12" t="s">
        <v>1993</v>
      </c>
      <c r="E1401" s="20">
        <v>27583</v>
      </c>
      <c r="F1401" s="20">
        <v>44334</v>
      </c>
      <c r="G1401" s="12">
        <v>2.1</v>
      </c>
      <c r="H1401" s="12">
        <v>7.56666666666667</v>
      </c>
      <c r="I1401" s="13">
        <v>0.27753303964757697</v>
      </c>
      <c r="J1401" s="12" t="s">
        <v>1296</v>
      </c>
      <c r="K1401" s="14">
        <v>1244</v>
      </c>
      <c r="L1401" s="14">
        <v>1269</v>
      </c>
      <c r="M1401" s="14">
        <v>1339</v>
      </c>
      <c r="N1401" s="12">
        <v>2.1</v>
      </c>
      <c r="O1401" s="12" t="s">
        <v>1296</v>
      </c>
      <c r="P1401" s="12">
        <v>3.37813382235842E-4</v>
      </c>
      <c r="Q1401" s="12">
        <v>1.26375424969049E-3</v>
      </c>
      <c r="R1401" s="12">
        <v>0.114415322580645</v>
      </c>
      <c r="S1401" s="14">
        <v>47</v>
      </c>
      <c r="T1401" s="12">
        <v>9.1652642439499901E-2</v>
      </c>
      <c r="U1401" s="14">
        <v>1310</v>
      </c>
      <c r="V1401" s="14">
        <v>1</v>
      </c>
      <c r="W1401" s="12">
        <v>5.4999999999999997E-3</v>
      </c>
      <c r="X1401" s="12">
        <v>9.7152642439499906E-2</v>
      </c>
      <c r="Y1401" s="14">
        <v>1310</v>
      </c>
      <c r="Z1401" s="14">
        <v>47</v>
      </c>
      <c r="AA1401" s="12" t="s">
        <v>2371</v>
      </c>
    </row>
    <row r="1402" spans="1:27" ht="14.25" x14ac:dyDescent="0.45">
      <c r="A1402" s="12" t="s">
        <v>1327</v>
      </c>
      <c r="B1402" s="12" t="s">
        <v>1971</v>
      </c>
      <c r="C1402" s="12" t="s">
        <v>1993</v>
      </c>
      <c r="D1402" s="12" t="s">
        <v>1987</v>
      </c>
      <c r="E1402" s="20">
        <v>26981</v>
      </c>
      <c r="F1402" s="20">
        <v>44371</v>
      </c>
      <c r="G1402" s="12">
        <v>3.54</v>
      </c>
      <c r="H1402" s="12">
        <v>6.3333333333333304</v>
      </c>
      <c r="I1402" s="13">
        <v>0.55894736842105297</v>
      </c>
      <c r="J1402" s="12" t="s">
        <v>1327</v>
      </c>
      <c r="K1402" s="14">
        <v>1017</v>
      </c>
      <c r="L1402" s="14">
        <v>1557</v>
      </c>
      <c r="M1402" s="14">
        <v>1167</v>
      </c>
      <c r="N1402" s="12">
        <v>3.54</v>
      </c>
      <c r="O1402" s="12" t="s">
        <v>1327</v>
      </c>
      <c r="P1402" s="12">
        <v>5.6945684434041896E-4</v>
      </c>
      <c r="Q1402" s="12">
        <v>2.5451820550533499E-3</v>
      </c>
      <c r="R1402" s="12">
        <v>9.5766129032257993E-2</v>
      </c>
      <c r="S1402" s="14">
        <v>49</v>
      </c>
      <c r="T1402" s="12">
        <v>0.1804285101036</v>
      </c>
      <c r="U1402" s="14">
        <v>1080</v>
      </c>
      <c r="V1402" s="14">
        <v>2</v>
      </c>
      <c r="W1402" s="12">
        <v>5.5999999999999999E-3</v>
      </c>
      <c r="X1402" s="12">
        <v>0.1860285101036</v>
      </c>
      <c r="Y1402" s="14">
        <v>1080</v>
      </c>
      <c r="Z1402" s="14">
        <v>48</v>
      </c>
      <c r="AA1402" s="12" t="s">
        <v>2371</v>
      </c>
    </row>
    <row r="1403" spans="1:27" ht="14.25" x14ac:dyDescent="0.45">
      <c r="A1403" s="12" t="s">
        <v>1397</v>
      </c>
      <c r="B1403" s="12" t="s">
        <v>1971</v>
      </c>
      <c r="C1403" s="12" t="s">
        <v>1993</v>
      </c>
      <c r="D1403" s="12" t="s">
        <v>1974</v>
      </c>
      <c r="E1403" s="20">
        <v>31629</v>
      </c>
      <c r="F1403" s="20">
        <v>43383</v>
      </c>
      <c r="G1403" s="12">
        <v>19.489999999999998</v>
      </c>
      <c r="H1403" s="12">
        <v>39.266666666666701</v>
      </c>
      <c r="I1403" s="13">
        <v>0.49634974533107001</v>
      </c>
      <c r="J1403" s="12" t="s">
        <v>1397</v>
      </c>
      <c r="K1403" s="14">
        <v>1054</v>
      </c>
      <c r="L1403" s="14">
        <v>196</v>
      </c>
      <c r="M1403" s="14">
        <v>725</v>
      </c>
      <c r="N1403" s="12">
        <v>19.489999999999998</v>
      </c>
      <c r="O1403" s="12" t="s">
        <v>1397</v>
      </c>
      <c r="P1403" s="12">
        <v>3.1352299141793102E-3</v>
      </c>
      <c r="Q1403" s="12">
        <v>2.26014207458492E-3</v>
      </c>
      <c r="R1403" s="12">
        <v>0.59375</v>
      </c>
      <c r="S1403" s="14">
        <v>36</v>
      </c>
      <c r="T1403" s="12">
        <v>0.258830001443281</v>
      </c>
      <c r="U1403" s="14">
        <v>958</v>
      </c>
      <c r="V1403" s="14">
        <v>4</v>
      </c>
      <c r="W1403" s="12">
        <v>5.7999999999999996E-3</v>
      </c>
      <c r="X1403" s="12">
        <v>0.26463000144328203</v>
      </c>
      <c r="Y1403" s="14">
        <v>958</v>
      </c>
      <c r="Z1403" s="14">
        <v>35</v>
      </c>
      <c r="AA1403" s="12" t="s">
        <v>2369</v>
      </c>
    </row>
    <row r="1404" spans="1:27" ht="14.25" x14ac:dyDescent="0.45">
      <c r="A1404" s="12" t="s">
        <v>1407</v>
      </c>
      <c r="B1404" s="12" t="s">
        <v>1971</v>
      </c>
      <c r="C1404" s="12" t="s">
        <v>1996</v>
      </c>
      <c r="D1404" s="12" t="s">
        <v>1997</v>
      </c>
      <c r="E1404" s="20">
        <v>33850</v>
      </c>
      <c r="F1404" s="20">
        <v>44335</v>
      </c>
      <c r="G1404" s="12">
        <v>0.55000000000000004</v>
      </c>
      <c r="H1404" s="12">
        <v>7.5333333333333297</v>
      </c>
      <c r="I1404" s="13">
        <v>7.3008849557522099E-2</v>
      </c>
      <c r="J1404" s="12" t="s">
        <v>1407</v>
      </c>
      <c r="K1404" s="14">
        <v>1556</v>
      </c>
      <c r="L1404" s="14">
        <v>1332</v>
      </c>
      <c r="M1404" s="14">
        <v>1667</v>
      </c>
      <c r="N1404" s="12">
        <v>0.55000000000000004</v>
      </c>
      <c r="O1404" s="12" t="s">
        <v>1407</v>
      </c>
      <c r="P1404" s="12">
        <v>8.8474933442720505E-5</v>
      </c>
      <c r="Q1404" s="12">
        <v>3.32447783552166E-4</v>
      </c>
      <c r="R1404" s="12">
        <v>0.113911290322581</v>
      </c>
      <c r="S1404" s="14">
        <v>30</v>
      </c>
      <c r="T1404" s="12">
        <v>2.4095796476112399E-2</v>
      </c>
      <c r="U1404" s="14">
        <v>1656</v>
      </c>
      <c r="V1404" s="14">
        <v>1</v>
      </c>
      <c r="W1404" s="12">
        <v>5.4999999999999997E-3</v>
      </c>
      <c r="X1404" s="12">
        <v>2.95957964761124E-2</v>
      </c>
      <c r="Y1404" s="14">
        <v>1656</v>
      </c>
      <c r="Z1404" s="14">
        <v>29</v>
      </c>
      <c r="AA1404" s="12" t="s">
        <v>2367</v>
      </c>
    </row>
    <row r="1405" spans="1:27" ht="14.25" x14ac:dyDescent="0.45">
      <c r="A1405" s="12" t="s">
        <v>1423</v>
      </c>
      <c r="B1405" s="12" t="s">
        <v>1971</v>
      </c>
      <c r="C1405" s="12" t="s">
        <v>1975</v>
      </c>
      <c r="D1405" s="12" t="s">
        <v>1982</v>
      </c>
      <c r="E1405" s="20">
        <v>36597</v>
      </c>
      <c r="F1405" s="20">
        <v>44371</v>
      </c>
      <c r="G1405" s="12">
        <v>3.53</v>
      </c>
      <c r="H1405" s="12">
        <v>6.3333333333333304</v>
      </c>
      <c r="I1405" s="13">
        <v>0.55736842105263196</v>
      </c>
      <c r="J1405" s="12" t="s">
        <v>1423</v>
      </c>
      <c r="K1405" s="14">
        <v>1018</v>
      </c>
      <c r="L1405" s="14">
        <v>1557</v>
      </c>
      <c r="M1405" s="14">
        <v>1169</v>
      </c>
      <c r="N1405" s="12">
        <v>3.53</v>
      </c>
      <c r="O1405" s="12" t="s">
        <v>1423</v>
      </c>
      <c r="P1405" s="12">
        <v>5.67848209186915E-4</v>
      </c>
      <c r="Q1405" s="12">
        <v>2.5379922752368101E-3</v>
      </c>
      <c r="R1405" s="12">
        <v>9.5766129032257993E-2</v>
      </c>
      <c r="S1405" s="14">
        <v>22</v>
      </c>
      <c r="T1405" s="12">
        <v>0.17991882504681</v>
      </c>
      <c r="U1405" s="14">
        <v>1083</v>
      </c>
      <c r="V1405" s="14">
        <v>1</v>
      </c>
      <c r="W1405" s="12">
        <v>5.4999999999999997E-3</v>
      </c>
      <c r="X1405" s="12">
        <v>0.18541882504681001</v>
      </c>
      <c r="Y1405" s="14">
        <v>1083</v>
      </c>
      <c r="Z1405" s="14">
        <v>22</v>
      </c>
      <c r="AA1405" s="12" t="s">
        <v>2370</v>
      </c>
    </row>
    <row r="1406" spans="1:27" ht="14.25" x14ac:dyDescent="0.45">
      <c r="A1406" s="12" t="s">
        <v>1425</v>
      </c>
      <c r="B1406" s="12" t="s">
        <v>1971</v>
      </c>
      <c r="C1406" s="12" t="s">
        <v>1993</v>
      </c>
      <c r="D1406" s="12" t="s">
        <v>1993</v>
      </c>
      <c r="E1406" s="20">
        <v>35507</v>
      </c>
      <c r="F1406" s="20">
        <v>44371</v>
      </c>
      <c r="G1406" s="12">
        <v>1.25</v>
      </c>
      <c r="H1406" s="12">
        <v>6.3333333333333304</v>
      </c>
      <c r="I1406" s="13">
        <v>0.197368421052632</v>
      </c>
      <c r="J1406" s="12" t="s">
        <v>1425</v>
      </c>
      <c r="K1406" s="14">
        <v>1353</v>
      </c>
      <c r="L1406" s="14">
        <v>1557</v>
      </c>
      <c r="M1406" s="14">
        <v>1514</v>
      </c>
      <c r="N1406" s="12">
        <v>1.25</v>
      </c>
      <c r="O1406" s="12" t="s">
        <v>1425</v>
      </c>
      <c r="P1406" s="12">
        <v>2.0107939418800101E-4</v>
      </c>
      <c r="Q1406" s="12">
        <v>8.9872247706685999E-4</v>
      </c>
      <c r="R1406" s="12">
        <v>9.5766129032257993E-2</v>
      </c>
      <c r="S1406" s="14">
        <v>25</v>
      </c>
      <c r="T1406" s="12">
        <v>6.3710632098728806E-2</v>
      </c>
      <c r="U1406" s="14">
        <v>1468</v>
      </c>
      <c r="V1406" s="14">
        <v>2</v>
      </c>
      <c r="W1406" s="12">
        <v>5.5999999999999999E-3</v>
      </c>
      <c r="X1406" s="12">
        <v>6.93106320987288E-2</v>
      </c>
      <c r="Y1406" s="14">
        <v>1468</v>
      </c>
      <c r="Z1406" s="14">
        <v>25</v>
      </c>
      <c r="AA1406" s="12" t="s">
        <v>2367</v>
      </c>
    </row>
    <row r="1407" spans="1:27" ht="14.25" x14ac:dyDescent="0.45">
      <c r="A1407" s="12" t="s">
        <v>1448</v>
      </c>
      <c r="B1407" s="12" t="s">
        <v>1971</v>
      </c>
      <c r="C1407" s="12" t="s">
        <v>1996</v>
      </c>
      <c r="D1407" s="12" t="s">
        <v>1975</v>
      </c>
      <c r="E1407" s="20">
        <v>26753</v>
      </c>
      <c r="F1407" s="20">
        <v>44371</v>
      </c>
      <c r="G1407" s="12">
        <v>3.57</v>
      </c>
      <c r="H1407" s="12">
        <v>6.3333333333333304</v>
      </c>
      <c r="I1407" s="13">
        <v>0.56368421052631601</v>
      </c>
      <c r="J1407" s="12" t="s">
        <v>1448</v>
      </c>
      <c r="K1407" s="14">
        <v>1012</v>
      </c>
      <c r="L1407" s="14">
        <v>1557</v>
      </c>
      <c r="M1407" s="14">
        <v>1165</v>
      </c>
      <c r="N1407" s="12">
        <v>3.57</v>
      </c>
      <c r="O1407" s="12" t="s">
        <v>1448</v>
      </c>
      <c r="P1407" s="12">
        <v>5.7428274980093105E-4</v>
      </c>
      <c r="Q1407" s="12">
        <v>2.5667513945029502E-3</v>
      </c>
      <c r="R1407" s="12">
        <v>9.5766129032257993E-2</v>
      </c>
      <c r="S1407" s="14">
        <v>49</v>
      </c>
      <c r="T1407" s="12">
        <v>0.18195756527397</v>
      </c>
      <c r="U1407" s="14">
        <v>1078</v>
      </c>
      <c r="V1407" s="14">
        <v>1</v>
      </c>
      <c r="W1407" s="12">
        <v>5.4999999999999997E-3</v>
      </c>
      <c r="X1407" s="12">
        <v>0.18745756527397001</v>
      </c>
      <c r="Y1407" s="14">
        <v>1078</v>
      </c>
      <c r="Z1407" s="14">
        <v>49</v>
      </c>
      <c r="AA1407" s="12" t="s">
        <v>2371</v>
      </c>
    </row>
    <row r="1408" spans="1:27" ht="14.25" x14ac:dyDescent="0.45">
      <c r="A1408" s="12" t="s">
        <v>1473</v>
      </c>
      <c r="B1408" s="12" t="s">
        <v>1971</v>
      </c>
      <c r="C1408" s="12" t="s">
        <v>1975</v>
      </c>
      <c r="D1408" s="12" t="s">
        <v>1982</v>
      </c>
      <c r="E1408" s="20">
        <v>36801</v>
      </c>
      <c r="F1408" s="20">
        <v>44382</v>
      </c>
      <c r="G1408" s="12">
        <v>5.61</v>
      </c>
      <c r="H1408" s="12">
        <v>5.9666666666666703</v>
      </c>
      <c r="I1408" s="13">
        <v>0.94022346368715104</v>
      </c>
      <c r="J1408" s="12" t="s">
        <v>1473</v>
      </c>
      <c r="K1408" s="14">
        <v>845</v>
      </c>
      <c r="L1408" s="14">
        <v>1646</v>
      </c>
      <c r="M1408" s="14">
        <v>994</v>
      </c>
      <c r="N1408" s="12">
        <v>5.61</v>
      </c>
      <c r="O1408" s="12" t="s">
        <v>1473</v>
      </c>
      <c r="P1408" s="12">
        <v>9.0244432111574898E-4</v>
      </c>
      <c r="Q1408" s="12">
        <v>4.2813331320919199E-3</v>
      </c>
      <c r="R1408" s="12">
        <v>9.0221774193548404E-2</v>
      </c>
      <c r="S1408" s="14">
        <v>22</v>
      </c>
      <c r="T1408" s="12">
        <v>0.30142498279758501</v>
      </c>
      <c r="U1408" s="14">
        <v>919</v>
      </c>
      <c r="V1408" s="14">
        <v>3</v>
      </c>
      <c r="W1408" s="12">
        <v>5.7000000000000002E-3</v>
      </c>
      <c r="X1408" s="12">
        <v>0.30712498279758499</v>
      </c>
      <c r="Y1408" s="14">
        <v>918</v>
      </c>
      <c r="Z1408" s="14">
        <v>21</v>
      </c>
      <c r="AA1408" s="12" t="s">
        <v>2370</v>
      </c>
    </row>
    <row r="1409" spans="1:27" ht="14.25" x14ac:dyDescent="0.45">
      <c r="A1409" s="12" t="s">
        <v>1521</v>
      </c>
      <c r="B1409" s="12" t="s">
        <v>1971</v>
      </c>
      <c r="C1409" s="12" t="s">
        <v>1975</v>
      </c>
      <c r="D1409" s="12" t="s">
        <v>1975</v>
      </c>
      <c r="E1409" s="20">
        <v>36533</v>
      </c>
      <c r="F1409" s="20">
        <v>43843</v>
      </c>
      <c r="G1409" s="12">
        <v>2.73</v>
      </c>
      <c r="H1409" s="12">
        <v>23.933333333333302</v>
      </c>
      <c r="I1409" s="13">
        <v>0.114066852367688</v>
      </c>
      <c r="J1409" s="12" t="s">
        <v>1521</v>
      </c>
      <c r="K1409" s="14">
        <v>1457</v>
      </c>
      <c r="L1409" s="14">
        <v>385</v>
      </c>
      <c r="M1409" s="14">
        <v>1253</v>
      </c>
      <c r="N1409" s="12">
        <v>2.73</v>
      </c>
      <c r="O1409" s="12" t="s">
        <v>1521</v>
      </c>
      <c r="P1409" s="12">
        <v>4.3915739690659399E-4</v>
      </c>
      <c r="Q1409" s="12">
        <v>5.1940651682961603E-4</v>
      </c>
      <c r="R1409" s="12">
        <v>0.36189516129032301</v>
      </c>
      <c r="S1409" s="14">
        <v>22</v>
      </c>
      <c r="T1409" s="12">
        <v>4.8931309685848301E-2</v>
      </c>
      <c r="U1409" s="14">
        <v>1522</v>
      </c>
      <c r="V1409" s="14">
        <v>3</v>
      </c>
      <c r="W1409" s="12">
        <v>5.7000000000000002E-3</v>
      </c>
      <c r="X1409" s="12">
        <v>5.4631309685848298E-2</v>
      </c>
      <c r="Y1409" s="14">
        <v>1522</v>
      </c>
      <c r="Z1409" s="14">
        <v>22</v>
      </c>
      <c r="AA1409" s="12" t="s">
        <v>2370</v>
      </c>
    </row>
    <row r="1410" spans="1:27" ht="14.25" x14ac:dyDescent="0.45">
      <c r="A1410" s="12" t="s">
        <v>1526</v>
      </c>
      <c r="B1410" s="12" t="s">
        <v>1971</v>
      </c>
      <c r="C1410" s="12" t="s">
        <v>1993</v>
      </c>
      <c r="D1410" s="12" t="s">
        <v>1975</v>
      </c>
      <c r="E1410" s="20">
        <v>30320</v>
      </c>
      <c r="F1410" s="20">
        <v>44125</v>
      </c>
      <c r="G1410" s="12">
        <v>450.26</v>
      </c>
      <c r="H1410" s="12">
        <v>14.533333333333299</v>
      </c>
      <c r="I1410" s="13">
        <v>30.981192660550501</v>
      </c>
      <c r="J1410" s="12" t="s">
        <v>1526</v>
      </c>
      <c r="K1410" s="14">
        <v>78</v>
      </c>
      <c r="L1410" s="14">
        <v>564</v>
      </c>
      <c r="M1410" s="14">
        <v>162</v>
      </c>
      <c r="N1410" s="12">
        <v>450.26</v>
      </c>
      <c r="O1410" s="12" t="s">
        <v>1526</v>
      </c>
      <c r="P1410" s="12">
        <v>7.2430406421671506E-2</v>
      </c>
      <c r="Q1410" s="12">
        <v>0.14107370399923599</v>
      </c>
      <c r="R1410" s="12">
        <v>0.219758064516129</v>
      </c>
      <c r="S1410" s="14">
        <v>39</v>
      </c>
      <c r="T1410" s="12">
        <v>11.5332467407649</v>
      </c>
      <c r="U1410" s="14">
        <v>91</v>
      </c>
      <c r="V1410" s="14">
        <v>5</v>
      </c>
      <c r="W1410" s="12">
        <v>5.8999999999999999E-3</v>
      </c>
      <c r="X1410" s="12">
        <v>11.539146740764901</v>
      </c>
      <c r="Y1410" s="14">
        <v>91</v>
      </c>
      <c r="Z1410" s="14">
        <v>39</v>
      </c>
      <c r="AA1410" s="12" t="s">
        <v>2369</v>
      </c>
    </row>
    <row r="1411" spans="1:27" ht="14.25" x14ac:dyDescent="0.45">
      <c r="A1411" s="12" t="s">
        <v>1527</v>
      </c>
      <c r="B1411" s="12" t="s">
        <v>1971</v>
      </c>
      <c r="C1411" s="12" t="s">
        <v>1993</v>
      </c>
      <c r="D1411" s="12" t="s">
        <v>1982</v>
      </c>
      <c r="E1411" s="20">
        <v>36904</v>
      </c>
      <c r="F1411" s="20">
        <v>44337</v>
      </c>
      <c r="G1411" s="12">
        <v>0.79</v>
      </c>
      <c r="H1411" s="12">
        <v>7.4666666666666703</v>
      </c>
      <c r="I1411" s="13">
        <v>0.105803571428571</v>
      </c>
      <c r="J1411" s="12" t="s">
        <v>1527</v>
      </c>
      <c r="K1411" s="14">
        <v>1476</v>
      </c>
      <c r="L1411" s="14">
        <v>1428</v>
      </c>
      <c r="M1411" s="14">
        <v>1600</v>
      </c>
      <c r="N1411" s="12">
        <v>0.79</v>
      </c>
      <c r="O1411" s="12" t="s">
        <v>1527</v>
      </c>
      <c r="P1411" s="12">
        <v>1.27082177126817E-4</v>
      </c>
      <c r="Q1411" s="12">
        <v>4.8177944217048501E-4</v>
      </c>
      <c r="R1411" s="12">
        <v>0.112903225806452</v>
      </c>
      <c r="S1411" s="14">
        <v>21</v>
      </c>
      <c r="T1411" s="12">
        <v>3.4876796777910897E-2</v>
      </c>
      <c r="U1411" s="14">
        <v>1586</v>
      </c>
      <c r="V1411" s="14">
        <v>1</v>
      </c>
      <c r="W1411" s="12">
        <v>5.4999999999999997E-3</v>
      </c>
      <c r="X1411" s="12">
        <v>4.0376796777910902E-2</v>
      </c>
      <c r="Y1411" s="14">
        <v>1588</v>
      </c>
      <c r="Z1411" s="14">
        <v>21</v>
      </c>
      <c r="AA1411" s="12" t="s">
        <v>2370</v>
      </c>
    </row>
    <row r="1412" spans="1:27" ht="14.25" x14ac:dyDescent="0.45">
      <c r="A1412" s="12" t="s">
        <v>1603</v>
      </c>
      <c r="B1412" s="12" t="s">
        <v>1971</v>
      </c>
      <c r="C1412" s="12" t="s">
        <v>1993</v>
      </c>
      <c r="D1412" s="12" t="s">
        <v>1982</v>
      </c>
      <c r="E1412" s="20">
        <v>37245</v>
      </c>
      <c r="F1412" s="20">
        <v>44417</v>
      </c>
      <c r="G1412" s="12">
        <v>71.069999999999993</v>
      </c>
      <c r="H1412" s="12">
        <v>4.8</v>
      </c>
      <c r="I1412" s="13">
        <v>14.80625</v>
      </c>
      <c r="J1412" s="12" t="s">
        <v>1603</v>
      </c>
      <c r="K1412" s="14">
        <v>190</v>
      </c>
      <c r="L1412" s="14">
        <v>1757</v>
      </c>
      <c r="M1412" s="14">
        <v>422</v>
      </c>
      <c r="N1412" s="12">
        <v>71.069999999999993</v>
      </c>
      <c r="O1412" s="12" t="s">
        <v>1603</v>
      </c>
      <c r="P1412" s="12">
        <v>1.1432570035953001E-2</v>
      </c>
      <c r="Q1412" s="12">
        <v>6.7420662358760694E-2</v>
      </c>
      <c r="R1412" s="12">
        <v>7.25806451612903E-2</v>
      </c>
      <c r="S1412" s="14">
        <v>21</v>
      </c>
      <c r="T1412" s="12">
        <v>4.6425127737707799</v>
      </c>
      <c r="U1412" s="14">
        <v>280</v>
      </c>
      <c r="V1412" s="14">
        <v>3</v>
      </c>
      <c r="W1412" s="12">
        <v>5.7000000000000002E-3</v>
      </c>
      <c r="X1412" s="12">
        <v>4.6482127737707799</v>
      </c>
      <c r="Y1412" s="14">
        <v>280</v>
      </c>
      <c r="Z1412" s="14">
        <v>20</v>
      </c>
      <c r="AA1412" s="12" t="s">
        <v>2370</v>
      </c>
    </row>
    <row r="1413" spans="1:27" ht="14.25" x14ac:dyDescent="0.45">
      <c r="A1413" s="12" t="s">
        <v>1633</v>
      </c>
      <c r="B1413" s="12" t="s">
        <v>1971</v>
      </c>
      <c r="C1413" s="12" t="s">
        <v>1993</v>
      </c>
      <c r="D1413" s="12" t="s">
        <v>1990</v>
      </c>
      <c r="E1413" s="20">
        <v>33920</v>
      </c>
      <c r="F1413" s="20">
        <v>44371</v>
      </c>
      <c r="G1413" s="12">
        <v>0.05</v>
      </c>
      <c r="H1413" s="12">
        <v>6.3333333333333304</v>
      </c>
      <c r="I1413" s="13">
        <v>7.8947368421052599E-3</v>
      </c>
      <c r="J1413" s="12" t="s">
        <v>1633</v>
      </c>
      <c r="K1413" s="14">
        <v>1757</v>
      </c>
      <c r="L1413" s="14">
        <v>1557</v>
      </c>
      <c r="M1413" s="14">
        <v>1878</v>
      </c>
      <c r="N1413" s="12">
        <v>0.05</v>
      </c>
      <c r="O1413" s="12" t="s">
        <v>1633</v>
      </c>
      <c r="P1413" s="12">
        <v>8.0431757675200496E-6</v>
      </c>
      <c r="Q1413" s="12">
        <v>3.5948899082674401E-5</v>
      </c>
      <c r="R1413" s="12">
        <v>9.5766129032257993E-2</v>
      </c>
      <c r="S1413" s="14">
        <v>30</v>
      </c>
      <c r="T1413" s="12">
        <v>2.5484252839491502E-3</v>
      </c>
      <c r="U1413" s="14">
        <v>1866</v>
      </c>
      <c r="V1413" s="14">
        <v>1</v>
      </c>
      <c r="W1413" s="12">
        <v>5.4999999999999997E-3</v>
      </c>
      <c r="X1413" s="12">
        <v>8.0484252839491503E-3</v>
      </c>
      <c r="Y1413" s="14">
        <v>1866</v>
      </c>
      <c r="Z1413" s="14">
        <v>29</v>
      </c>
      <c r="AA1413" s="12" t="s">
        <v>2367</v>
      </c>
    </row>
    <row r="1414" spans="1:27" ht="14.25" x14ac:dyDescent="0.45">
      <c r="A1414" s="12" t="s">
        <v>1637</v>
      </c>
      <c r="B1414" s="12" t="s">
        <v>1971</v>
      </c>
      <c r="C1414" s="12" t="s">
        <v>1996</v>
      </c>
      <c r="D1414" s="12" t="s">
        <v>1997</v>
      </c>
      <c r="E1414" s="20">
        <v>32243</v>
      </c>
      <c r="F1414" s="20">
        <v>44417</v>
      </c>
      <c r="G1414" s="12">
        <v>0.08</v>
      </c>
      <c r="H1414" s="12">
        <v>4.8</v>
      </c>
      <c r="I1414" s="13">
        <v>1.6666666666666701E-2</v>
      </c>
      <c r="J1414" s="12" t="s">
        <v>1637</v>
      </c>
      <c r="K1414" s="14">
        <v>1707</v>
      </c>
      <c r="L1414" s="14">
        <v>1757</v>
      </c>
      <c r="M1414" s="14">
        <v>1849</v>
      </c>
      <c r="N1414" s="12">
        <v>0.08</v>
      </c>
      <c r="O1414" s="12" t="s">
        <v>1637</v>
      </c>
      <c r="P1414" s="12">
        <v>1.2869081228032099E-5</v>
      </c>
      <c r="Q1414" s="12">
        <v>7.5892120285645998E-5</v>
      </c>
      <c r="R1414" s="12">
        <v>7.25806451612903E-2</v>
      </c>
      <c r="S1414" s="14">
        <v>34</v>
      </c>
      <c r="T1414" s="12">
        <v>5.2258480639040799E-3</v>
      </c>
      <c r="U1414" s="14">
        <v>1816</v>
      </c>
      <c r="V1414" s="14">
        <v>1</v>
      </c>
      <c r="W1414" s="12">
        <v>5.4999999999999997E-3</v>
      </c>
      <c r="X1414" s="12">
        <v>1.07258480639041E-2</v>
      </c>
      <c r="Y1414" s="14">
        <v>1817</v>
      </c>
      <c r="Z1414" s="14">
        <v>34</v>
      </c>
      <c r="AA1414" s="12" t="s">
        <v>2367</v>
      </c>
    </row>
    <row r="1415" spans="1:27" ht="14.25" x14ac:dyDescent="0.45">
      <c r="A1415" s="12" t="s">
        <v>1660</v>
      </c>
      <c r="B1415" s="12" t="s">
        <v>1971</v>
      </c>
      <c r="C1415" s="12" t="s">
        <v>1993</v>
      </c>
      <c r="D1415" s="12" t="s">
        <v>1974</v>
      </c>
      <c r="E1415" s="20">
        <v>25538</v>
      </c>
      <c r="F1415" s="20">
        <v>44424</v>
      </c>
      <c r="G1415" s="12">
        <v>0.93</v>
      </c>
      <c r="H1415" s="12">
        <v>4.56666666666667</v>
      </c>
      <c r="I1415" s="13">
        <v>0.203649635036496</v>
      </c>
      <c r="J1415" s="12" t="s">
        <v>1660</v>
      </c>
      <c r="K1415" s="14">
        <v>1343</v>
      </c>
      <c r="L1415" s="14">
        <v>1809</v>
      </c>
      <c r="M1415" s="14">
        <v>1573</v>
      </c>
      <c r="N1415" s="12">
        <v>0.93</v>
      </c>
      <c r="O1415" s="12" t="s">
        <v>1660</v>
      </c>
      <c r="P1415" s="12">
        <v>1.4960306927587301E-4</v>
      </c>
      <c r="Q1415" s="12">
        <v>9.2732415589906101E-4</v>
      </c>
      <c r="R1415" s="12">
        <v>6.9052419354838704E-2</v>
      </c>
      <c r="S1415" s="14">
        <v>53</v>
      </c>
      <c r="T1415" s="12">
        <v>6.3567874841536504E-2</v>
      </c>
      <c r="U1415" s="14">
        <v>1469</v>
      </c>
      <c r="V1415" s="14">
        <v>1</v>
      </c>
      <c r="W1415" s="12">
        <v>5.4999999999999997E-3</v>
      </c>
      <c r="X1415" s="12">
        <v>6.9067874841536606E-2</v>
      </c>
      <c r="Y1415" s="14">
        <v>1469</v>
      </c>
      <c r="Z1415" s="14">
        <v>52</v>
      </c>
      <c r="AA1415" s="12" t="s">
        <v>2371</v>
      </c>
    </row>
    <row r="1416" spans="1:27" ht="14.25" x14ac:dyDescent="0.45">
      <c r="A1416" s="12" t="s">
        <v>1681</v>
      </c>
      <c r="B1416" s="12" t="s">
        <v>1971</v>
      </c>
      <c r="C1416" s="12" t="s">
        <v>1996</v>
      </c>
      <c r="D1416" s="12" t="s">
        <v>1974</v>
      </c>
      <c r="E1416" s="20">
        <v>34157</v>
      </c>
      <c r="F1416" s="20">
        <v>44405</v>
      </c>
      <c r="G1416" s="12">
        <v>0.28000000000000003</v>
      </c>
      <c r="H1416" s="12">
        <v>5.2</v>
      </c>
      <c r="I1416" s="13">
        <v>5.3846153846153801E-2</v>
      </c>
      <c r="J1416" s="12" t="s">
        <v>1681</v>
      </c>
      <c r="K1416" s="14">
        <v>1595</v>
      </c>
      <c r="L1416" s="14">
        <v>1707</v>
      </c>
      <c r="M1416" s="14">
        <v>1746</v>
      </c>
      <c r="N1416" s="12">
        <v>0.28000000000000003</v>
      </c>
      <c r="O1416" s="12" t="s">
        <v>1681</v>
      </c>
      <c r="P1416" s="12">
        <v>4.50417842981123E-5</v>
      </c>
      <c r="Q1416" s="12">
        <v>2.4518992707670201E-4</v>
      </c>
      <c r="R1416" s="12">
        <v>7.8629032258064502E-2</v>
      </c>
      <c r="S1416" s="14">
        <v>29</v>
      </c>
      <c r="T1416" s="12">
        <v>1.7013437353473101E-2</v>
      </c>
      <c r="U1416" s="14">
        <v>1701</v>
      </c>
      <c r="V1416" s="14">
        <v>1</v>
      </c>
      <c r="W1416" s="12">
        <v>5.4999999999999997E-3</v>
      </c>
      <c r="X1416" s="12">
        <v>2.2513437353473099E-2</v>
      </c>
      <c r="Y1416" s="14">
        <v>1701</v>
      </c>
      <c r="Z1416" s="14">
        <v>29</v>
      </c>
      <c r="AA1416" s="12" t="s">
        <v>2367</v>
      </c>
    </row>
    <row r="1417" spans="1:27" ht="14.25" x14ac:dyDescent="0.45">
      <c r="A1417" s="12" t="s">
        <v>1715</v>
      </c>
      <c r="B1417" s="12" t="s">
        <v>1971</v>
      </c>
      <c r="C1417" s="12" t="s">
        <v>1996</v>
      </c>
      <c r="D1417" s="12" t="s">
        <v>2020</v>
      </c>
      <c r="E1417" s="20">
        <v>30202</v>
      </c>
      <c r="F1417" s="20">
        <v>43784</v>
      </c>
      <c r="G1417" s="12">
        <v>1.1299999999999999</v>
      </c>
      <c r="H1417" s="12">
        <v>25.9</v>
      </c>
      <c r="I1417" s="13">
        <v>4.3629343629343599E-2</v>
      </c>
      <c r="J1417" s="12" t="s">
        <v>1715</v>
      </c>
      <c r="K1417" s="14">
        <v>1622</v>
      </c>
      <c r="L1417" s="14">
        <v>368</v>
      </c>
      <c r="M1417" s="14">
        <v>1526</v>
      </c>
      <c r="N1417" s="12">
        <v>1.1299999999999999</v>
      </c>
      <c r="O1417" s="12" t="s">
        <v>1715</v>
      </c>
      <c r="P1417" s="12">
        <v>1.8177577234595299E-4</v>
      </c>
      <c r="Q1417" s="12">
        <v>1.98667403682116E-4</v>
      </c>
      <c r="R1417" s="12">
        <v>0.391633064516129</v>
      </c>
      <c r="S1417" s="14">
        <v>40</v>
      </c>
      <c r="T1417" s="12">
        <v>1.92333041931055E-2</v>
      </c>
      <c r="U1417" s="14">
        <v>1690</v>
      </c>
      <c r="V1417" s="14">
        <v>1</v>
      </c>
      <c r="W1417" s="12">
        <v>5.4999999999999997E-3</v>
      </c>
      <c r="X1417" s="12">
        <v>2.4733304193105501E-2</v>
      </c>
      <c r="Y1417" s="14">
        <v>1690</v>
      </c>
      <c r="Z1417" s="14">
        <v>39</v>
      </c>
      <c r="AA1417" s="12" t="s">
        <v>2369</v>
      </c>
    </row>
    <row r="1418" spans="1:27" ht="14.25" x14ac:dyDescent="0.45">
      <c r="A1418" s="12" t="s">
        <v>1721</v>
      </c>
      <c r="B1418" s="12" t="s">
        <v>1971</v>
      </c>
      <c r="C1418" s="12" t="s">
        <v>1993</v>
      </c>
      <c r="D1418" s="12" t="s">
        <v>1993</v>
      </c>
      <c r="E1418" s="20">
        <v>34661</v>
      </c>
      <c r="F1418" s="20">
        <v>44420</v>
      </c>
      <c r="G1418" s="12">
        <v>0.12</v>
      </c>
      <c r="H1418" s="12">
        <v>4.7</v>
      </c>
      <c r="I1418" s="13">
        <v>2.5531914893616999E-2</v>
      </c>
      <c r="J1418" s="12" t="s">
        <v>1721</v>
      </c>
      <c r="K1418" s="14">
        <v>1670</v>
      </c>
      <c r="L1418" s="14">
        <v>1792</v>
      </c>
      <c r="M1418" s="14">
        <v>1818</v>
      </c>
      <c r="N1418" s="12">
        <v>0.12</v>
      </c>
      <c r="O1418" s="12" t="s">
        <v>1721</v>
      </c>
      <c r="P1418" s="12">
        <v>1.9303621842048101E-5</v>
      </c>
      <c r="Q1418" s="12">
        <v>1.16260269373756E-4</v>
      </c>
      <c r="R1418" s="12">
        <v>7.1068548387096794E-2</v>
      </c>
      <c r="S1418" s="14">
        <v>28</v>
      </c>
      <c r="T1418" s="12">
        <v>7.9901526549365203E-3</v>
      </c>
      <c r="U1418" s="14">
        <v>1775</v>
      </c>
      <c r="V1418" s="14">
        <v>1</v>
      </c>
      <c r="W1418" s="12">
        <v>5.4999999999999997E-3</v>
      </c>
      <c r="X1418" s="12">
        <v>1.3490152654936499E-2</v>
      </c>
      <c r="Y1418" s="14">
        <v>1775</v>
      </c>
      <c r="Z1418" s="14">
        <v>27</v>
      </c>
      <c r="AA1418" s="12" t="s">
        <v>2367</v>
      </c>
    </row>
    <row r="1419" spans="1:27" ht="14.25" x14ac:dyDescent="0.45">
      <c r="A1419" s="12" t="s">
        <v>1818</v>
      </c>
      <c r="B1419" s="12" t="s">
        <v>1971</v>
      </c>
      <c r="C1419" s="12" t="s">
        <v>1993</v>
      </c>
      <c r="D1419" s="12" t="s">
        <v>1973</v>
      </c>
      <c r="E1419" s="20">
        <v>26272</v>
      </c>
      <c r="F1419" s="20">
        <v>44370</v>
      </c>
      <c r="G1419" s="12">
        <v>62.82</v>
      </c>
      <c r="H1419" s="12">
        <v>6.3666666666666698</v>
      </c>
      <c r="I1419" s="13">
        <v>9.8670157068062796</v>
      </c>
      <c r="J1419" s="12" t="s">
        <v>1818</v>
      </c>
      <c r="K1419" s="14">
        <v>300</v>
      </c>
      <c r="L1419" s="14">
        <v>1504</v>
      </c>
      <c r="M1419" s="14">
        <v>443</v>
      </c>
      <c r="N1419" s="12">
        <v>62.82</v>
      </c>
      <c r="O1419" s="12" t="s">
        <v>1818</v>
      </c>
      <c r="P1419" s="12">
        <v>1.0105446034312199E-2</v>
      </c>
      <c r="Q1419" s="12">
        <v>4.4929724572877999E-2</v>
      </c>
      <c r="R1419" s="12">
        <v>9.6270161290322606E-2</v>
      </c>
      <c r="S1419" s="14">
        <v>51</v>
      </c>
      <c r="T1419" s="12">
        <v>3.1870620120915798</v>
      </c>
      <c r="U1419" s="14">
        <v>362</v>
      </c>
      <c r="V1419" s="14">
        <v>2</v>
      </c>
      <c r="W1419" s="12">
        <v>5.5999999999999999E-3</v>
      </c>
      <c r="X1419" s="12">
        <v>3.1926620120915801</v>
      </c>
      <c r="Y1419" s="14">
        <v>362</v>
      </c>
      <c r="Z1419" s="14">
        <v>50</v>
      </c>
      <c r="AA1419" s="12" t="s">
        <v>2371</v>
      </c>
    </row>
    <row r="1420" spans="1:27" ht="14.25" x14ac:dyDescent="0.45">
      <c r="A1420" s="12" t="s">
        <v>1870</v>
      </c>
      <c r="B1420" s="12" t="s">
        <v>1971</v>
      </c>
      <c r="C1420" s="12" t="s">
        <v>1993</v>
      </c>
      <c r="D1420" s="12" t="s">
        <v>1982</v>
      </c>
      <c r="E1420" s="20">
        <v>37140</v>
      </c>
      <c r="F1420" s="20">
        <v>44463</v>
      </c>
      <c r="G1420" s="12">
        <v>294.97000000000003</v>
      </c>
      <c r="H1420" s="12">
        <v>3.2666666666666702</v>
      </c>
      <c r="I1420" s="13">
        <v>90.296938775510199</v>
      </c>
      <c r="J1420" s="12" t="s">
        <v>1870</v>
      </c>
      <c r="K1420" s="14">
        <v>21</v>
      </c>
      <c r="L1420" s="14">
        <v>1884</v>
      </c>
      <c r="M1420" s="14">
        <v>228</v>
      </c>
      <c r="N1420" s="12">
        <v>294.97000000000003</v>
      </c>
      <c r="O1420" s="12" t="s">
        <v>1870</v>
      </c>
      <c r="P1420" s="12">
        <v>4.7449911122907799E-2</v>
      </c>
      <c r="Q1420" s="12">
        <v>0.41116956833859802</v>
      </c>
      <c r="R1420" s="12">
        <v>4.9395161290322599E-2</v>
      </c>
      <c r="S1420" s="14">
        <v>21</v>
      </c>
      <c r="T1420" s="12">
        <v>27.477469688271398</v>
      </c>
      <c r="U1420" s="14">
        <v>34</v>
      </c>
      <c r="V1420" s="14">
        <v>2</v>
      </c>
      <c r="W1420" s="12">
        <v>5.5999999999999999E-3</v>
      </c>
      <c r="X1420" s="12">
        <v>27.483069688271399</v>
      </c>
      <c r="Y1420" s="14">
        <v>34</v>
      </c>
      <c r="Z1420" s="14">
        <v>20</v>
      </c>
      <c r="AA1420" s="12" t="s">
        <v>2370</v>
      </c>
    </row>
    <row r="1421" spans="1:27" ht="14.25" x14ac:dyDescent="0.45">
      <c r="A1421" s="12" t="s">
        <v>1876</v>
      </c>
      <c r="B1421" s="12" t="s">
        <v>1971</v>
      </c>
      <c r="C1421" s="12" t="s">
        <v>1975</v>
      </c>
      <c r="D1421" s="12" t="s">
        <v>1982</v>
      </c>
      <c r="E1421" s="20">
        <v>37367</v>
      </c>
      <c r="F1421" s="20">
        <v>44537</v>
      </c>
      <c r="G1421" s="12">
        <v>7.18</v>
      </c>
      <c r="H1421" s="12">
        <v>0.8</v>
      </c>
      <c r="I1421" s="13">
        <v>8.9749999999999996</v>
      </c>
      <c r="J1421" s="12" t="s">
        <v>1876</v>
      </c>
      <c r="K1421" s="14">
        <v>323</v>
      </c>
      <c r="L1421" s="14">
        <v>1946</v>
      </c>
      <c r="M1421" s="14">
        <v>913</v>
      </c>
      <c r="N1421" s="12">
        <v>7.18</v>
      </c>
      <c r="O1421" s="12" t="s">
        <v>1876</v>
      </c>
      <c r="P1421" s="12">
        <v>1.1550000402158801E-3</v>
      </c>
      <c r="Q1421" s="12">
        <v>4.0867906773820399E-2</v>
      </c>
      <c r="R1421" s="12">
        <v>1.2096774193548401E-2</v>
      </c>
      <c r="S1421" s="14">
        <v>20</v>
      </c>
      <c r="T1421" s="12">
        <v>2.5975566748718699</v>
      </c>
      <c r="U1421" s="14">
        <v>396</v>
      </c>
      <c r="V1421" s="14">
        <v>4</v>
      </c>
      <c r="W1421" s="12">
        <v>5.7999999999999996E-3</v>
      </c>
      <c r="X1421" s="12">
        <v>2.6033566748718702</v>
      </c>
      <c r="Y1421" s="14">
        <v>396</v>
      </c>
      <c r="Z1421" s="14">
        <v>20</v>
      </c>
      <c r="AA1421" s="12" t="s">
        <v>2370</v>
      </c>
    </row>
    <row r="1422" spans="1:27" ht="14.25" x14ac:dyDescent="0.45">
      <c r="A1422" s="12" t="s">
        <v>1897</v>
      </c>
      <c r="B1422" s="12" t="s">
        <v>1971</v>
      </c>
      <c r="C1422" s="12" t="s">
        <v>1993</v>
      </c>
      <c r="D1422" s="12" t="s">
        <v>1993</v>
      </c>
      <c r="E1422" s="20">
        <v>35786</v>
      </c>
      <c r="F1422" s="20">
        <v>44487</v>
      </c>
      <c r="G1422" s="12">
        <v>70.760000000000005</v>
      </c>
      <c r="H1422" s="12">
        <v>2.4666666666666699</v>
      </c>
      <c r="I1422" s="13">
        <v>28.686486486486501</v>
      </c>
      <c r="J1422" s="12" t="s">
        <v>1897</v>
      </c>
      <c r="K1422" s="14">
        <v>84</v>
      </c>
      <c r="L1422" s="14">
        <v>1912</v>
      </c>
      <c r="M1422" s="14">
        <v>424</v>
      </c>
      <c r="N1422" s="12">
        <v>70.760000000000005</v>
      </c>
      <c r="O1422" s="12" t="s">
        <v>1897</v>
      </c>
      <c r="P1422" s="12">
        <v>1.1382702346194399E-2</v>
      </c>
      <c r="Q1422" s="12">
        <v>0.13062469698029899</v>
      </c>
      <c r="R1422" s="12">
        <v>3.7298387096774202E-2</v>
      </c>
      <c r="S1422" s="14">
        <v>25</v>
      </c>
      <c r="T1422" s="12">
        <v>8.5908948992509995</v>
      </c>
      <c r="U1422" s="14">
        <v>127</v>
      </c>
      <c r="V1422" s="14">
        <v>1</v>
      </c>
      <c r="W1422" s="12">
        <v>5.4999999999999997E-3</v>
      </c>
      <c r="X1422" s="12">
        <v>8.5963948992510009</v>
      </c>
      <c r="Y1422" s="14">
        <v>127</v>
      </c>
      <c r="Z1422" s="14">
        <v>24</v>
      </c>
      <c r="AA1422" s="12" t="s">
        <v>2370</v>
      </c>
    </row>
    <row r="1423" spans="1:27" ht="14.25" x14ac:dyDescent="0.45">
      <c r="A1423" s="12" t="s">
        <v>1921</v>
      </c>
      <c r="B1423" s="12" t="s">
        <v>1971</v>
      </c>
      <c r="C1423" s="12" t="s">
        <v>1996</v>
      </c>
      <c r="D1423" s="12" t="s">
        <v>1997</v>
      </c>
      <c r="E1423" s="20">
        <v>29527</v>
      </c>
      <c r="F1423" s="20">
        <v>44489</v>
      </c>
      <c r="G1423" s="12">
        <v>0.18</v>
      </c>
      <c r="H1423" s="12">
        <v>2.4</v>
      </c>
      <c r="I1423" s="13">
        <v>7.4999999999999997E-2</v>
      </c>
      <c r="J1423" s="12" t="s">
        <v>1921</v>
      </c>
      <c r="K1423" s="14">
        <v>1553</v>
      </c>
      <c r="L1423" s="14">
        <v>1915</v>
      </c>
      <c r="M1423" s="14">
        <v>1788</v>
      </c>
      <c r="N1423" s="12">
        <v>0.18</v>
      </c>
      <c r="O1423" s="12" t="s">
        <v>1921</v>
      </c>
      <c r="P1423" s="12">
        <v>2.89554327630722E-5</v>
      </c>
      <c r="Q1423" s="12">
        <v>3.4151454128540702E-4</v>
      </c>
      <c r="R1423" s="12">
        <v>3.6290322580645198E-2</v>
      </c>
      <c r="S1423" s="14">
        <v>42</v>
      </c>
      <c r="T1423" s="12">
        <v>2.2430487558953102E-2</v>
      </c>
      <c r="U1423" s="14">
        <v>1671</v>
      </c>
      <c r="V1423" s="14">
        <v>1</v>
      </c>
      <c r="W1423" s="12">
        <v>5.4999999999999997E-3</v>
      </c>
      <c r="X1423" s="12">
        <v>2.7930487558953099E-2</v>
      </c>
      <c r="Y1423" s="14">
        <v>1671</v>
      </c>
      <c r="Z1423" s="14">
        <v>41</v>
      </c>
      <c r="AA1423" s="12" t="s">
        <v>2369</v>
      </c>
    </row>
    <row r="1424" spans="1:27" ht="14.25" x14ac:dyDescent="0.45">
      <c r="A1424" s="12" t="s">
        <v>1952</v>
      </c>
      <c r="B1424" s="12" t="s">
        <v>1971</v>
      </c>
      <c r="C1424" s="12" t="s">
        <v>1993</v>
      </c>
      <c r="D1424" s="12" t="s">
        <v>1973</v>
      </c>
      <c r="E1424" s="20">
        <v>29269</v>
      </c>
      <c r="F1424" s="20">
        <v>44388</v>
      </c>
      <c r="G1424" s="12">
        <v>62.38</v>
      </c>
      <c r="H1424" s="12">
        <v>5.7666666666666702</v>
      </c>
      <c r="I1424" s="13">
        <v>10.8173410404624</v>
      </c>
      <c r="J1424" s="12" t="s">
        <v>1952</v>
      </c>
      <c r="K1424" s="14">
        <v>265</v>
      </c>
      <c r="L1424" s="14">
        <v>1658</v>
      </c>
      <c r="M1424" s="14">
        <v>444</v>
      </c>
      <c r="N1424" s="12">
        <v>62.38</v>
      </c>
      <c r="O1424" s="12" t="s">
        <v>1952</v>
      </c>
      <c r="P1424" s="12">
        <v>1.0034666087558E-2</v>
      </c>
      <c r="Q1424" s="12">
        <v>4.92570568448178E-2</v>
      </c>
      <c r="R1424" s="12">
        <v>8.7197580645161296E-2</v>
      </c>
      <c r="S1424" s="14">
        <v>42</v>
      </c>
      <c r="T1424" s="12">
        <v>3.4548660310845398</v>
      </c>
      <c r="U1424" s="14">
        <v>346</v>
      </c>
      <c r="V1424" s="14">
        <v>1</v>
      </c>
      <c r="W1424" s="12">
        <v>5.4999999999999997E-3</v>
      </c>
      <c r="X1424" s="12">
        <v>3.4603660310845399</v>
      </c>
      <c r="Y1424" s="14">
        <v>346</v>
      </c>
      <c r="Z1424" s="14">
        <v>42</v>
      </c>
      <c r="AA1424" s="12" t="s">
        <v>2369</v>
      </c>
    </row>
    <row r="1425" spans="1:27" ht="14.25" x14ac:dyDescent="0.45">
      <c r="A1425" s="12" t="s">
        <v>8</v>
      </c>
      <c r="B1425" s="12" t="s">
        <v>1980</v>
      </c>
      <c r="C1425" s="12" t="s">
        <v>1981</v>
      </c>
      <c r="D1425" s="12" t="s">
        <v>1982</v>
      </c>
      <c r="E1425" s="20">
        <v>35195</v>
      </c>
      <c r="F1425" s="20">
        <v>43742</v>
      </c>
      <c r="G1425" s="12">
        <v>3093.99</v>
      </c>
      <c r="H1425" s="12">
        <v>27.3</v>
      </c>
      <c r="I1425" s="13">
        <v>113.33296703296701</v>
      </c>
      <c r="J1425" s="12" t="s">
        <v>8</v>
      </c>
      <c r="K1425" s="14">
        <v>10</v>
      </c>
      <c r="L1425" s="14">
        <v>304</v>
      </c>
      <c r="M1425" s="14">
        <v>6</v>
      </c>
      <c r="N1425" s="12">
        <v>3093.99</v>
      </c>
      <c r="O1425" s="12" t="s">
        <v>8</v>
      </c>
      <c r="P1425" s="12">
        <v>0.49771010785898701</v>
      </c>
      <c r="Q1425" s="12">
        <v>0.516064749983705</v>
      </c>
      <c r="R1425" s="12">
        <v>0.41280241935483902</v>
      </c>
      <c r="S1425" s="14">
        <v>26</v>
      </c>
      <c r="T1425" s="12">
        <v>50.918175918693599</v>
      </c>
      <c r="U1425" s="14">
        <v>9</v>
      </c>
      <c r="V1425" s="14">
        <v>24</v>
      </c>
      <c r="W1425" s="12">
        <v>7.4000000000000003E-3</v>
      </c>
      <c r="X1425" s="12">
        <v>50.925575918693603</v>
      </c>
      <c r="Y1425" s="14">
        <v>9</v>
      </c>
      <c r="Z1425" s="14">
        <v>26</v>
      </c>
      <c r="AA1425" s="12" t="s">
        <v>2367</v>
      </c>
    </row>
    <row r="1426" spans="1:27" ht="14.25" x14ac:dyDescent="0.45">
      <c r="A1426" s="12" t="s">
        <v>16</v>
      </c>
      <c r="B1426" s="12" t="s">
        <v>1980</v>
      </c>
      <c r="C1426" s="12" t="s">
        <v>1993</v>
      </c>
      <c r="D1426" s="12" t="s">
        <v>1974</v>
      </c>
      <c r="E1426" s="20">
        <v>25020</v>
      </c>
      <c r="F1426" s="20">
        <v>42975</v>
      </c>
      <c r="G1426" s="12">
        <v>1110.53</v>
      </c>
      <c r="H1426" s="12">
        <v>52.866666666666703</v>
      </c>
      <c r="I1426" s="13">
        <v>21.006242118537202</v>
      </c>
      <c r="J1426" s="12" t="s">
        <v>16</v>
      </c>
      <c r="K1426" s="14">
        <v>128</v>
      </c>
      <c r="L1426" s="14">
        <v>52</v>
      </c>
      <c r="M1426" s="14">
        <v>46</v>
      </c>
      <c r="N1426" s="12">
        <v>1110.53</v>
      </c>
      <c r="O1426" s="12" t="s">
        <v>16</v>
      </c>
      <c r="P1426" s="12">
        <v>0.17864375970208099</v>
      </c>
      <c r="Q1426" s="12">
        <v>9.56524952165657E-2</v>
      </c>
      <c r="R1426" s="12">
        <v>0.79939516129032295</v>
      </c>
      <c r="S1426" s="14">
        <v>54</v>
      </c>
      <c r="T1426" s="12">
        <v>12.6774219398634</v>
      </c>
      <c r="U1426" s="14">
        <v>79</v>
      </c>
      <c r="V1426" s="14">
        <v>56</v>
      </c>
      <c r="W1426" s="12">
        <v>8.8999999999999999E-3</v>
      </c>
      <c r="X1426" s="12">
        <v>12.686321939863401</v>
      </c>
      <c r="Y1426" s="14">
        <v>79</v>
      </c>
      <c r="Z1426" s="14">
        <v>54</v>
      </c>
      <c r="AA1426" s="12" t="s">
        <v>2371</v>
      </c>
    </row>
    <row r="1427" spans="1:27" ht="14.25" x14ac:dyDescent="0.45">
      <c r="A1427" s="12" t="s">
        <v>33</v>
      </c>
      <c r="B1427" s="12" t="s">
        <v>1980</v>
      </c>
      <c r="C1427" s="12" t="s">
        <v>1977</v>
      </c>
      <c r="D1427" s="12" t="s">
        <v>1975</v>
      </c>
      <c r="E1427" s="20">
        <v>25884</v>
      </c>
      <c r="F1427" s="20">
        <v>43277</v>
      </c>
      <c r="G1427" s="12">
        <v>6.76</v>
      </c>
      <c r="H1427" s="12">
        <v>42.8</v>
      </c>
      <c r="I1427" s="13">
        <v>0.15794392523364501</v>
      </c>
      <c r="J1427" s="12" t="s">
        <v>33</v>
      </c>
      <c r="K1427" s="14">
        <v>1400</v>
      </c>
      <c r="L1427" s="14">
        <v>108</v>
      </c>
      <c r="M1427" s="14">
        <v>932</v>
      </c>
      <c r="N1427" s="12">
        <v>6.76</v>
      </c>
      <c r="O1427" s="12" t="s">
        <v>33</v>
      </c>
      <c r="P1427" s="12">
        <v>1.0874373637687099E-3</v>
      </c>
      <c r="Q1427" s="12">
        <v>7.1920196233313098E-4</v>
      </c>
      <c r="R1427" s="12">
        <v>0.64717741935483897</v>
      </c>
      <c r="S1427" s="14">
        <v>52</v>
      </c>
      <c r="T1427" s="12">
        <v>8.5729023787147293E-2</v>
      </c>
      <c r="U1427" s="14">
        <v>1335</v>
      </c>
      <c r="V1427" s="14">
        <v>7</v>
      </c>
      <c r="W1427" s="12">
        <v>6.1000000000000004E-3</v>
      </c>
      <c r="X1427" s="12">
        <v>9.1829023787147301E-2</v>
      </c>
      <c r="Y1427" s="14">
        <v>1333</v>
      </c>
      <c r="Z1427" s="14">
        <v>51</v>
      </c>
      <c r="AA1427" s="12" t="s">
        <v>2371</v>
      </c>
    </row>
    <row r="1428" spans="1:27" ht="14.25" x14ac:dyDescent="0.45">
      <c r="A1428" s="12" t="s">
        <v>129</v>
      </c>
      <c r="B1428" s="12" t="s">
        <v>1980</v>
      </c>
      <c r="C1428" s="12" t="s">
        <v>1996</v>
      </c>
      <c r="D1428" s="12" t="s">
        <v>1993</v>
      </c>
      <c r="E1428" s="20">
        <v>34636</v>
      </c>
      <c r="F1428" s="20">
        <v>42934</v>
      </c>
      <c r="G1428" s="12">
        <v>6.93</v>
      </c>
      <c r="H1428" s="12">
        <v>54.233333333333299</v>
      </c>
      <c r="I1428" s="13">
        <v>0.12778119237861099</v>
      </c>
      <c r="J1428" s="12" t="s">
        <v>129</v>
      </c>
      <c r="K1428" s="14">
        <v>1445</v>
      </c>
      <c r="L1428" s="14">
        <v>42</v>
      </c>
      <c r="M1428" s="14">
        <v>926</v>
      </c>
      <c r="N1428" s="12">
        <v>6.93</v>
      </c>
      <c r="O1428" s="12" t="s">
        <v>129</v>
      </c>
      <c r="P1428" s="12">
        <v>1.1147841613782801E-3</v>
      </c>
      <c r="Q1428" s="12">
        <v>5.8185513733444898E-4</v>
      </c>
      <c r="R1428" s="12">
        <v>0.82006048387096797</v>
      </c>
      <c r="S1428" s="14">
        <v>28</v>
      </c>
      <c r="T1428" s="12">
        <v>7.8170352135088494E-2</v>
      </c>
      <c r="U1428" s="14">
        <v>1373</v>
      </c>
      <c r="V1428" s="14">
        <v>3</v>
      </c>
      <c r="W1428" s="12">
        <v>5.7000000000000002E-3</v>
      </c>
      <c r="X1428" s="12">
        <v>8.3870352135088505E-2</v>
      </c>
      <c r="Y1428" s="14">
        <v>1373</v>
      </c>
      <c r="Z1428" s="14">
        <v>27</v>
      </c>
      <c r="AA1428" s="12" t="s">
        <v>2367</v>
      </c>
    </row>
    <row r="1429" spans="1:27" ht="14.25" x14ac:dyDescent="0.45">
      <c r="A1429" s="12" t="s">
        <v>197</v>
      </c>
      <c r="B1429" s="12" t="s">
        <v>1980</v>
      </c>
      <c r="C1429" s="12" t="s">
        <v>1996</v>
      </c>
      <c r="D1429" s="12" t="s">
        <v>2070</v>
      </c>
      <c r="E1429" s="20">
        <v>35161</v>
      </c>
      <c r="F1429" s="20">
        <v>44217</v>
      </c>
      <c r="G1429" s="12">
        <v>167.91</v>
      </c>
      <c r="H1429" s="12">
        <v>11.466666666666701</v>
      </c>
      <c r="I1429" s="13">
        <v>14.6433139534884</v>
      </c>
      <c r="J1429" s="12" t="s">
        <v>197</v>
      </c>
      <c r="K1429" s="14">
        <v>193</v>
      </c>
      <c r="L1429" s="14">
        <v>851</v>
      </c>
      <c r="M1429" s="14">
        <v>308</v>
      </c>
      <c r="N1429" s="12">
        <v>167.91</v>
      </c>
      <c r="O1429" s="12" t="s">
        <v>197</v>
      </c>
      <c r="P1429" s="12">
        <v>2.7010592862485801E-2</v>
      </c>
      <c r="Q1429" s="12">
        <v>6.6678728636317103E-2</v>
      </c>
      <c r="R1429" s="12">
        <v>0.17338709677419401</v>
      </c>
      <c r="S1429" s="14">
        <v>26</v>
      </c>
      <c r="T1429" s="12">
        <v>5.18031777211303</v>
      </c>
      <c r="U1429" s="14">
        <v>253</v>
      </c>
      <c r="V1429" s="14">
        <v>7</v>
      </c>
      <c r="W1429" s="12">
        <v>6.1000000000000004E-3</v>
      </c>
      <c r="X1429" s="12">
        <v>5.18641777211303</v>
      </c>
      <c r="Y1429" s="14">
        <v>253</v>
      </c>
      <c r="Z1429" s="14">
        <v>26</v>
      </c>
      <c r="AA1429" s="12" t="s">
        <v>2367</v>
      </c>
    </row>
    <row r="1430" spans="1:27" ht="14.25" x14ac:dyDescent="0.45">
      <c r="A1430" s="12" t="s">
        <v>232</v>
      </c>
      <c r="B1430" s="12" t="s">
        <v>1980</v>
      </c>
      <c r="C1430" s="12" t="s">
        <v>1981</v>
      </c>
      <c r="D1430" s="12" t="s">
        <v>1974</v>
      </c>
      <c r="E1430" s="20">
        <v>24614</v>
      </c>
      <c r="F1430" s="20">
        <v>43747</v>
      </c>
      <c r="G1430" s="12">
        <v>231.58</v>
      </c>
      <c r="H1430" s="12">
        <v>27.133333333333301</v>
      </c>
      <c r="I1430" s="13">
        <v>8.5348894348894397</v>
      </c>
      <c r="J1430" s="12" t="s">
        <v>232</v>
      </c>
      <c r="K1430" s="14">
        <v>335</v>
      </c>
      <c r="L1430" s="14">
        <v>318</v>
      </c>
      <c r="M1430" s="14">
        <v>266</v>
      </c>
      <c r="N1430" s="12">
        <v>231.58</v>
      </c>
      <c r="O1430" s="12" t="s">
        <v>232</v>
      </c>
      <c r="P1430" s="12">
        <v>3.7252772884845797E-2</v>
      </c>
      <c r="Q1430" s="12">
        <v>3.8863851337039103E-2</v>
      </c>
      <c r="R1430" s="12">
        <v>0.41028225806451601</v>
      </c>
      <c r="S1430" s="14">
        <v>55</v>
      </c>
      <c r="T1430" s="12">
        <v>3.8259696917466601</v>
      </c>
      <c r="U1430" s="14">
        <v>322</v>
      </c>
      <c r="V1430" s="14">
        <v>35</v>
      </c>
      <c r="W1430" s="12">
        <v>8.0000000000000002E-3</v>
      </c>
      <c r="X1430" s="12">
        <v>3.8339696917466601</v>
      </c>
      <c r="Y1430" s="14">
        <v>322</v>
      </c>
      <c r="Z1430" s="14">
        <v>55</v>
      </c>
      <c r="AA1430" s="12" t="s">
        <v>2371</v>
      </c>
    </row>
    <row r="1431" spans="1:27" ht="14.25" x14ac:dyDescent="0.45">
      <c r="A1431" s="12" t="s">
        <v>293</v>
      </c>
      <c r="B1431" s="12" t="s">
        <v>1980</v>
      </c>
      <c r="C1431" s="12" t="s">
        <v>1977</v>
      </c>
      <c r="D1431" s="12" t="s">
        <v>1974</v>
      </c>
      <c r="E1431" s="20">
        <v>31601</v>
      </c>
      <c r="F1431" s="20">
        <v>43752</v>
      </c>
      <c r="G1431" s="12">
        <v>759.2</v>
      </c>
      <c r="H1431" s="12">
        <v>26.966666666666701</v>
      </c>
      <c r="I1431" s="13">
        <v>28.1532756489493</v>
      </c>
      <c r="J1431" s="12" t="s">
        <v>293</v>
      </c>
      <c r="K1431" s="14">
        <v>89</v>
      </c>
      <c r="L1431" s="14">
        <v>325</v>
      </c>
      <c r="M1431" s="14">
        <v>80</v>
      </c>
      <c r="N1431" s="12">
        <v>759.2</v>
      </c>
      <c r="O1431" s="12" t="s">
        <v>293</v>
      </c>
      <c r="P1431" s="12">
        <v>0.122127580854024</v>
      </c>
      <c r="Q1431" s="12">
        <v>0.12819670691910101</v>
      </c>
      <c r="R1431" s="12">
        <v>0.40776209677419401</v>
      </c>
      <c r="S1431" s="14">
        <v>36</v>
      </c>
      <c r="T1431" s="12">
        <v>12.592078464469701</v>
      </c>
      <c r="U1431" s="14">
        <v>81</v>
      </c>
      <c r="V1431" s="14">
        <v>28</v>
      </c>
      <c r="W1431" s="12">
        <v>7.6E-3</v>
      </c>
      <c r="X1431" s="12">
        <v>12.599678464469701</v>
      </c>
      <c r="Y1431" s="14">
        <v>81</v>
      </c>
      <c r="Z1431" s="14">
        <v>36</v>
      </c>
      <c r="AA1431" s="12" t="s">
        <v>2369</v>
      </c>
    </row>
    <row r="1432" spans="1:27" ht="14.25" x14ac:dyDescent="0.45">
      <c r="A1432" s="12" t="s">
        <v>308</v>
      </c>
      <c r="B1432" s="12" t="s">
        <v>1980</v>
      </c>
      <c r="C1432" s="12" t="s">
        <v>1974</v>
      </c>
      <c r="D1432" s="12" t="s">
        <v>1987</v>
      </c>
      <c r="E1432" s="20">
        <v>32437</v>
      </c>
      <c r="F1432" s="20">
        <v>43752</v>
      </c>
      <c r="G1432" s="12">
        <v>160.08000000000001</v>
      </c>
      <c r="H1432" s="12">
        <v>26.966666666666701</v>
      </c>
      <c r="I1432" s="13">
        <v>5.9362175525339902</v>
      </c>
      <c r="J1432" s="12" t="s">
        <v>308</v>
      </c>
      <c r="K1432" s="14">
        <v>410</v>
      </c>
      <c r="L1432" s="14">
        <v>325</v>
      </c>
      <c r="M1432" s="14">
        <v>316</v>
      </c>
      <c r="N1432" s="12">
        <v>160.08000000000001</v>
      </c>
      <c r="O1432" s="12" t="s">
        <v>308</v>
      </c>
      <c r="P1432" s="12">
        <v>2.5751031537292201E-2</v>
      </c>
      <c r="Q1432" s="12">
        <v>2.70307281923204E-2</v>
      </c>
      <c r="R1432" s="12">
        <v>0.40776209677419401</v>
      </c>
      <c r="S1432" s="14">
        <v>34</v>
      </c>
      <c r="T1432" s="12">
        <v>2.65508419466848</v>
      </c>
      <c r="U1432" s="14">
        <v>394</v>
      </c>
      <c r="V1432" s="14">
        <v>12</v>
      </c>
      <c r="W1432" s="12">
        <v>6.6E-3</v>
      </c>
      <c r="X1432" s="12">
        <v>2.6616841946684802</v>
      </c>
      <c r="Y1432" s="14">
        <v>394</v>
      </c>
      <c r="Z1432" s="14">
        <v>33</v>
      </c>
      <c r="AA1432" s="12" t="s">
        <v>2367</v>
      </c>
    </row>
    <row r="1433" spans="1:27" ht="14.25" x14ac:dyDescent="0.45">
      <c r="A1433" s="12" t="s">
        <v>378</v>
      </c>
      <c r="B1433" s="12" t="s">
        <v>1980</v>
      </c>
      <c r="C1433" s="12" t="s">
        <v>1977</v>
      </c>
      <c r="D1433" s="12" t="s">
        <v>1993</v>
      </c>
      <c r="E1433" s="20">
        <v>34705</v>
      </c>
      <c r="F1433" s="20">
        <v>42815</v>
      </c>
      <c r="G1433" s="12">
        <v>73.28</v>
      </c>
      <c r="H1433" s="12">
        <v>58.2</v>
      </c>
      <c r="I1433" s="13">
        <v>1.25910652920962</v>
      </c>
      <c r="J1433" s="12" t="s">
        <v>378</v>
      </c>
      <c r="K1433" s="14">
        <v>756</v>
      </c>
      <c r="L1433" s="14">
        <v>7</v>
      </c>
      <c r="M1433" s="14">
        <v>419</v>
      </c>
      <c r="N1433" s="12">
        <v>73.28</v>
      </c>
      <c r="O1433" s="12" t="s">
        <v>378</v>
      </c>
      <c r="P1433" s="12">
        <v>1.1788078404877399E-2</v>
      </c>
      <c r="Q1433" s="12">
        <v>5.7333758500331296E-3</v>
      </c>
      <c r="R1433" s="12">
        <v>0.88004032258064502</v>
      </c>
      <c r="S1433" s="14">
        <v>27</v>
      </c>
      <c r="T1433" s="12">
        <v>0.80038893080997198</v>
      </c>
      <c r="U1433" s="14">
        <v>670</v>
      </c>
      <c r="V1433" s="14">
        <v>6</v>
      </c>
      <c r="W1433" s="12">
        <v>6.0000000000000001E-3</v>
      </c>
      <c r="X1433" s="12">
        <v>0.80638893080997198</v>
      </c>
      <c r="Y1433" s="14">
        <v>670</v>
      </c>
      <c r="Z1433" s="14">
        <v>27</v>
      </c>
      <c r="AA1433" s="12" t="s">
        <v>2367</v>
      </c>
    </row>
    <row r="1434" spans="1:27" ht="14.25" x14ac:dyDescent="0.45">
      <c r="A1434" s="12" t="s">
        <v>387</v>
      </c>
      <c r="B1434" s="12" t="s">
        <v>1980</v>
      </c>
      <c r="C1434" s="12" t="s">
        <v>1996</v>
      </c>
      <c r="D1434" s="12" t="s">
        <v>1975</v>
      </c>
      <c r="E1434" s="20">
        <v>32377</v>
      </c>
      <c r="F1434" s="20">
        <v>43528</v>
      </c>
      <c r="G1434" s="12">
        <v>1749.23</v>
      </c>
      <c r="H1434" s="12">
        <v>34.433333333333302</v>
      </c>
      <c r="I1434" s="13">
        <v>50.800484027105497</v>
      </c>
      <c r="J1434" s="12" t="s">
        <v>387</v>
      </c>
      <c r="K1434" s="14">
        <v>43</v>
      </c>
      <c r="L1434" s="14">
        <v>230</v>
      </c>
      <c r="M1434" s="14">
        <v>26</v>
      </c>
      <c r="N1434" s="12">
        <v>1749.23</v>
      </c>
      <c r="O1434" s="12" t="s">
        <v>387</v>
      </c>
      <c r="P1434" s="12">
        <v>0.28138728695638199</v>
      </c>
      <c r="Q1434" s="12">
        <v>0.23132138666124799</v>
      </c>
      <c r="R1434" s="12">
        <v>0.52066532258064502</v>
      </c>
      <c r="S1434" s="14">
        <v>34</v>
      </c>
      <c r="T1434" s="12">
        <v>25.009609927192301</v>
      </c>
      <c r="U1434" s="14">
        <v>39</v>
      </c>
      <c r="V1434" s="14">
        <v>70</v>
      </c>
      <c r="W1434" s="12">
        <v>9.2999999999999992E-3</v>
      </c>
      <c r="X1434" s="12">
        <v>25.018909927192301</v>
      </c>
      <c r="Y1434" s="14">
        <v>39</v>
      </c>
      <c r="Z1434" s="14">
        <v>33</v>
      </c>
      <c r="AA1434" s="12" t="s">
        <v>2367</v>
      </c>
    </row>
    <row r="1435" spans="1:27" ht="14.25" x14ac:dyDescent="0.45">
      <c r="A1435" s="12" t="s">
        <v>389</v>
      </c>
      <c r="B1435" s="12" t="s">
        <v>1980</v>
      </c>
      <c r="C1435" s="12" t="s">
        <v>1977</v>
      </c>
      <c r="D1435" s="12" t="s">
        <v>2020</v>
      </c>
      <c r="E1435" s="20">
        <v>34843</v>
      </c>
      <c r="F1435" s="20">
        <v>43762</v>
      </c>
      <c r="G1435" s="12">
        <v>161.93</v>
      </c>
      <c r="H1435" s="12">
        <v>26.633333333333301</v>
      </c>
      <c r="I1435" s="13">
        <v>6.0799749687108902</v>
      </c>
      <c r="J1435" s="12" t="s">
        <v>389</v>
      </c>
      <c r="K1435" s="14">
        <v>406</v>
      </c>
      <c r="L1435" s="14">
        <v>341</v>
      </c>
      <c r="M1435" s="14">
        <v>314</v>
      </c>
      <c r="N1435" s="12">
        <v>161.93</v>
      </c>
      <c r="O1435" s="12" t="s">
        <v>389</v>
      </c>
      <c r="P1435" s="12">
        <v>2.6048629040690399E-2</v>
      </c>
      <c r="Q1435" s="12">
        <v>2.76853314995474E-2</v>
      </c>
      <c r="R1435" s="12">
        <v>0.40272177419354799</v>
      </c>
      <c r="S1435" s="14">
        <v>27</v>
      </c>
      <c r="T1435" s="12">
        <v>2.7071568077475998</v>
      </c>
      <c r="U1435" s="14">
        <v>390</v>
      </c>
      <c r="V1435" s="14">
        <v>4</v>
      </c>
      <c r="W1435" s="12">
        <v>5.7999999999999996E-3</v>
      </c>
      <c r="X1435" s="12">
        <v>2.7129568077476001</v>
      </c>
      <c r="Y1435" s="14">
        <v>390</v>
      </c>
      <c r="Z1435" s="14">
        <v>27</v>
      </c>
      <c r="AA1435" s="12" t="s">
        <v>2367</v>
      </c>
    </row>
    <row r="1436" spans="1:27" ht="14.25" x14ac:dyDescent="0.45">
      <c r="A1436" s="12" t="s">
        <v>401</v>
      </c>
      <c r="B1436" s="12" t="s">
        <v>1980</v>
      </c>
      <c r="C1436" s="12" t="s">
        <v>1974</v>
      </c>
      <c r="D1436" s="12" t="s">
        <v>1993</v>
      </c>
      <c r="E1436" s="20">
        <v>25340</v>
      </c>
      <c r="F1436" s="20">
        <v>43378</v>
      </c>
      <c r="G1436" s="12">
        <v>669.34</v>
      </c>
      <c r="H1436" s="12">
        <v>39.433333333333302</v>
      </c>
      <c r="I1436" s="13">
        <v>16.973964497041401</v>
      </c>
      <c r="J1436" s="12" t="s">
        <v>401</v>
      </c>
      <c r="K1436" s="14">
        <v>160</v>
      </c>
      <c r="L1436" s="14">
        <v>193</v>
      </c>
      <c r="M1436" s="14">
        <v>96</v>
      </c>
      <c r="N1436" s="12">
        <v>669.34</v>
      </c>
      <c r="O1436" s="12" t="s">
        <v>401</v>
      </c>
      <c r="P1436" s="12">
        <v>0.107672385364637</v>
      </c>
      <c r="Q1436" s="12">
        <v>7.7291409320025095E-2</v>
      </c>
      <c r="R1436" s="12">
        <v>0.59627016129032295</v>
      </c>
      <c r="S1436" s="14">
        <v>53</v>
      </c>
      <c r="T1436" s="12">
        <v>8.8684275336754705</v>
      </c>
      <c r="U1436" s="14">
        <v>120</v>
      </c>
      <c r="V1436" s="14">
        <v>35</v>
      </c>
      <c r="W1436" s="12">
        <v>8.0000000000000002E-3</v>
      </c>
      <c r="X1436" s="12">
        <v>8.8764275336754697</v>
      </c>
      <c r="Y1436" s="14">
        <v>120</v>
      </c>
      <c r="Z1436" s="14">
        <v>53</v>
      </c>
      <c r="AA1436" s="12" t="s">
        <v>2371</v>
      </c>
    </row>
    <row r="1437" spans="1:27" ht="14.25" x14ac:dyDescent="0.45">
      <c r="A1437" s="12" t="s">
        <v>434</v>
      </c>
      <c r="B1437" s="12" t="s">
        <v>1980</v>
      </c>
      <c r="C1437" s="12" t="s">
        <v>1977</v>
      </c>
      <c r="D1437" s="12" t="s">
        <v>1982</v>
      </c>
      <c r="E1437" s="20">
        <v>36695</v>
      </c>
      <c r="F1437" s="20">
        <v>44067</v>
      </c>
      <c r="G1437" s="12">
        <v>32.520000000000003</v>
      </c>
      <c r="H1437" s="12">
        <v>16.466666666666701</v>
      </c>
      <c r="I1437" s="13">
        <v>1.9748987854250999</v>
      </c>
      <c r="J1437" s="12" t="s">
        <v>434</v>
      </c>
      <c r="K1437" s="14">
        <v>661</v>
      </c>
      <c r="L1437" s="14">
        <v>474</v>
      </c>
      <c r="M1437" s="14">
        <v>554</v>
      </c>
      <c r="N1437" s="12">
        <v>32.520000000000003</v>
      </c>
      <c r="O1437" s="12" t="s">
        <v>434</v>
      </c>
      <c r="P1437" s="12">
        <v>5.2312815191950402E-3</v>
      </c>
      <c r="Q1437" s="12">
        <v>8.9927553705274697E-3</v>
      </c>
      <c r="R1437" s="12">
        <v>0.248991935483871</v>
      </c>
      <c r="S1437" s="14">
        <v>22</v>
      </c>
      <c r="T1437" s="12">
        <v>0.75822026762778105</v>
      </c>
      <c r="U1437" s="14">
        <v>694</v>
      </c>
      <c r="V1437" s="14">
        <v>2</v>
      </c>
      <c r="W1437" s="12">
        <v>5.5999999999999999E-3</v>
      </c>
      <c r="X1437" s="12">
        <v>0.76382026762778099</v>
      </c>
      <c r="Y1437" s="14">
        <v>694</v>
      </c>
      <c r="Z1437" s="14">
        <v>22</v>
      </c>
      <c r="AA1437" s="12" t="s">
        <v>2370</v>
      </c>
    </row>
    <row r="1438" spans="1:27" ht="14.25" x14ac:dyDescent="0.45">
      <c r="A1438" s="12" t="s">
        <v>467</v>
      </c>
      <c r="B1438" s="12" t="s">
        <v>1980</v>
      </c>
      <c r="C1438" s="12" t="s">
        <v>1981</v>
      </c>
      <c r="D1438" s="12" t="s">
        <v>1982</v>
      </c>
      <c r="E1438" s="20">
        <v>35761</v>
      </c>
      <c r="F1438" s="20">
        <v>43304</v>
      </c>
      <c r="G1438" s="12">
        <v>177.86</v>
      </c>
      <c r="H1438" s="12">
        <v>41.9</v>
      </c>
      <c r="I1438" s="13">
        <v>4.2448687350835304</v>
      </c>
      <c r="J1438" s="12" t="s">
        <v>467</v>
      </c>
      <c r="K1438" s="14">
        <v>486</v>
      </c>
      <c r="L1438" s="14">
        <v>129</v>
      </c>
      <c r="M1438" s="14">
        <v>305</v>
      </c>
      <c r="N1438" s="12">
        <v>177.86</v>
      </c>
      <c r="O1438" s="12" t="s">
        <v>467</v>
      </c>
      <c r="P1438" s="12">
        <v>2.8611184840222299E-2</v>
      </c>
      <c r="Q1438" s="12">
        <v>1.93291253183842E-2</v>
      </c>
      <c r="R1438" s="12">
        <v>0.63356854838709697</v>
      </c>
      <c r="S1438" s="14">
        <v>25</v>
      </c>
      <c r="T1438" s="12">
        <v>2.2809897639073502</v>
      </c>
      <c r="U1438" s="14">
        <v>415</v>
      </c>
      <c r="V1438" s="14">
        <v>7</v>
      </c>
      <c r="W1438" s="12">
        <v>6.1000000000000004E-3</v>
      </c>
      <c r="X1438" s="12">
        <v>2.2870897639073502</v>
      </c>
      <c r="Y1438" s="14">
        <v>415</v>
      </c>
      <c r="Z1438" s="14">
        <v>24</v>
      </c>
      <c r="AA1438" s="12" t="s">
        <v>2370</v>
      </c>
    </row>
    <row r="1439" spans="1:27" ht="14.25" x14ac:dyDescent="0.45">
      <c r="A1439" s="12" t="s">
        <v>525</v>
      </c>
      <c r="B1439" s="12" t="s">
        <v>1980</v>
      </c>
      <c r="C1439" s="12" t="s">
        <v>2368</v>
      </c>
      <c r="D1439" s="12" t="s">
        <v>2368</v>
      </c>
      <c r="E1439" s="20">
        <v>34767</v>
      </c>
      <c r="F1439" s="20">
        <v>44233</v>
      </c>
      <c r="G1439" s="12">
        <v>100</v>
      </c>
      <c r="H1439" s="12">
        <v>10.9333333333333</v>
      </c>
      <c r="I1439" s="13">
        <v>9.1463414634146307</v>
      </c>
      <c r="J1439" s="12" t="s">
        <v>525</v>
      </c>
      <c r="K1439" s="14">
        <v>316</v>
      </c>
      <c r="L1439" s="14">
        <v>891</v>
      </c>
      <c r="M1439" s="14">
        <v>382</v>
      </c>
      <c r="N1439" s="12">
        <v>100</v>
      </c>
      <c r="O1439" s="12" t="s">
        <v>525</v>
      </c>
      <c r="P1439" s="12">
        <v>1.6086351535040101E-2</v>
      </c>
      <c r="Q1439" s="12">
        <v>4.1648114790903301E-2</v>
      </c>
      <c r="R1439" s="12">
        <v>0.165322580645161</v>
      </c>
      <c r="S1439" s="14">
        <v>27</v>
      </c>
      <c r="T1439" s="12">
        <v>3.2062453569954599</v>
      </c>
      <c r="U1439" s="14">
        <v>360</v>
      </c>
      <c r="V1439" s="14">
        <v>2</v>
      </c>
      <c r="W1439" s="12">
        <v>5.5999999999999999E-3</v>
      </c>
      <c r="X1439" s="12">
        <v>3.2118453569954601</v>
      </c>
      <c r="Y1439" s="14">
        <v>360</v>
      </c>
      <c r="Z1439" s="14">
        <v>27</v>
      </c>
      <c r="AA1439" s="12" t="s">
        <v>2367</v>
      </c>
    </row>
    <row r="1440" spans="1:27" ht="14.25" x14ac:dyDescent="0.45">
      <c r="A1440" s="12" t="s">
        <v>527</v>
      </c>
      <c r="B1440" s="12" t="s">
        <v>1980</v>
      </c>
      <c r="C1440" s="12" t="s">
        <v>1981</v>
      </c>
      <c r="D1440" s="12" t="s">
        <v>1975</v>
      </c>
      <c r="E1440" s="20">
        <v>37137</v>
      </c>
      <c r="F1440" s="20">
        <v>44182</v>
      </c>
      <c r="G1440" s="12">
        <v>1.8</v>
      </c>
      <c r="H1440" s="12">
        <v>12.633333333333301</v>
      </c>
      <c r="I1440" s="13">
        <v>0.14248021108179401</v>
      </c>
      <c r="J1440" s="12" t="s">
        <v>527</v>
      </c>
      <c r="K1440" s="14">
        <v>1424</v>
      </c>
      <c r="L1440" s="14">
        <v>714</v>
      </c>
      <c r="M1440" s="14">
        <v>1439</v>
      </c>
      <c r="N1440" s="12">
        <v>1.8</v>
      </c>
      <c r="O1440" s="12" t="s">
        <v>527</v>
      </c>
      <c r="P1440" s="12">
        <v>2.89554327630722E-4</v>
      </c>
      <c r="Q1440" s="12">
        <v>6.48787519064625E-4</v>
      </c>
      <c r="R1440" s="12">
        <v>0.19102822580645201</v>
      </c>
      <c r="S1440" s="14">
        <v>21</v>
      </c>
      <c r="T1440" s="12">
        <v>5.14075072276911E-2</v>
      </c>
      <c r="U1440" s="14">
        <v>1513</v>
      </c>
      <c r="V1440" s="14">
        <v>1</v>
      </c>
      <c r="W1440" s="12">
        <v>5.4999999999999997E-3</v>
      </c>
      <c r="X1440" s="12">
        <v>5.6907507227691098E-2</v>
      </c>
      <c r="Y1440" s="14">
        <v>1513</v>
      </c>
      <c r="Z1440" s="14">
        <v>20</v>
      </c>
      <c r="AA1440" s="12" t="s">
        <v>2370</v>
      </c>
    </row>
    <row r="1441" spans="1:27" ht="14.25" x14ac:dyDescent="0.45">
      <c r="A1441" s="12" t="s">
        <v>547</v>
      </c>
      <c r="B1441" s="12" t="s">
        <v>1980</v>
      </c>
      <c r="C1441" s="12" t="s">
        <v>1996</v>
      </c>
      <c r="D1441" s="12" t="s">
        <v>1975</v>
      </c>
      <c r="E1441" s="20">
        <v>35378</v>
      </c>
      <c r="F1441" s="20">
        <v>44250</v>
      </c>
      <c r="G1441" s="12">
        <v>0.08</v>
      </c>
      <c r="H1441" s="12">
        <v>10.366666666666699</v>
      </c>
      <c r="I1441" s="13">
        <v>7.71704180064309E-3</v>
      </c>
      <c r="J1441" s="12" t="s">
        <v>547</v>
      </c>
      <c r="K1441" s="14">
        <v>1760</v>
      </c>
      <c r="L1441" s="14">
        <v>960</v>
      </c>
      <c r="M1441" s="14">
        <v>1849</v>
      </c>
      <c r="N1441" s="12">
        <v>0.08</v>
      </c>
      <c r="O1441" s="12" t="s">
        <v>547</v>
      </c>
      <c r="P1441" s="12">
        <v>1.2869081228032099E-5</v>
      </c>
      <c r="Q1441" s="12">
        <v>3.51397598750258E-5</v>
      </c>
      <c r="R1441" s="12">
        <v>0.156754032258065</v>
      </c>
      <c r="S1441" s="14">
        <v>26</v>
      </c>
      <c r="T1441" s="12">
        <v>2.6788255382403101E-3</v>
      </c>
      <c r="U1441" s="14">
        <v>1863</v>
      </c>
      <c r="V1441" s="14">
        <v>1</v>
      </c>
      <c r="W1441" s="12">
        <v>5.4999999999999997E-3</v>
      </c>
      <c r="X1441" s="12">
        <v>8.1788255382403106E-3</v>
      </c>
      <c r="Y1441" s="14">
        <v>1863</v>
      </c>
      <c r="Z1441" s="14">
        <v>25</v>
      </c>
      <c r="AA1441" s="12" t="s">
        <v>2367</v>
      </c>
    </row>
    <row r="1442" spans="1:27" ht="14.25" x14ac:dyDescent="0.45">
      <c r="A1442" s="12" t="s">
        <v>548</v>
      </c>
      <c r="B1442" s="12" t="s">
        <v>1980</v>
      </c>
      <c r="C1442" s="12" t="s">
        <v>1977</v>
      </c>
      <c r="D1442" s="12" t="s">
        <v>1995</v>
      </c>
      <c r="E1442" s="20">
        <v>31836</v>
      </c>
      <c r="F1442" s="20">
        <v>43627</v>
      </c>
      <c r="G1442" s="12">
        <v>0.5</v>
      </c>
      <c r="H1442" s="12">
        <v>31.133333333333301</v>
      </c>
      <c r="I1442" s="13">
        <v>1.6059957173447499E-2</v>
      </c>
      <c r="J1442" s="12" t="s">
        <v>548</v>
      </c>
      <c r="K1442" s="14">
        <v>1710</v>
      </c>
      <c r="L1442" s="14">
        <v>252</v>
      </c>
      <c r="M1442" s="14">
        <v>1689</v>
      </c>
      <c r="N1442" s="12">
        <v>0.5</v>
      </c>
      <c r="O1442" s="12" t="s">
        <v>548</v>
      </c>
      <c r="P1442" s="12">
        <v>8.0431757675200496E-5</v>
      </c>
      <c r="Q1442" s="12">
        <v>7.3129452095376202E-5</v>
      </c>
      <c r="R1442" s="12">
        <v>0.47076612903225801</v>
      </c>
      <c r="S1442" s="14">
        <v>35</v>
      </c>
      <c r="T1442" s="12">
        <v>7.5867816687810296E-3</v>
      </c>
      <c r="U1442" s="14">
        <v>1781</v>
      </c>
      <c r="V1442" s="14">
        <v>1</v>
      </c>
      <c r="W1442" s="12">
        <v>5.4999999999999997E-3</v>
      </c>
      <c r="X1442" s="12">
        <v>1.3086781668781E-2</v>
      </c>
      <c r="Y1442" s="14">
        <v>1782</v>
      </c>
      <c r="Z1442" s="14">
        <v>35</v>
      </c>
      <c r="AA1442" s="12" t="s">
        <v>2369</v>
      </c>
    </row>
    <row r="1443" spans="1:27" ht="14.25" x14ac:dyDescent="0.45">
      <c r="A1443" s="12" t="s">
        <v>579</v>
      </c>
      <c r="B1443" s="12" t="s">
        <v>1980</v>
      </c>
      <c r="C1443" s="12" t="s">
        <v>1977</v>
      </c>
      <c r="D1443" s="12" t="s">
        <v>1982</v>
      </c>
      <c r="E1443" s="20">
        <v>35503</v>
      </c>
      <c r="F1443" s="20">
        <v>43297</v>
      </c>
      <c r="G1443" s="12">
        <v>216.66</v>
      </c>
      <c r="H1443" s="12">
        <v>42.133333333333297</v>
      </c>
      <c r="I1443" s="13">
        <v>5.1422468354430402</v>
      </c>
      <c r="J1443" s="12" t="s">
        <v>579</v>
      </c>
      <c r="K1443" s="14">
        <v>437</v>
      </c>
      <c r="L1443" s="14">
        <v>122</v>
      </c>
      <c r="M1443" s="14">
        <v>276</v>
      </c>
      <c r="N1443" s="12">
        <v>216.66</v>
      </c>
      <c r="O1443" s="12" t="s">
        <v>579</v>
      </c>
      <c r="P1443" s="12">
        <v>3.4852689235817899E-2</v>
      </c>
      <c r="Q1443" s="12">
        <v>2.3415360922435499E-2</v>
      </c>
      <c r="R1443" s="12">
        <v>0.63709677419354804</v>
      </c>
      <c r="S1443" s="14">
        <v>25</v>
      </c>
      <c r="T1443" s="12">
        <v>2.7704359039953901</v>
      </c>
      <c r="U1443" s="14">
        <v>387</v>
      </c>
      <c r="V1443" s="14">
        <v>14</v>
      </c>
      <c r="W1443" s="12">
        <v>6.7000000000000002E-3</v>
      </c>
      <c r="X1443" s="12">
        <v>2.77713590399539</v>
      </c>
      <c r="Y1443" s="14">
        <v>387</v>
      </c>
      <c r="Z1443" s="14">
        <v>25</v>
      </c>
      <c r="AA1443" s="12" t="s">
        <v>2367</v>
      </c>
    </row>
    <row r="1444" spans="1:27" ht="14.25" x14ac:dyDescent="0.45">
      <c r="A1444" s="12" t="s">
        <v>588</v>
      </c>
      <c r="B1444" s="12" t="s">
        <v>1980</v>
      </c>
      <c r="C1444" s="12" t="s">
        <v>2368</v>
      </c>
      <c r="D1444" s="12" t="s">
        <v>2368</v>
      </c>
      <c r="E1444" s="20">
        <v>35837</v>
      </c>
      <c r="F1444" s="20">
        <v>44234</v>
      </c>
      <c r="G1444" s="12">
        <v>10</v>
      </c>
      <c r="H1444" s="12">
        <v>10.9</v>
      </c>
      <c r="I1444" s="13">
        <v>0.91743119266054995</v>
      </c>
      <c r="J1444" s="12" t="s">
        <v>588</v>
      </c>
      <c r="K1444" s="14">
        <v>849</v>
      </c>
      <c r="L1444" s="14">
        <v>892</v>
      </c>
      <c r="M1444" s="14">
        <v>843</v>
      </c>
      <c r="N1444" s="12">
        <v>10</v>
      </c>
      <c r="O1444" s="12" t="s">
        <v>588</v>
      </c>
      <c r="P1444" s="12">
        <v>1.60863515350401E-3</v>
      </c>
      <c r="Q1444" s="12">
        <v>4.17754790563189E-3</v>
      </c>
      <c r="R1444" s="12">
        <v>0.164818548387097</v>
      </c>
      <c r="S1444" s="14">
        <v>24</v>
      </c>
      <c r="T1444" s="12">
        <v>0.321420562358393</v>
      </c>
      <c r="U1444" s="14">
        <v>898</v>
      </c>
      <c r="V1444" s="14">
        <v>1</v>
      </c>
      <c r="W1444" s="12">
        <v>5.4999999999999997E-3</v>
      </c>
      <c r="X1444" s="12">
        <v>0.32692056235839301</v>
      </c>
      <c r="Y1444" s="14">
        <v>898</v>
      </c>
      <c r="Z1444" s="14">
        <v>24</v>
      </c>
      <c r="AA1444" s="12" t="s">
        <v>2370</v>
      </c>
    </row>
    <row r="1445" spans="1:27" ht="14.25" x14ac:dyDescent="0.45">
      <c r="A1445" s="12" t="s">
        <v>603</v>
      </c>
      <c r="B1445" s="12" t="s">
        <v>1980</v>
      </c>
      <c r="C1445" s="12" t="s">
        <v>1977</v>
      </c>
      <c r="D1445" s="12" t="s">
        <v>1982</v>
      </c>
      <c r="E1445" s="20">
        <v>36074</v>
      </c>
      <c r="F1445" s="20">
        <v>44244</v>
      </c>
      <c r="G1445" s="12">
        <v>27.5</v>
      </c>
      <c r="H1445" s="12">
        <v>10.5666666666667</v>
      </c>
      <c r="I1445" s="13">
        <v>2.6025236593059899</v>
      </c>
      <c r="J1445" s="12" t="s">
        <v>603</v>
      </c>
      <c r="K1445" s="14">
        <v>587</v>
      </c>
      <c r="L1445" s="14">
        <v>894</v>
      </c>
      <c r="M1445" s="14">
        <v>593</v>
      </c>
      <c r="N1445" s="12">
        <v>27.5</v>
      </c>
      <c r="O1445" s="12" t="s">
        <v>603</v>
      </c>
      <c r="P1445" s="12">
        <v>4.4237466721360197E-3</v>
      </c>
      <c r="Q1445" s="12">
        <v>1.18506623158974E-2</v>
      </c>
      <c r="R1445" s="12">
        <v>0.15977822580645201</v>
      </c>
      <c r="S1445" s="14">
        <v>24</v>
      </c>
      <c r="T1445" s="12">
        <v>0.90655689494868796</v>
      </c>
      <c r="U1445" s="14">
        <v>617</v>
      </c>
      <c r="V1445" s="14">
        <v>1</v>
      </c>
      <c r="W1445" s="12">
        <v>5.4999999999999997E-3</v>
      </c>
      <c r="X1445" s="12">
        <v>0.91205689494868802</v>
      </c>
      <c r="Y1445" s="14">
        <v>617</v>
      </c>
      <c r="Z1445" s="14">
        <v>23</v>
      </c>
      <c r="AA1445" s="12" t="s">
        <v>2370</v>
      </c>
    </row>
    <row r="1446" spans="1:27" ht="14.25" x14ac:dyDescent="0.45">
      <c r="A1446" s="12" t="s">
        <v>604</v>
      </c>
      <c r="B1446" s="12" t="s">
        <v>1980</v>
      </c>
      <c r="C1446" s="12" t="s">
        <v>1996</v>
      </c>
      <c r="D1446" s="12" t="s">
        <v>2007</v>
      </c>
      <c r="E1446" s="20">
        <v>28538</v>
      </c>
      <c r="F1446" s="20">
        <v>43570</v>
      </c>
      <c r="G1446" s="12">
        <v>27.5</v>
      </c>
      <c r="H1446" s="12">
        <v>33.033333333333303</v>
      </c>
      <c r="I1446" s="13">
        <v>0.83249243188698296</v>
      </c>
      <c r="J1446" s="12" t="s">
        <v>604</v>
      </c>
      <c r="K1446" s="14">
        <v>880</v>
      </c>
      <c r="L1446" s="14">
        <v>238</v>
      </c>
      <c r="M1446" s="14">
        <v>593</v>
      </c>
      <c r="N1446" s="12">
        <v>27.5</v>
      </c>
      <c r="O1446" s="12" t="s">
        <v>604</v>
      </c>
      <c r="P1446" s="12">
        <v>4.4237466721360197E-3</v>
      </c>
      <c r="Q1446" s="12">
        <v>3.7907769466594102E-3</v>
      </c>
      <c r="R1446" s="12">
        <v>0.499495967741935</v>
      </c>
      <c r="S1446" s="14">
        <v>44</v>
      </c>
      <c r="T1446" s="12">
        <v>0.40281405937131398</v>
      </c>
      <c r="U1446" s="14">
        <v>825</v>
      </c>
      <c r="V1446" s="14">
        <v>1</v>
      </c>
      <c r="W1446" s="12">
        <v>5.4999999999999997E-3</v>
      </c>
      <c r="X1446" s="12">
        <v>0.40831405937131399</v>
      </c>
      <c r="Y1446" s="14">
        <v>825</v>
      </c>
      <c r="Z1446" s="14">
        <v>44</v>
      </c>
      <c r="AA1446" s="12" t="s">
        <v>2369</v>
      </c>
    </row>
    <row r="1447" spans="1:27" ht="14.25" x14ac:dyDescent="0.45">
      <c r="A1447" s="12" t="s">
        <v>613</v>
      </c>
      <c r="B1447" s="12" t="s">
        <v>1980</v>
      </c>
      <c r="C1447" s="12" t="s">
        <v>2368</v>
      </c>
      <c r="D1447" s="12" t="s">
        <v>2368</v>
      </c>
      <c r="E1447" s="20">
        <v>1</v>
      </c>
      <c r="F1447" s="20">
        <v>44245</v>
      </c>
      <c r="G1447" s="12">
        <v>27.5</v>
      </c>
      <c r="H1447" s="12">
        <v>10.533333333333299</v>
      </c>
      <c r="I1447" s="13">
        <v>2.6107594936708902</v>
      </c>
      <c r="J1447" s="12" t="s">
        <v>613</v>
      </c>
      <c r="K1447" s="14">
        <v>585</v>
      </c>
      <c r="L1447" s="14">
        <v>917</v>
      </c>
      <c r="M1447" s="14">
        <v>593</v>
      </c>
      <c r="N1447" s="12">
        <v>27.5</v>
      </c>
      <c r="O1447" s="12" t="s">
        <v>613</v>
      </c>
      <c r="P1447" s="12">
        <v>4.4237466721360197E-3</v>
      </c>
      <c r="Q1447" s="12">
        <v>1.1888164411833799E-2</v>
      </c>
      <c r="R1447" s="12">
        <v>0.15927419354838701</v>
      </c>
      <c r="S1447" s="14">
        <v>122</v>
      </c>
      <c r="T1447" s="12">
        <v>0.90890077594471197</v>
      </c>
      <c r="U1447" s="14">
        <v>606</v>
      </c>
      <c r="V1447" s="14">
        <v>1</v>
      </c>
      <c r="W1447" s="12">
        <v>5.4999999999999997E-3</v>
      </c>
      <c r="X1447" s="12">
        <v>0.91440077594471203</v>
      </c>
      <c r="Y1447" s="14">
        <v>606</v>
      </c>
      <c r="Z1447" s="14">
        <v>122</v>
      </c>
      <c r="AA1447" s="12" t="s">
        <v>2372</v>
      </c>
    </row>
    <row r="1448" spans="1:27" ht="14.25" x14ac:dyDescent="0.45">
      <c r="A1448" s="12" t="s">
        <v>617</v>
      </c>
      <c r="B1448" s="12" t="s">
        <v>1980</v>
      </c>
      <c r="C1448" s="12" t="s">
        <v>1977</v>
      </c>
      <c r="D1448" s="12" t="s">
        <v>1982</v>
      </c>
      <c r="E1448" s="20">
        <v>36313</v>
      </c>
      <c r="F1448" s="20">
        <v>44204</v>
      </c>
      <c r="G1448" s="12">
        <v>0.01</v>
      </c>
      <c r="H1448" s="12">
        <v>11.9</v>
      </c>
      <c r="I1448" s="13">
        <v>8.4033613445378102E-4</v>
      </c>
      <c r="J1448" s="12" t="s">
        <v>617</v>
      </c>
      <c r="K1448" s="14">
        <v>1833</v>
      </c>
      <c r="L1448" s="14">
        <v>793</v>
      </c>
      <c r="M1448" s="14">
        <v>1944</v>
      </c>
      <c r="N1448" s="12">
        <v>0.01</v>
      </c>
      <c r="O1448" s="12" t="s">
        <v>617</v>
      </c>
      <c r="P1448" s="12">
        <v>1.6086351535040101E-6</v>
      </c>
      <c r="Q1448" s="12">
        <v>3.8264934597804704E-6</v>
      </c>
      <c r="R1448" s="12">
        <v>0.179939516129032</v>
      </c>
      <c r="S1448" s="14">
        <v>23</v>
      </c>
      <c r="T1448" s="12">
        <v>2.9947965949267999E-4</v>
      </c>
      <c r="U1448" s="14">
        <v>1956</v>
      </c>
      <c r="V1448" s="14">
        <v>1</v>
      </c>
      <c r="W1448" s="12">
        <v>5.4999999999999997E-3</v>
      </c>
      <c r="X1448" s="12">
        <v>5.7994796594926798E-3</v>
      </c>
      <c r="Y1448" s="14">
        <v>1956</v>
      </c>
      <c r="Z1448" s="14">
        <v>23</v>
      </c>
      <c r="AA1448" s="12" t="s">
        <v>2370</v>
      </c>
    </row>
    <row r="1449" spans="1:27" ht="14.25" x14ac:dyDescent="0.45">
      <c r="A1449" s="12" t="s">
        <v>621</v>
      </c>
      <c r="B1449" s="12" t="s">
        <v>1980</v>
      </c>
      <c r="C1449" s="12" t="s">
        <v>1977</v>
      </c>
      <c r="D1449" s="12" t="s">
        <v>2072</v>
      </c>
      <c r="E1449" s="20">
        <v>35729</v>
      </c>
      <c r="F1449" s="20">
        <v>44181</v>
      </c>
      <c r="G1449" s="12">
        <v>27.5</v>
      </c>
      <c r="H1449" s="12">
        <v>12.6666666666667</v>
      </c>
      <c r="I1449" s="13">
        <v>2.17105263157895</v>
      </c>
      <c r="J1449" s="12" t="s">
        <v>621</v>
      </c>
      <c r="K1449" s="14">
        <v>632</v>
      </c>
      <c r="L1449" s="14">
        <v>712</v>
      </c>
      <c r="M1449" s="14">
        <v>593</v>
      </c>
      <c r="N1449" s="12">
        <v>27.5</v>
      </c>
      <c r="O1449" s="12" t="s">
        <v>621</v>
      </c>
      <c r="P1449" s="12">
        <v>4.4237466721360197E-3</v>
      </c>
      <c r="Q1449" s="12">
        <v>9.8859472477354597E-3</v>
      </c>
      <c r="R1449" s="12">
        <v>0.19153225806451599</v>
      </c>
      <c r="S1449" s="14">
        <v>25</v>
      </c>
      <c r="T1449" s="12">
        <v>0.78376220318856704</v>
      </c>
      <c r="U1449" s="14">
        <v>686</v>
      </c>
      <c r="V1449" s="14">
        <v>1</v>
      </c>
      <c r="W1449" s="12">
        <v>5.4999999999999997E-3</v>
      </c>
      <c r="X1449" s="12">
        <v>0.78926220318856699</v>
      </c>
      <c r="Y1449" s="14">
        <v>686</v>
      </c>
      <c r="Z1449" s="14">
        <v>24</v>
      </c>
      <c r="AA1449" s="12" t="s">
        <v>2370</v>
      </c>
    </row>
    <row r="1450" spans="1:27" ht="14.25" x14ac:dyDescent="0.45">
      <c r="A1450" s="12" t="s">
        <v>623</v>
      </c>
      <c r="B1450" s="12" t="s">
        <v>1980</v>
      </c>
      <c r="C1450" s="12" t="s">
        <v>1996</v>
      </c>
      <c r="D1450" s="12" t="s">
        <v>1982</v>
      </c>
      <c r="E1450" s="20">
        <v>34538</v>
      </c>
      <c r="F1450" s="20">
        <v>44244</v>
      </c>
      <c r="G1450" s="12">
        <v>29.37</v>
      </c>
      <c r="H1450" s="12">
        <v>10.5666666666667</v>
      </c>
      <c r="I1450" s="13">
        <v>2.7794952681387999</v>
      </c>
      <c r="J1450" s="12" t="s">
        <v>623</v>
      </c>
      <c r="K1450" s="14">
        <v>571</v>
      </c>
      <c r="L1450" s="14">
        <v>894</v>
      </c>
      <c r="M1450" s="14">
        <v>574</v>
      </c>
      <c r="N1450" s="12">
        <v>29.37</v>
      </c>
      <c r="O1450" s="12" t="s">
        <v>623</v>
      </c>
      <c r="P1450" s="12">
        <v>4.7245614458412697E-3</v>
      </c>
      <c r="Q1450" s="12">
        <v>1.26565073533784E-2</v>
      </c>
      <c r="R1450" s="12">
        <v>0.15977822580645201</v>
      </c>
      <c r="S1450" s="14">
        <v>28</v>
      </c>
      <c r="T1450" s="12">
        <v>0.96820276380519898</v>
      </c>
      <c r="U1450" s="14">
        <v>579</v>
      </c>
      <c r="V1450" s="14">
        <v>2</v>
      </c>
      <c r="W1450" s="12">
        <v>5.5999999999999999E-3</v>
      </c>
      <c r="X1450" s="12">
        <v>0.97380276380519903</v>
      </c>
      <c r="Y1450" s="14">
        <v>579</v>
      </c>
      <c r="Z1450" s="14">
        <v>27</v>
      </c>
      <c r="AA1450" s="12" t="s">
        <v>2367</v>
      </c>
    </row>
    <row r="1451" spans="1:27" ht="14.25" x14ac:dyDescent="0.45">
      <c r="A1451" s="12" t="s">
        <v>625</v>
      </c>
      <c r="B1451" s="12" t="s">
        <v>1980</v>
      </c>
      <c r="C1451" s="12" t="s">
        <v>1977</v>
      </c>
      <c r="D1451" s="12" t="s">
        <v>2020</v>
      </c>
      <c r="E1451" s="20">
        <v>29890</v>
      </c>
      <c r="F1451" s="20">
        <v>44246</v>
      </c>
      <c r="G1451" s="12">
        <v>36.44</v>
      </c>
      <c r="H1451" s="12">
        <v>10.5</v>
      </c>
      <c r="I1451" s="13">
        <v>3.47047619047619</v>
      </c>
      <c r="J1451" s="12" t="s">
        <v>625</v>
      </c>
      <c r="K1451" s="14">
        <v>525</v>
      </c>
      <c r="L1451" s="14">
        <v>927</v>
      </c>
      <c r="M1451" s="14">
        <v>537</v>
      </c>
      <c r="N1451" s="12">
        <v>36.44</v>
      </c>
      <c r="O1451" s="12" t="s">
        <v>625</v>
      </c>
      <c r="P1451" s="12">
        <v>5.8618664993686101E-3</v>
      </c>
      <c r="Q1451" s="12">
        <v>1.58029077897654E-2</v>
      </c>
      <c r="R1451" s="12">
        <v>0.15877016129032301</v>
      </c>
      <c r="S1451" s="14">
        <v>41</v>
      </c>
      <c r="T1451" s="12">
        <v>1.20750173058666</v>
      </c>
      <c r="U1451" s="14">
        <v>534</v>
      </c>
      <c r="V1451" s="14">
        <v>2</v>
      </c>
      <c r="W1451" s="12">
        <v>5.5999999999999999E-3</v>
      </c>
      <c r="X1451" s="12">
        <v>1.21310173058666</v>
      </c>
      <c r="Y1451" s="14">
        <v>534</v>
      </c>
      <c r="Z1451" s="14">
        <v>40</v>
      </c>
      <c r="AA1451" s="12" t="s">
        <v>2369</v>
      </c>
    </row>
    <row r="1452" spans="1:27" ht="14.25" x14ac:dyDescent="0.45">
      <c r="A1452" s="12" t="s">
        <v>631</v>
      </c>
      <c r="B1452" s="12" t="s">
        <v>1980</v>
      </c>
      <c r="C1452" s="12" t="s">
        <v>1977</v>
      </c>
      <c r="D1452" s="12" t="s">
        <v>1982</v>
      </c>
      <c r="E1452" s="20">
        <v>37086</v>
      </c>
      <c r="F1452" s="20">
        <v>44244</v>
      </c>
      <c r="G1452" s="12">
        <v>27.5</v>
      </c>
      <c r="H1452" s="12">
        <v>10.5666666666667</v>
      </c>
      <c r="I1452" s="13">
        <v>2.6025236593059899</v>
      </c>
      <c r="J1452" s="12" t="s">
        <v>631</v>
      </c>
      <c r="K1452" s="14">
        <v>587</v>
      </c>
      <c r="L1452" s="14">
        <v>894</v>
      </c>
      <c r="M1452" s="14">
        <v>593</v>
      </c>
      <c r="N1452" s="12">
        <v>27.5</v>
      </c>
      <c r="O1452" s="12" t="s">
        <v>631</v>
      </c>
      <c r="P1452" s="12">
        <v>4.4237466721360197E-3</v>
      </c>
      <c r="Q1452" s="12">
        <v>1.18506623158974E-2</v>
      </c>
      <c r="R1452" s="12">
        <v>0.15977822580645201</v>
      </c>
      <c r="S1452" s="14">
        <v>21</v>
      </c>
      <c r="T1452" s="12">
        <v>0.90655689494868796</v>
      </c>
      <c r="U1452" s="14">
        <v>617</v>
      </c>
      <c r="V1452" s="14">
        <v>1</v>
      </c>
      <c r="W1452" s="12">
        <v>5.4999999999999997E-3</v>
      </c>
      <c r="X1452" s="12">
        <v>0.91205689494868802</v>
      </c>
      <c r="Y1452" s="14">
        <v>617</v>
      </c>
      <c r="Z1452" s="14">
        <v>20</v>
      </c>
      <c r="AA1452" s="12" t="s">
        <v>2370</v>
      </c>
    </row>
    <row r="1453" spans="1:27" ht="14.25" x14ac:dyDescent="0.45">
      <c r="A1453" s="12" t="s">
        <v>632</v>
      </c>
      <c r="B1453" s="12" t="s">
        <v>1980</v>
      </c>
      <c r="C1453" s="12" t="s">
        <v>1981</v>
      </c>
      <c r="D1453" s="12" t="s">
        <v>1974</v>
      </c>
      <c r="E1453" s="20">
        <v>33978</v>
      </c>
      <c r="F1453" s="20">
        <v>44244</v>
      </c>
      <c r="G1453" s="12">
        <v>27.5</v>
      </c>
      <c r="H1453" s="12">
        <v>10.5666666666667</v>
      </c>
      <c r="I1453" s="13">
        <v>2.6025236593059899</v>
      </c>
      <c r="J1453" s="12" t="s">
        <v>632</v>
      </c>
      <c r="K1453" s="14">
        <v>587</v>
      </c>
      <c r="L1453" s="14">
        <v>894</v>
      </c>
      <c r="M1453" s="14">
        <v>593</v>
      </c>
      <c r="N1453" s="12">
        <v>27.5</v>
      </c>
      <c r="O1453" s="12" t="s">
        <v>632</v>
      </c>
      <c r="P1453" s="12">
        <v>4.4237466721360197E-3</v>
      </c>
      <c r="Q1453" s="12">
        <v>1.18506623158974E-2</v>
      </c>
      <c r="R1453" s="12">
        <v>0.15977822580645201</v>
      </c>
      <c r="S1453" s="14">
        <v>29</v>
      </c>
      <c r="T1453" s="12">
        <v>0.90655689494868796</v>
      </c>
      <c r="U1453" s="14">
        <v>617</v>
      </c>
      <c r="V1453" s="14">
        <v>1</v>
      </c>
      <c r="W1453" s="12">
        <v>5.4999999999999997E-3</v>
      </c>
      <c r="X1453" s="12">
        <v>0.91205689494868802</v>
      </c>
      <c r="Y1453" s="14">
        <v>617</v>
      </c>
      <c r="Z1453" s="14">
        <v>29</v>
      </c>
      <c r="AA1453" s="12" t="s">
        <v>2367</v>
      </c>
    </row>
    <row r="1454" spans="1:27" ht="14.25" x14ac:dyDescent="0.45">
      <c r="A1454" s="12" t="s">
        <v>639</v>
      </c>
      <c r="B1454" s="12" t="s">
        <v>1980</v>
      </c>
      <c r="C1454" s="12" t="s">
        <v>1977</v>
      </c>
      <c r="D1454" s="12" t="s">
        <v>1974</v>
      </c>
      <c r="E1454" s="20">
        <v>30277</v>
      </c>
      <c r="F1454" s="20">
        <v>44267</v>
      </c>
      <c r="G1454" s="12">
        <v>15.74</v>
      </c>
      <c r="H1454" s="12">
        <v>9.8000000000000007</v>
      </c>
      <c r="I1454" s="13">
        <v>1.60612244897959</v>
      </c>
      <c r="J1454" s="12" t="s">
        <v>639</v>
      </c>
      <c r="K1454" s="14">
        <v>718</v>
      </c>
      <c r="L1454" s="14">
        <v>989</v>
      </c>
      <c r="M1454" s="14">
        <v>759</v>
      </c>
      <c r="N1454" s="12">
        <v>15.74</v>
      </c>
      <c r="O1454" s="12" t="s">
        <v>639</v>
      </c>
      <c r="P1454" s="12">
        <v>2.5319917316153099E-3</v>
      </c>
      <c r="Q1454" s="12">
        <v>7.3135222854861298E-3</v>
      </c>
      <c r="R1454" s="12">
        <v>0.148185483870968</v>
      </c>
      <c r="S1454" s="14">
        <v>40</v>
      </c>
      <c r="T1454" s="12">
        <v>0.55204483277845695</v>
      </c>
      <c r="U1454" s="14">
        <v>771</v>
      </c>
      <c r="V1454" s="14">
        <v>6</v>
      </c>
      <c r="W1454" s="12">
        <v>6.0000000000000001E-3</v>
      </c>
      <c r="X1454" s="12">
        <v>0.55804483277845696</v>
      </c>
      <c r="Y1454" s="14">
        <v>771</v>
      </c>
      <c r="Z1454" s="14">
        <v>39</v>
      </c>
      <c r="AA1454" s="12" t="s">
        <v>2369</v>
      </c>
    </row>
    <row r="1455" spans="1:27" ht="14.25" x14ac:dyDescent="0.45">
      <c r="A1455" s="12" t="s">
        <v>640</v>
      </c>
      <c r="B1455" s="12" t="s">
        <v>1980</v>
      </c>
      <c r="C1455" s="12" t="s">
        <v>1977</v>
      </c>
      <c r="D1455" s="12" t="s">
        <v>1974</v>
      </c>
      <c r="E1455" s="20">
        <v>36169</v>
      </c>
      <c r="F1455" s="20">
        <v>44244</v>
      </c>
      <c r="G1455" s="12">
        <v>27.5</v>
      </c>
      <c r="H1455" s="12">
        <v>10.5666666666667</v>
      </c>
      <c r="I1455" s="13">
        <v>2.6025236593059899</v>
      </c>
      <c r="J1455" s="12" t="s">
        <v>640</v>
      </c>
      <c r="K1455" s="14">
        <v>587</v>
      </c>
      <c r="L1455" s="14">
        <v>894</v>
      </c>
      <c r="M1455" s="14">
        <v>593</v>
      </c>
      <c r="N1455" s="12">
        <v>27.5</v>
      </c>
      <c r="O1455" s="12" t="s">
        <v>640</v>
      </c>
      <c r="P1455" s="12">
        <v>4.4237466721360197E-3</v>
      </c>
      <c r="Q1455" s="12">
        <v>1.18506623158974E-2</v>
      </c>
      <c r="R1455" s="12">
        <v>0.15977822580645201</v>
      </c>
      <c r="S1455" s="14">
        <v>23</v>
      </c>
      <c r="T1455" s="12">
        <v>0.90655689494868796</v>
      </c>
      <c r="U1455" s="14">
        <v>617</v>
      </c>
      <c r="V1455" s="14">
        <v>1</v>
      </c>
      <c r="W1455" s="12">
        <v>5.4999999999999997E-3</v>
      </c>
      <c r="X1455" s="12">
        <v>0.91205689494868802</v>
      </c>
      <c r="Y1455" s="14">
        <v>617</v>
      </c>
      <c r="Z1455" s="14">
        <v>23</v>
      </c>
      <c r="AA1455" s="12" t="s">
        <v>2370</v>
      </c>
    </row>
    <row r="1456" spans="1:27" ht="14.25" x14ac:dyDescent="0.45">
      <c r="A1456" s="12" t="s">
        <v>641</v>
      </c>
      <c r="B1456" s="12" t="s">
        <v>1980</v>
      </c>
      <c r="C1456" s="12" t="s">
        <v>1977</v>
      </c>
      <c r="D1456" s="12" t="s">
        <v>1975</v>
      </c>
      <c r="E1456" s="20">
        <v>35965</v>
      </c>
      <c r="F1456" s="20">
        <v>44130</v>
      </c>
      <c r="G1456" s="12">
        <v>30.97</v>
      </c>
      <c r="H1456" s="12">
        <v>14.366666666666699</v>
      </c>
      <c r="I1456" s="13">
        <v>2.15568445475638</v>
      </c>
      <c r="J1456" s="12" t="s">
        <v>641</v>
      </c>
      <c r="K1456" s="14">
        <v>639</v>
      </c>
      <c r="L1456" s="14">
        <v>577</v>
      </c>
      <c r="M1456" s="14">
        <v>561</v>
      </c>
      <c r="N1456" s="12">
        <v>30.97</v>
      </c>
      <c r="O1456" s="12" t="s">
        <v>641</v>
      </c>
      <c r="P1456" s="12">
        <v>4.9819430704019204E-3</v>
      </c>
      <c r="Q1456" s="12">
        <v>9.8159678362961002E-3</v>
      </c>
      <c r="R1456" s="12">
        <v>0.21723790322580599</v>
      </c>
      <c r="S1456" s="14">
        <v>24</v>
      </c>
      <c r="T1456" s="12">
        <v>0.80032085490857796</v>
      </c>
      <c r="U1456" s="14">
        <v>671</v>
      </c>
      <c r="V1456" s="14">
        <v>2</v>
      </c>
      <c r="W1456" s="12">
        <v>5.5999999999999999E-3</v>
      </c>
      <c r="X1456" s="12">
        <v>0.80592085490857801</v>
      </c>
      <c r="Y1456" s="14">
        <v>671</v>
      </c>
      <c r="Z1456" s="14">
        <v>24</v>
      </c>
      <c r="AA1456" s="12" t="s">
        <v>2370</v>
      </c>
    </row>
    <row r="1457" spans="1:27" ht="14.25" x14ac:dyDescent="0.45">
      <c r="A1457" s="12" t="s">
        <v>654</v>
      </c>
      <c r="B1457" s="12" t="s">
        <v>1980</v>
      </c>
      <c r="C1457" s="12" t="s">
        <v>1977</v>
      </c>
      <c r="D1457" s="12" t="s">
        <v>1997</v>
      </c>
      <c r="E1457" s="20">
        <v>34469</v>
      </c>
      <c r="F1457" s="20">
        <v>44126</v>
      </c>
      <c r="G1457" s="12">
        <v>27.5</v>
      </c>
      <c r="H1457" s="12">
        <v>14.5</v>
      </c>
      <c r="I1457" s="13">
        <v>1.8965517241379299</v>
      </c>
      <c r="J1457" s="12" t="s">
        <v>654</v>
      </c>
      <c r="K1457" s="14">
        <v>673</v>
      </c>
      <c r="L1457" s="14">
        <v>568</v>
      </c>
      <c r="M1457" s="14">
        <v>593</v>
      </c>
      <c r="N1457" s="12">
        <v>27.5</v>
      </c>
      <c r="O1457" s="12" t="s">
        <v>654</v>
      </c>
      <c r="P1457" s="12">
        <v>4.4237466721360197E-3</v>
      </c>
      <c r="Q1457" s="12">
        <v>8.6359998945735109E-3</v>
      </c>
      <c r="R1457" s="12">
        <v>0.219254032258065</v>
      </c>
      <c r="S1457" s="14">
        <v>28</v>
      </c>
      <c r="T1457" s="12">
        <v>0.70564049361594505</v>
      </c>
      <c r="U1457" s="14">
        <v>708</v>
      </c>
      <c r="V1457" s="14">
        <v>1</v>
      </c>
      <c r="W1457" s="12">
        <v>5.4999999999999997E-3</v>
      </c>
      <c r="X1457" s="12">
        <v>0.711140493615945</v>
      </c>
      <c r="Y1457" s="14">
        <v>708</v>
      </c>
      <c r="Z1457" s="14">
        <v>28</v>
      </c>
      <c r="AA1457" s="12" t="s">
        <v>2367</v>
      </c>
    </row>
    <row r="1458" spans="1:27" ht="14.25" x14ac:dyDescent="0.45">
      <c r="A1458" s="12" t="s">
        <v>655</v>
      </c>
      <c r="B1458" s="12" t="s">
        <v>1980</v>
      </c>
      <c r="C1458" s="12" t="s">
        <v>1977</v>
      </c>
      <c r="D1458" s="12" t="s">
        <v>1982</v>
      </c>
      <c r="E1458" s="20">
        <v>35774</v>
      </c>
      <c r="F1458" s="20">
        <v>44246</v>
      </c>
      <c r="G1458" s="12">
        <v>27.5</v>
      </c>
      <c r="H1458" s="12">
        <v>10.5</v>
      </c>
      <c r="I1458" s="13">
        <v>2.61904761904762</v>
      </c>
      <c r="J1458" s="12" t="s">
        <v>655</v>
      </c>
      <c r="K1458" s="14">
        <v>584</v>
      </c>
      <c r="L1458" s="14">
        <v>927</v>
      </c>
      <c r="M1458" s="14">
        <v>593</v>
      </c>
      <c r="N1458" s="12">
        <v>27.5</v>
      </c>
      <c r="O1458" s="12" t="s">
        <v>655</v>
      </c>
      <c r="P1458" s="12">
        <v>4.4237466721360197E-3</v>
      </c>
      <c r="Q1458" s="12">
        <v>1.19259046163158E-2</v>
      </c>
      <c r="R1458" s="12">
        <v>0.15877016129032301</v>
      </c>
      <c r="S1458" s="14">
        <v>25</v>
      </c>
      <c r="T1458" s="12">
        <v>0.911259538724838</v>
      </c>
      <c r="U1458" s="14">
        <v>593</v>
      </c>
      <c r="V1458" s="14">
        <v>1</v>
      </c>
      <c r="W1458" s="12">
        <v>5.4999999999999997E-3</v>
      </c>
      <c r="X1458" s="12">
        <v>0.91675953872483795</v>
      </c>
      <c r="Y1458" s="14">
        <v>593</v>
      </c>
      <c r="Z1458" s="14">
        <v>24</v>
      </c>
      <c r="AA1458" s="12" t="s">
        <v>2370</v>
      </c>
    </row>
    <row r="1459" spans="1:27" ht="14.25" x14ac:dyDescent="0.45">
      <c r="A1459" s="12" t="s">
        <v>661</v>
      </c>
      <c r="B1459" s="12" t="s">
        <v>1980</v>
      </c>
      <c r="C1459" s="12" t="s">
        <v>1996</v>
      </c>
      <c r="D1459" s="12" t="s">
        <v>2070</v>
      </c>
      <c r="E1459" s="20">
        <v>29968</v>
      </c>
      <c r="F1459" s="20">
        <v>44246</v>
      </c>
      <c r="G1459" s="12">
        <v>27.5</v>
      </c>
      <c r="H1459" s="12">
        <v>10.5</v>
      </c>
      <c r="I1459" s="13">
        <v>2.61904761904762</v>
      </c>
      <c r="J1459" s="12" t="s">
        <v>661</v>
      </c>
      <c r="K1459" s="14">
        <v>584</v>
      </c>
      <c r="L1459" s="14">
        <v>927</v>
      </c>
      <c r="M1459" s="14">
        <v>593</v>
      </c>
      <c r="N1459" s="12">
        <v>27.5</v>
      </c>
      <c r="O1459" s="12" t="s">
        <v>661</v>
      </c>
      <c r="P1459" s="12">
        <v>4.4237466721360197E-3</v>
      </c>
      <c r="Q1459" s="12">
        <v>1.19259046163158E-2</v>
      </c>
      <c r="R1459" s="12">
        <v>0.15877016129032301</v>
      </c>
      <c r="S1459" s="14">
        <v>40</v>
      </c>
      <c r="T1459" s="12">
        <v>0.911259538724838</v>
      </c>
      <c r="U1459" s="14">
        <v>593</v>
      </c>
      <c r="V1459" s="14">
        <v>1</v>
      </c>
      <c r="W1459" s="12">
        <v>5.4999999999999997E-3</v>
      </c>
      <c r="X1459" s="12">
        <v>0.91675953872483795</v>
      </c>
      <c r="Y1459" s="14">
        <v>593</v>
      </c>
      <c r="Z1459" s="14">
        <v>40</v>
      </c>
      <c r="AA1459" s="12" t="s">
        <v>2369</v>
      </c>
    </row>
    <row r="1460" spans="1:27" ht="14.25" x14ac:dyDescent="0.45">
      <c r="A1460" s="12" t="s">
        <v>663</v>
      </c>
      <c r="B1460" s="12" t="s">
        <v>1980</v>
      </c>
      <c r="C1460" s="12" t="s">
        <v>2368</v>
      </c>
      <c r="D1460" s="12" t="s">
        <v>2368</v>
      </c>
      <c r="E1460" s="20">
        <v>1</v>
      </c>
      <c r="F1460" s="20">
        <v>44244</v>
      </c>
      <c r="G1460" s="12">
        <v>27.5</v>
      </c>
      <c r="H1460" s="12">
        <v>10.5666666666667</v>
      </c>
      <c r="I1460" s="13">
        <v>2.6025236593059899</v>
      </c>
      <c r="J1460" s="12" t="s">
        <v>663</v>
      </c>
      <c r="K1460" s="14">
        <v>587</v>
      </c>
      <c r="L1460" s="14">
        <v>894</v>
      </c>
      <c r="M1460" s="14">
        <v>593</v>
      </c>
      <c r="N1460" s="12">
        <v>27.5</v>
      </c>
      <c r="O1460" s="12" t="s">
        <v>663</v>
      </c>
      <c r="P1460" s="12">
        <v>4.4237466721360197E-3</v>
      </c>
      <c r="Q1460" s="12">
        <v>1.18506623158974E-2</v>
      </c>
      <c r="R1460" s="12">
        <v>0.15977822580645201</v>
      </c>
      <c r="S1460" s="14">
        <v>122</v>
      </c>
      <c r="T1460" s="12">
        <v>0.90655689494868796</v>
      </c>
      <c r="U1460" s="14">
        <v>617</v>
      </c>
      <c r="V1460" s="14">
        <v>1</v>
      </c>
      <c r="W1460" s="12">
        <v>5.4999999999999997E-3</v>
      </c>
      <c r="X1460" s="12">
        <v>0.91205689494868802</v>
      </c>
      <c r="Y1460" s="14">
        <v>617</v>
      </c>
      <c r="Z1460" s="14">
        <v>122</v>
      </c>
      <c r="AA1460" s="12" t="s">
        <v>2372</v>
      </c>
    </row>
    <row r="1461" spans="1:27" ht="14.25" x14ac:dyDescent="0.45">
      <c r="A1461" s="12" t="s">
        <v>667</v>
      </c>
      <c r="B1461" s="12" t="s">
        <v>1980</v>
      </c>
      <c r="C1461" s="12" t="s">
        <v>1977</v>
      </c>
      <c r="D1461" s="12" t="s">
        <v>1974</v>
      </c>
      <c r="E1461" s="20">
        <v>30797</v>
      </c>
      <c r="F1461" s="20">
        <v>44222</v>
      </c>
      <c r="G1461" s="12">
        <v>28.04</v>
      </c>
      <c r="H1461" s="12">
        <v>11.3</v>
      </c>
      <c r="I1461" s="13">
        <v>2.48141592920354</v>
      </c>
      <c r="J1461" s="12" t="s">
        <v>667</v>
      </c>
      <c r="K1461" s="14">
        <v>594</v>
      </c>
      <c r="L1461" s="14">
        <v>879</v>
      </c>
      <c r="M1461" s="14">
        <v>588</v>
      </c>
      <c r="N1461" s="12">
        <v>28.04</v>
      </c>
      <c r="O1461" s="12" t="s">
        <v>667</v>
      </c>
      <c r="P1461" s="12">
        <v>4.5106129704252399E-3</v>
      </c>
      <c r="Q1461" s="12">
        <v>1.1299194970669999E-2</v>
      </c>
      <c r="R1461" s="12">
        <v>0.170866935483871</v>
      </c>
      <c r="S1461" s="14">
        <v>38</v>
      </c>
      <c r="T1461" s="12">
        <v>0.87534767205782005</v>
      </c>
      <c r="U1461" s="14">
        <v>642</v>
      </c>
      <c r="V1461" s="14">
        <v>2</v>
      </c>
      <c r="W1461" s="12">
        <v>5.5999999999999999E-3</v>
      </c>
      <c r="X1461" s="12">
        <v>0.88094767205781999</v>
      </c>
      <c r="Y1461" s="14">
        <v>642</v>
      </c>
      <c r="Z1461" s="14">
        <v>38</v>
      </c>
      <c r="AA1461" s="12" t="s">
        <v>2369</v>
      </c>
    </row>
    <row r="1462" spans="1:27" ht="14.25" x14ac:dyDescent="0.45">
      <c r="A1462" s="12" t="s">
        <v>671</v>
      </c>
      <c r="B1462" s="12" t="s">
        <v>1980</v>
      </c>
      <c r="C1462" s="12" t="s">
        <v>1996</v>
      </c>
      <c r="D1462" s="12" t="s">
        <v>2088</v>
      </c>
      <c r="E1462" s="20">
        <v>29446</v>
      </c>
      <c r="F1462" s="20">
        <v>44244</v>
      </c>
      <c r="G1462" s="12">
        <v>27.5</v>
      </c>
      <c r="H1462" s="12">
        <v>10.5666666666667</v>
      </c>
      <c r="I1462" s="13">
        <v>2.6025236593059899</v>
      </c>
      <c r="J1462" s="12" t="s">
        <v>671</v>
      </c>
      <c r="K1462" s="14">
        <v>587</v>
      </c>
      <c r="L1462" s="14">
        <v>894</v>
      </c>
      <c r="M1462" s="14">
        <v>593</v>
      </c>
      <c r="N1462" s="12">
        <v>27.5</v>
      </c>
      <c r="O1462" s="12" t="s">
        <v>671</v>
      </c>
      <c r="P1462" s="12">
        <v>4.4237466721360197E-3</v>
      </c>
      <c r="Q1462" s="12">
        <v>1.18506623158974E-2</v>
      </c>
      <c r="R1462" s="12">
        <v>0.15977822580645201</v>
      </c>
      <c r="S1462" s="14">
        <v>42</v>
      </c>
      <c r="T1462" s="12">
        <v>0.90655689494868796</v>
      </c>
      <c r="U1462" s="14">
        <v>617</v>
      </c>
      <c r="V1462" s="14">
        <v>1</v>
      </c>
      <c r="W1462" s="12">
        <v>5.4999999999999997E-3</v>
      </c>
      <c r="X1462" s="12">
        <v>0.91205689494868802</v>
      </c>
      <c r="Y1462" s="14">
        <v>617</v>
      </c>
      <c r="Z1462" s="14">
        <v>41</v>
      </c>
      <c r="AA1462" s="12" t="s">
        <v>2369</v>
      </c>
    </row>
    <row r="1463" spans="1:27" ht="14.25" x14ac:dyDescent="0.45">
      <c r="A1463" s="12" t="s">
        <v>673</v>
      </c>
      <c r="B1463" s="12" t="s">
        <v>1980</v>
      </c>
      <c r="C1463" s="12" t="s">
        <v>2368</v>
      </c>
      <c r="D1463" s="12" t="s">
        <v>2368</v>
      </c>
      <c r="E1463" s="20">
        <v>1</v>
      </c>
      <c r="F1463" s="20">
        <v>44244</v>
      </c>
      <c r="G1463" s="12">
        <v>27.5</v>
      </c>
      <c r="H1463" s="12">
        <v>10.5666666666667</v>
      </c>
      <c r="I1463" s="13">
        <v>2.6025236593059899</v>
      </c>
      <c r="J1463" s="12" t="s">
        <v>673</v>
      </c>
      <c r="K1463" s="14">
        <v>587</v>
      </c>
      <c r="L1463" s="14">
        <v>894</v>
      </c>
      <c r="M1463" s="14">
        <v>593</v>
      </c>
      <c r="N1463" s="12">
        <v>27.5</v>
      </c>
      <c r="O1463" s="12" t="s">
        <v>673</v>
      </c>
      <c r="P1463" s="12">
        <v>4.4237466721360197E-3</v>
      </c>
      <c r="Q1463" s="12">
        <v>1.18506623158974E-2</v>
      </c>
      <c r="R1463" s="12">
        <v>0.15977822580645201</v>
      </c>
      <c r="S1463" s="14">
        <v>122</v>
      </c>
      <c r="T1463" s="12">
        <v>0.90655689494868796</v>
      </c>
      <c r="U1463" s="14">
        <v>617</v>
      </c>
      <c r="V1463" s="14">
        <v>1</v>
      </c>
      <c r="W1463" s="12">
        <v>5.4999999999999997E-3</v>
      </c>
      <c r="X1463" s="12">
        <v>0.91205689494868802</v>
      </c>
      <c r="Y1463" s="14">
        <v>617</v>
      </c>
      <c r="Z1463" s="14">
        <v>122</v>
      </c>
      <c r="AA1463" s="12" t="s">
        <v>2372</v>
      </c>
    </row>
    <row r="1464" spans="1:27" ht="14.25" x14ac:dyDescent="0.45">
      <c r="A1464" s="12" t="s">
        <v>674</v>
      </c>
      <c r="B1464" s="12" t="s">
        <v>1980</v>
      </c>
      <c r="C1464" s="12" t="s">
        <v>1981</v>
      </c>
      <c r="D1464" s="12" t="s">
        <v>1982</v>
      </c>
      <c r="E1464" s="20">
        <v>36404</v>
      </c>
      <c r="F1464" s="20">
        <v>44062</v>
      </c>
      <c r="G1464" s="12">
        <v>29.85</v>
      </c>
      <c r="H1464" s="12">
        <v>16.633333333333301</v>
      </c>
      <c r="I1464" s="13">
        <v>1.7945891783567101</v>
      </c>
      <c r="J1464" s="12" t="s">
        <v>674</v>
      </c>
      <c r="K1464" s="14">
        <v>693</v>
      </c>
      <c r="L1464" s="14">
        <v>463</v>
      </c>
      <c r="M1464" s="14">
        <v>566</v>
      </c>
      <c r="N1464" s="12">
        <v>29.85</v>
      </c>
      <c r="O1464" s="12" t="s">
        <v>674</v>
      </c>
      <c r="P1464" s="12">
        <v>4.8017759332094701E-3</v>
      </c>
      <c r="Q1464" s="12">
        <v>8.17171066722998E-3</v>
      </c>
      <c r="R1464" s="12">
        <v>0.25151209677419401</v>
      </c>
      <c r="S1464" s="14">
        <v>23</v>
      </c>
      <c r="T1464" s="12">
        <v>0.69079851419722904</v>
      </c>
      <c r="U1464" s="14">
        <v>718</v>
      </c>
      <c r="V1464" s="14">
        <v>3</v>
      </c>
      <c r="W1464" s="12">
        <v>5.7000000000000002E-3</v>
      </c>
      <c r="X1464" s="12">
        <v>0.69649851419722897</v>
      </c>
      <c r="Y1464" s="14">
        <v>719</v>
      </c>
      <c r="Z1464" s="14">
        <v>22</v>
      </c>
      <c r="AA1464" s="12" t="s">
        <v>2370</v>
      </c>
    </row>
    <row r="1465" spans="1:27" ht="14.25" x14ac:dyDescent="0.45">
      <c r="A1465" s="12" t="s">
        <v>684</v>
      </c>
      <c r="B1465" s="12" t="s">
        <v>1980</v>
      </c>
      <c r="C1465" s="12" t="s">
        <v>2368</v>
      </c>
      <c r="D1465" s="12" t="s">
        <v>2368</v>
      </c>
      <c r="E1465" s="20">
        <v>1</v>
      </c>
      <c r="F1465" s="20">
        <v>44245</v>
      </c>
      <c r="G1465" s="12">
        <v>27.5</v>
      </c>
      <c r="H1465" s="12">
        <v>10.533333333333299</v>
      </c>
      <c r="I1465" s="13">
        <v>2.6107594936708902</v>
      </c>
      <c r="J1465" s="12" t="s">
        <v>684</v>
      </c>
      <c r="K1465" s="14">
        <v>585</v>
      </c>
      <c r="L1465" s="14">
        <v>917</v>
      </c>
      <c r="M1465" s="14">
        <v>593</v>
      </c>
      <c r="N1465" s="12">
        <v>27.5</v>
      </c>
      <c r="O1465" s="12" t="s">
        <v>684</v>
      </c>
      <c r="P1465" s="12">
        <v>4.4237466721360197E-3</v>
      </c>
      <c r="Q1465" s="12">
        <v>1.1888164411833799E-2</v>
      </c>
      <c r="R1465" s="12">
        <v>0.15927419354838701</v>
      </c>
      <c r="S1465" s="14">
        <v>122</v>
      </c>
      <c r="T1465" s="12">
        <v>0.90890077594471197</v>
      </c>
      <c r="U1465" s="14">
        <v>606</v>
      </c>
      <c r="V1465" s="14">
        <v>1</v>
      </c>
      <c r="W1465" s="12">
        <v>5.4999999999999997E-3</v>
      </c>
      <c r="X1465" s="12">
        <v>0.91440077594471203</v>
      </c>
      <c r="Y1465" s="14">
        <v>606</v>
      </c>
      <c r="Z1465" s="14">
        <v>122</v>
      </c>
      <c r="AA1465" s="12" t="s">
        <v>2372</v>
      </c>
    </row>
    <row r="1466" spans="1:27" ht="14.25" x14ac:dyDescent="0.45">
      <c r="A1466" s="12" t="s">
        <v>689</v>
      </c>
      <c r="B1466" s="12" t="s">
        <v>1980</v>
      </c>
      <c r="C1466" s="12" t="s">
        <v>1977</v>
      </c>
      <c r="D1466" s="12" t="s">
        <v>1993</v>
      </c>
      <c r="E1466" s="20">
        <v>35107</v>
      </c>
      <c r="F1466" s="20">
        <v>44244</v>
      </c>
      <c r="G1466" s="12">
        <v>27.5</v>
      </c>
      <c r="H1466" s="12">
        <v>10.5666666666667</v>
      </c>
      <c r="I1466" s="13">
        <v>2.6025236593059899</v>
      </c>
      <c r="J1466" s="12" t="s">
        <v>689</v>
      </c>
      <c r="K1466" s="14">
        <v>587</v>
      </c>
      <c r="L1466" s="14">
        <v>894</v>
      </c>
      <c r="M1466" s="14">
        <v>593</v>
      </c>
      <c r="N1466" s="12">
        <v>27.5</v>
      </c>
      <c r="O1466" s="12" t="s">
        <v>689</v>
      </c>
      <c r="P1466" s="12">
        <v>4.4237466721360197E-3</v>
      </c>
      <c r="Q1466" s="12">
        <v>1.18506623158974E-2</v>
      </c>
      <c r="R1466" s="12">
        <v>0.15977822580645201</v>
      </c>
      <c r="S1466" s="14">
        <v>26</v>
      </c>
      <c r="T1466" s="12">
        <v>0.90655689494868796</v>
      </c>
      <c r="U1466" s="14">
        <v>617</v>
      </c>
      <c r="V1466" s="14">
        <v>1</v>
      </c>
      <c r="W1466" s="12">
        <v>5.4999999999999997E-3</v>
      </c>
      <c r="X1466" s="12">
        <v>0.91205689494868802</v>
      </c>
      <c r="Y1466" s="14">
        <v>617</v>
      </c>
      <c r="Z1466" s="14">
        <v>26</v>
      </c>
      <c r="AA1466" s="12" t="s">
        <v>2367</v>
      </c>
    </row>
    <row r="1467" spans="1:27" ht="14.25" x14ac:dyDescent="0.45">
      <c r="A1467" s="12" t="s">
        <v>696</v>
      </c>
      <c r="B1467" s="12" t="s">
        <v>1980</v>
      </c>
      <c r="C1467" s="12" t="s">
        <v>1981</v>
      </c>
      <c r="D1467" s="12" t="s">
        <v>2020</v>
      </c>
      <c r="E1467" s="20">
        <v>31040</v>
      </c>
      <c r="F1467" s="20">
        <v>44245</v>
      </c>
      <c r="G1467" s="12">
        <v>27.5</v>
      </c>
      <c r="H1467" s="12">
        <v>10.533333333333299</v>
      </c>
      <c r="I1467" s="13">
        <v>2.6107594936708902</v>
      </c>
      <c r="J1467" s="12" t="s">
        <v>696</v>
      </c>
      <c r="K1467" s="14">
        <v>585</v>
      </c>
      <c r="L1467" s="14">
        <v>917</v>
      </c>
      <c r="M1467" s="14">
        <v>593</v>
      </c>
      <c r="N1467" s="12">
        <v>27.5</v>
      </c>
      <c r="O1467" s="12" t="s">
        <v>696</v>
      </c>
      <c r="P1467" s="12">
        <v>4.4237466721360197E-3</v>
      </c>
      <c r="Q1467" s="12">
        <v>1.1888164411833799E-2</v>
      </c>
      <c r="R1467" s="12">
        <v>0.15927419354838701</v>
      </c>
      <c r="S1467" s="14">
        <v>38</v>
      </c>
      <c r="T1467" s="12">
        <v>0.90890077594471197</v>
      </c>
      <c r="U1467" s="14">
        <v>606</v>
      </c>
      <c r="V1467" s="14">
        <v>1</v>
      </c>
      <c r="W1467" s="12">
        <v>5.4999999999999997E-3</v>
      </c>
      <c r="X1467" s="12">
        <v>0.91440077594471203</v>
      </c>
      <c r="Y1467" s="14">
        <v>606</v>
      </c>
      <c r="Z1467" s="14">
        <v>37</v>
      </c>
      <c r="AA1467" s="12" t="s">
        <v>2369</v>
      </c>
    </row>
    <row r="1468" spans="1:27" ht="14.25" x14ac:dyDescent="0.45">
      <c r="A1468" s="12" t="s">
        <v>701</v>
      </c>
      <c r="B1468" s="12" t="s">
        <v>1980</v>
      </c>
      <c r="C1468" s="12" t="s">
        <v>1996</v>
      </c>
      <c r="D1468" s="12" t="s">
        <v>1982</v>
      </c>
      <c r="E1468" s="20">
        <v>30499</v>
      </c>
      <c r="F1468" s="20">
        <v>43587</v>
      </c>
      <c r="G1468" s="12">
        <v>40.5</v>
      </c>
      <c r="H1468" s="12">
        <v>32.466666666666697</v>
      </c>
      <c r="I1468" s="13">
        <v>1.2474332648870601</v>
      </c>
      <c r="J1468" s="12" t="s">
        <v>701</v>
      </c>
      <c r="K1468" s="14">
        <v>757</v>
      </c>
      <c r="L1468" s="14">
        <v>243</v>
      </c>
      <c r="M1468" s="14">
        <v>518</v>
      </c>
      <c r="N1468" s="12">
        <v>40.5</v>
      </c>
      <c r="O1468" s="12" t="s">
        <v>701</v>
      </c>
      <c r="P1468" s="12">
        <v>6.5149723716912402E-3</v>
      </c>
      <c r="Q1468" s="12">
        <v>5.6802213232275099E-3</v>
      </c>
      <c r="R1468" s="12">
        <v>0.49092741935483902</v>
      </c>
      <c r="S1468" s="14">
        <v>39</v>
      </c>
      <c r="T1468" s="12">
        <v>0.599325296640141</v>
      </c>
      <c r="U1468" s="14">
        <v>752</v>
      </c>
      <c r="V1468" s="14">
        <v>2</v>
      </c>
      <c r="W1468" s="12">
        <v>5.5999999999999999E-3</v>
      </c>
      <c r="X1468" s="12">
        <v>0.60492529664014105</v>
      </c>
      <c r="Y1468" s="14">
        <v>752</v>
      </c>
      <c r="Z1468" s="14">
        <v>39</v>
      </c>
      <c r="AA1468" s="12" t="s">
        <v>2369</v>
      </c>
    </row>
    <row r="1469" spans="1:27" ht="14.25" x14ac:dyDescent="0.45">
      <c r="A1469" s="12" t="s">
        <v>707</v>
      </c>
      <c r="B1469" s="12" t="s">
        <v>1980</v>
      </c>
      <c r="C1469" s="12" t="s">
        <v>1977</v>
      </c>
      <c r="D1469" s="12" t="s">
        <v>1974</v>
      </c>
      <c r="E1469" s="20">
        <v>33906</v>
      </c>
      <c r="F1469" s="20">
        <v>44245</v>
      </c>
      <c r="G1469" s="12">
        <v>27.5</v>
      </c>
      <c r="H1469" s="12">
        <v>10.533333333333299</v>
      </c>
      <c r="I1469" s="13">
        <v>2.6107594936708902</v>
      </c>
      <c r="J1469" s="12" t="s">
        <v>707</v>
      </c>
      <c r="K1469" s="14">
        <v>585</v>
      </c>
      <c r="L1469" s="14">
        <v>917</v>
      </c>
      <c r="M1469" s="14">
        <v>593</v>
      </c>
      <c r="N1469" s="12">
        <v>27.5</v>
      </c>
      <c r="O1469" s="12" t="s">
        <v>707</v>
      </c>
      <c r="P1469" s="12">
        <v>4.4237466721360197E-3</v>
      </c>
      <c r="Q1469" s="12">
        <v>1.1888164411833799E-2</v>
      </c>
      <c r="R1469" s="12">
        <v>0.15927419354838701</v>
      </c>
      <c r="S1469" s="14">
        <v>30</v>
      </c>
      <c r="T1469" s="12">
        <v>0.90890077594471197</v>
      </c>
      <c r="U1469" s="14">
        <v>606</v>
      </c>
      <c r="V1469" s="14">
        <v>1</v>
      </c>
      <c r="W1469" s="12">
        <v>5.4999999999999997E-3</v>
      </c>
      <c r="X1469" s="12">
        <v>0.91440077594471203</v>
      </c>
      <c r="Y1469" s="14">
        <v>606</v>
      </c>
      <c r="Z1469" s="14">
        <v>29</v>
      </c>
      <c r="AA1469" s="12" t="s">
        <v>2367</v>
      </c>
    </row>
    <row r="1470" spans="1:27" ht="14.25" x14ac:dyDescent="0.45">
      <c r="A1470" s="12" t="s">
        <v>709</v>
      </c>
      <c r="B1470" s="12" t="s">
        <v>1980</v>
      </c>
      <c r="C1470" s="12" t="s">
        <v>1977</v>
      </c>
      <c r="D1470" s="12" t="s">
        <v>1982</v>
      </c>
      <c r="E1470" s="20">
        <v>37052</v>
      </c>
      <c r="F1470" s="20">
        <v>44182</v>
      </c>
      <c r="G1470" s="12">
        <v>27.5</v>
      </c>
      <c r="H1470" s="12">
        <v>12.633333333333301</v>
      </c>
      <c r="I1470" s="13">
        <v>2.1767810026385201</v>
      </c>
      <c r="J1470" s="12" t="s">
        <v>709</v>
      </c>
      <c r="K1470" s="14">
        <v>631</v>
      </c>
      <c r="L1470" s="14">
        <v>714</v>
      </c>
      <c r="M1470" s="14">
        <v>593</v>
      </c>
      <c r="N1470" s="12">
        <v>27.5</v>
      </c>
      <c r="O1470" s="12" t="s">
        <v>709</v>
      </c>
      <c r="P1470" s="12">
        <v>4.4237466721360197E-3</v>
      </c>
      <c r="Q1470" s="12">
        <v>9.9120315412651108E-3</v>
      </c>
      <c r="R1470" s="12">
        <v>0.19102822580645201</v>
      </c>
      <c r="S1470" s="14">
        <v>21</v>
      </c>
      <c r="T1470" s="12">
        <v>0.78539247153417002</v>
      </c>
      <c r="U1470" s="14">
        <v>682</v>
      </c>
      <c r="V1470" s="14">
        <v>1</v>
      </c>
      <c r="W1470" s="12">
        <v>5.4999999999999997E-3</v>
      </c>
      <c r="X1470" s="12">
        <v>0.79089247153416997</v>
      </c>
      <c r="Y1470" s="14">
        <v>682</v>
      </c>
      <c r="Z1470" s="14">
        <v>21</v>
      </c>
      <c r="AA1470" s="12" t="s">
        <v>2370</v>
      </c>
    </row>
    <row r="1471" spans="1:27" ht="14.25" x14ac:dyDescent="0.45">
      <c r="A1471" s="12" t="s">
        <v>712</v>
      </c>
      <c r="B1471" s="12" t="s">
        <v>1980</v>
      </c>
      <c r="C1471" s="12" t="s">
        <v>1977</v>
      </c>
      <c r="D1471" s="12" t="s">
        <v>1995</v>
      </c>
      <c r="E1471" s="20">
        <v>35041</v>
      </c>
      <c r="F1471" s="20">
        <v>44244</v>
      </c>
      <c r="G1471" s="12">
        <v>27.5</v>
      </c>
      <c r="H1471" s="12">
        <v>10.5666666666667</v>
      </c>
      <c r="I1471" s="13">
        <v>2.6025236593059899</v>
      </c>
      <c r="J1471" s="12" t="s">
        <v>712</v>
      </c>
      <c r="K1471" s="14">
        <v>587</v>
      </c>
      <c r="L1471" s="14">
        <v>894</v>
      </c>
      <c r="M1471" s="14">
        <v>593</v>
      </c>
      <c r="N1471" s="12">
        <v>27.5</v>
      </c>
      <c r="O1471" s="12" t="s">
        <v>712</v>
      </c>
      <c r="P1471" s="12">
        <v>4.4237466721360197E-3</v>
      </c>
      <c r="Q1471" s="12">
        <v>1.18506623158974E-2</v>
      </c>
      <c r="R1471" s="12">
        <v>0.15977822580645201</v>
      </c>
      <c r="S1471" s="14">
        <v>27</v>
      </c>
      <c r="T1471" s="12">
        <v>0.90655689494868796</v>
      </c>
      <c r="U1471" s="14">
        <v>617</v>
      </c>
      <c r="V1471" s="14">
        <v>1</v>
      </c>
      <c r="W1471" s="12">
        <v>5.4999999999999997E-3</v>
      </c>
      <c r="X1471" s="12">
        <v>0.91205689494868802</v>
      </c>
      <c r="Y1471" s="14">
        <v>617</v>
      </c>
      <c r="Z1471" s="14">
        <v>26</v>
      </c>
      <c r="AA1471" s="12" t="s">
        <v>2367</v>
      </c>
    </row>
    <row r="1472" spans="1:27" ht="14.25" x14ac:dyDescent="0.45">
      <c r="A1472" s="12" t="s">
        <v>716</v>
      </c>
      <c r="B1472" s="12" t="s">
        <v>1980</v>
      </c>
      <c r="C1472" s="12" t="s">
        <v>2368</v>
      </c>
      <c r="D1472" s="12" t="s">
        <v>2368</v>
      </c>
      <c r="E1472" s="20">
        <v>1</v>
      </c>
      <c r="F1472" s="20">
        <v>44244</v>
      </c>
      <c r="G1472" s="12">
        <v>27.5</v>
      </c>
      <c r="H1472" s="12">
        <v>10.5666666666667</v>
      </c>
      <c r="I1472" s="13">
        <v>2.6025236593059899</v>
      </c>
      <c r="J1472" s="12" t="s">
        <v>716</v>
      </c>
      <c r="K1472" s="14">
        <v>587</v>
      </c>
      <c r="L1472" s="14">
        <v>894</v>
      </c>
      <c r="M1472" s="14">
        <v>593</v>
      </c>
      <c r="N1472" s="12">
        <v>27.5</v>
      </c>
      <c r="O1472" s="12" t="s">
        <v>716</v>
      </c>
      <c r="P1472" s="12">
        <v>4.4237466721360197E-3</v>
      </c>
      <c r="Q1472" s="12">
        <v>1.18506623158974E-2</v>
      </c>
      <c r="R1472" s="12">
        <v>0.15977822580645201</v>
      </c>
      <c r="S1472" s="14">
        <v>122</v>
      </c>
      <c r="T1472" s="12">
        <v>0.90655689494868796</v>
      </c>
      <c r="U1472" s="14">
        <v>617</v>
      </c>
      <c r="V1472" s="14">
        <v>1</v>
      </c>
      <c r="W1472" s="12">
        <v>5.4999999999999997E-3</v>
      </c>
      <c r="X1472" s="12">
        <v>0.91205689494868802</v>
      </c>
      <c r="Y1472" s="14">
        <v>617</v>
      </c>
      <c r="Z1472" s="14">
        <v>122</v>
      </c>
      <c r="AA1472" s="12" t="s">
        <v>2372</v>
      </c>
    </row>
    <row r="1473" spans="1:27" ht="14.25" x14ac:dyDescent="0.45">
      <c r="A1473" s="12" t="s">
        <v>718</v>
      </c>
      <c r="B1473" s="12" t="s">
        <v>1980</v>
      </c>
      <c r="C1473" s="12" t="s">
        <v>1977</v>
      </c>
      <c r="D1473" s="12" t="s">
        <v>1982</v>
      </c>
      <c r="E1473" s="20">
        <v>35120</v>
      </c>
      <c r="F1473" s="20">
        <v>42908</v>
      </c>
      <c r="G1473" s="12">
        <v>11.34</v>
      </c>
      <c r="H1473" s="12">
        <v>55.1</v>
      </c>
      <c r="I1473" s="13">
        <v>0.20580762250453699</v>
      </c>
      <c r="J1473" s="12" t="s">
        <v>718</v>
      </c>
      <c r="K1473" s="14">
        <v>1340</v>
      </c>
      <c r="L1473" s="14">
        <v>34</v>
      </c>
      <c r="M1473" s="14">
        <v>822</v>
      </c>
      <c r="N1473" s="12">
        <v>11.34</v>
      </c>
      <c r="O1473" s="12" t="s">
        <v>718</v>
      </c>
      <c r="P1473" s="12">
        <v>1.82419226407355E-3</v>
      </c>
      <c r="Q1473" s="12">
        <v>9.3715061056902902E-4</v>
      </c>
      <c r="R1473" s="12">
        <v>0.83316532258064502</v>
      </c>
      <c r="S1473" s="14">
        <v>26</v>
      </c>
      <c r="T1473" s="12">
        <v>0.12697912306332201</v>
      </c>
      <c r="U1473" s="14">
        <v>1209</v>
      </c>
      <c r="V1473" s="14">
        <v>2</v>
      </c>
      <c r="W1473" s="12">
        <v>5.5999999999999999E-3</v>
      </c>
      <c r="X1473" s="12">
        <v>0.13257912306332201</v>
      </c>
      <c r="Y1473" s="14">
        <v>1209</v>
      </c>
      <c r="Z1473" s="14">
        <v>26</v>
      </c>
      <c r="AA1473" s="12" t="s">
        <v>2367</v>
      </c>
    </row>
    <row r="1474" spans="1:27" ht="14.25" x14ac:dyDescent="0.45">
      <c r="A1474" s="12" t="s">
        <v>722</v>
      </c>
      <c r="B1474" s="12" t="s">
        <v>1980</v>
      </c>
      <c r="C1474" s="12" t="s">
        <v>1996</v>
      </c>
      <c r="D1474" s="12" t="s">
        <v>1974</v>
      </c>
      <c r="E1474" s="20">
        <v>23800</v>
      </c>
      <c r="F1474" s="20">
        <v>44246</v>
      </c>
      <c r="G1474" s="12">
        <v>27.5</v>
      </c>
      <c r="H1474" s="12">
        <v>10.5</v>
      </c>
      <c r="I1474" s="13">
        <v>2.61904761904762</v>
      </c>
      <c r="J1474" s="12" t="s">
        <v>722</v>
      </c>
      <c r="K1474" s="14">
        <v>584</v>
      </c>
      <c r="L1474" s="14">
        <v>927</v>
      </c>
      <c r="M1474" s="14">
        <v>593</v>
      </c>
      <c r="N1474" s="12">
        <v>27.5</v>
      </c>
      <c r="O1474" s="12" t="s">
        <v>722</v>
      </c>
      <c r="P1474" s="12">
        <v>4.4237466721360197E-3</v>
      </c>
      <c r="Q1474" s="12">
        <v>1.19259046163158E-2</v>
      </c>
      <c r="R1474" s="12">
        <v>0.15877016129032301</v>
      </c>
      <c r="S1474" s="14">
        <v>57</v>
      </c>
      <c r="T1474" s="12">
        <v>0.911259538724838</v>
      </c>
      <c r="U1474" s="14">
        <v>593</v>
      </c>
      <c r="V1474" s="14">
        <v>1</v>
      </c>
      <c r="W1474" s="12">
        <v>5.4999999999999997E-3</v>
      </c>
      <c r="X1474" s="12">
        <v>0.91675953872483795</v>
      </c>
      <c r="Y1474" s="14">
        <v>593</v>
      </c>
      <c r="Z1474" s="14">
        <v>57</v>
      </c>
      <c r="AA1474" s="12" t="s">
        <v>2371</v>
      </c>
    </row>
    <row r="1475" spans="1:27" ht="14.25" x14ac:dyDescent="0.45">
      <c r="A1475" s="12" t="s">
        <v>728</v>
      </c>
      <c r="B1475" s="12" t="s">
        <v>1980</v>
      </c>
      <c r="C1475" s="12" t="s">
        <v>1981</v>
      </c>
      <c r="D1475" s="12" t="s">
        <v>1982</v>
      </c>
      <c r="E1475" s="20">
        <v>36816</v>
      </c>
      <c r="F1475" s="20">
        <v>44244</v>
      </c>
      <c r="G1475" s="12">
        <v>27.5</v>
      </c>
      <c r="H1475" s="12">
        <v>10.5666666666667</v>
      </c>
      <c r="I1475" s="13">
        <v>2.6025236593059899</v>
      </c>
      <c r="J1475" s="12" t="s">
        <v>728</v>
      </c>
      <c r="K1475" s="14">
        <v>587</v>
      </c>
      <c r="L1475" s="14">
        <v>894</v>
      </c>
      <c r="M1475" s="14">
        <v>593</v>
      </c>
      <c r="N1475" s="12">
        <v>27.5</v>
      </c>
      <c r="O1475" s="12" t="s">
        <v>728</v>
      </c>
      <c r="P1475" s="12">
        <v>4.4237466721360197E-3</v>
      </c>
      <c r="Q1475" s="12">
        <v>1.18506623158974E-2</v>
      </c>
      <c r="R1475" s="12">
        <v>0.15977822580645201</v>
      </c>
      <c r="S1475" s="14">
        <v>22</v>
      </c>
      <c r="T1475" s="12">
        <v>0.90655689494868796</v>
      </c>
      <c r="U1475" s="14">
        <v>617</v>
      </c>
      <c r="V1475" s="14">
        <v>1</v>
      </c>
      <c r="W1475" s="12">
        <v>5.4999999999999997E-3</v>
      </c>
      <c r="X1475" s="12">
        <v>0.91205689494868802</v>
      </c>
      <c r="Y1475" s="14">
        <v>617</v>
      </c>
      <c r="Z1475" s="14">
        <v>21</v>
      </c>
      <c r="AA1475" s="12" t="s">
        <v>2370</v>
      </c>
    </row>
    <row r="1476" spans="1:27" ht="14.25" x14ac:dyDescent="0.45">
      <c r="A1476" s="12" t="s">
        <v>729</v>
      </c>
      <c r="B1476" s="12" t="s">
        <v>1980</v>
      </c>
      <c r="C1476" s="12" t="s">
        <v>1981</v>
      </c>
      <c r="D1476" s="12" t="s">
        <v>1975</v>
      </c>
      <c r="E1476" s="20">
        <v>36453</v>
      </c>
      <c r="F1476" s="20">
        <v>44244</v>
      </c>
      <c r="G1476" s="12">
        <v>27.5</v>
      </c>
      <c r="H1476" s="12">
        <v>10.5666666666667</v>
      </c>
      <c r="I1476" s="13">
        <v>2.6025236593059899</v>
      </c>
      <c r="J1476" s="12" t="s">
        <v>729</v>
      </c>
      <c r="K1476" s="14">
        <v>587</v>
      </c>
      <c r="L1476" s="14">
        <v>894</v>
      </c>
      <c r="M1476" s="14">
        <v>593</v>
      </c>
      <c r="N1476" s="12">
        <v>27.5</v>
      </c>
      <c r="O1476" s="12" t="s">
        <v>729</v>
      </c>
      <c r="P1476" s="12">
        <v>4.4237466721360197E-3</v>
      </c>
      <c r="Q1476" s="12">
        <v>1.18506623158974E-2</v>
      </c>
      <c r="R1476" s="12">
        <v>0.15977822580645201</v>
      </c>
      <c r="S1476" s="14">
        <v>23</v>
      </c>
      <c r="T1476" s="12">
        <v>0.90655689494868796</v>
      </c>
      <c r="U1476" s="14">
        <v>617</v>
      </c>
      <c r="V1476" s="14">
        <v>1</v>
      </c>
      <c r="W1476" s="12">
        <v>5.4999999999999997E-3</v>
      </c>
      <c r="X1476" s="12">
        <v>0.91205689494868802</v>
      </c>
      <c r="Y1476" s="14">
        <v>617</v>
      </c>
      <c r="Z1476" s="14">
        <v>22</v>
      </c>
      <c r="AA1476" s="12" t="s">
        <v>2370</v>
      </c>
    </row>
    <row r="1477" spans="1:27" ht="14.25" x14ac:dyDescent="0.45">
      <c r="A1477" s="12" t="s">
        <v>730</v>
      </c>
      <c r="B1477" s="12" t="s">
        <v>1980</v>
      </c>
      <c r="C1477" s="12" t="s">
        <v>2368</v>
      </c>
      <c r="D1477" s="12" t="s">
        <v>2368</v>
      </c>
      <c r="E1477" s="20">
        <v>1</v>
      </c>
      <c r="F1477" s="20">
        <v>44244</v>
      </c>
      <c r="G1477" s="12">
        <v>27.5</v>
      </c>
      <c r="H1477" s="12">
        <v>10.5666666666667</v>
      </c>
      <c r="I1477" s="13">
        <v>2.6025236593059899</v>
      </c>
      <c r="J1477" s="12" t="s">
        <v>730</v>
      </c>
      <c r="K1477" s="14">
        <v>587</v>
      </c>
      <c r="L1477" s="14">
        <v>894</v>
      </c>
      <c r="M1477" s="14">
        <v>593</v>
      </c>
      <c r="N1477" s="12">
        <v>27.5</v>
      </c>
      <c r="O1477" s="12" t="s">
        <v>730</v>
      </c>
      <c r="P1477" s="12">
        <v>4.4237466721360197E-3</v>
      </c>
      <c r="Q1477" s="12">
        <v>1.18506623158974E-2</v>
      </c>
      <c r="R1477" s="12">
        <v>0.15977822580645201</v>
      </c>
      <c r="S1477" s="14">
        <v>122</v>
      </c>
      <c r="T1477" s="12">
        <v>0.90655689494868796</v>
      </c>
      <c r="U1477" s="14">
        <v>617</v>
      </c>
      <c r="V1477" s="14">
        <v>1</v>
      </c>
      <c r="W1477" s="12">
        <v>5.4999999999999997E-3</v>
      </c>
      <c r="X1477" s="12">
        <v>0.91205689494868802</v>
      </c>
      <c r="Y1477" s="14">
        <v>617</v>
      </c>
      <c r="Z1477" s="14">
        <v>122</v>
      </c>
      <c r="AA1477" s="12" t="s">
        <v>2372</v>
      </c>
    </row>
    <row r="1478" spans="1:27" ht="14.25" x14ac:dyDescent="0.45">
      <c r="A1478" s="12" t="s">
        <v>736</v>
      </c>
      <c r="B1478" s="12" t="s">
        <v>1980</v>
      </c>
      <c r="C1478" s="12" t="s">
        <v>1981</v>
      </c>
      <c r="D1478" s="12" t="s">
        <v>2072</v>
      </c>
      <c r="E1478" s="20">
        <v>21151</v>
      </c>
      <c r="F1478" s="20">
        <v>44124</v>
      </c>
      <c r="G1478" s="12">
        <v>237.5</v>
      </c>
      <c r="H1478" s="12">
        <v>14.5666666666667</v>
      </c>
      <c r="I1478" s="13">
        <v>16.304347826087</v>
      </c>
      <c r="J1478" s="12" t="s">
        <v>736</v>
      </c>
      <c r="K1478" s="14">
        <v>169</v>
      </c>
      <c r="L1478" s="14">
        <v>557</v>
      </c>
      <c r="M1478" s="14">
        <v>264</v>
      </c>
      <c r="N1478" s="12">
        <v>237.5</v>
      </c>
      <c r="O1478" s="12" t="s">
        <v>736</v>
      </c>
      <c r="P1478" s="12">
        <v>3.82050848957202E-2</v>
      </c>
      <c r="Q1478" s="12">
        <v>7.4242291583784106E-2</v>
      </c>
      <c r="R1478" s="12">
        <v>0.22026209677419401</v>
      </c>
      <c r="S1478" s="14">
        <v>65</v>
      </c>
      <c r="T1478" s="12">
        <v>6.07283390757601</v>
      </c>
      <c r="U1478" s="14">
        <v>218</v>
      </c>
      <c r="V1478" s="14">
        <v>2</v>
      </c>
      <c r="W1478" s="12">
        <v>5.5999999999999999E-3</v>
      </c>
      <c r="X1478" s="12">
        <v>6.0784339075760103</v>
      </c>
      <c r="Y1478" s="14">
        <v>218</v>
      </c>
      <c r="Z1478" s="14">
        <v>64</v>
      </c>
      <c r="AA1478" s="12" t="s">
        <v>2371</v>
      </c>
    </row>
    <row r="1479" spans="1:27" ht="14.25" x14ac:dyDescent="0.45">
      <c r="A1479" s="12" t="s">
        <v>740</v>
      </c>
      <c r="B1479" s="12" t="s">
        <v>1980</v>
      </c>
      <c r="C1479" s="12" t="s">
        <v>1977</v>
      </c>
      <c r="D1479" s="12" t="s">
        <v>1978</v>
      </c>
      <c r="E1479" s="20">
        <v>34566</v>
      </c>
      <c r="F1479" s="20">
        <v>44245</v>
      </c>
      <c r="G1479" s="12">
        <v>27.5</v>
      </c>
      <c r="H1479" s="12">
        <v>10.533333333333299</v>
      </c>
      <c r="I1479" s="13">
        <v>2.6107594936708902</v>
      </c>
      <c r="J1479" s="12" t="s">
        <v>740</v>
      </c>
      <c r="K1479" s="14">
        <v>585</v>
      </c>
      <c r="L1479" s="14">
        <v>917</v>
      </c>
      <c r="M1479" s="14">
        <v>593</v>
      </c>
      <c r="N1479" s="12">
        <v>27.5</v>
      </c>
      <c r="O1479" s="12" t="s">
        <v>740</v>
      </c>
      <c r="P1479" s="12">
        <v>4.4237466721360197E-3</v>
      </c>
      <c r="Q1479" s="12">
        <v>1.1888164411833799E-2</v>
      </c>
      <c r="R1479" s="12">
        <v>0.15927419354838701</v>
      </c>
      <c r="S1479" s="14">
        <v>28</v>
      </c>
      <c r="T1479" s="12">
        <v>0.90890077594471197</v>
      </c>
      <c r="U1479" s="14">
        <v>606</v>
      </c>
      <c r="V1479" s="14">
        <v>1</v>
      </c>
      <c r="W1479" s="12">
        <v>5.4999999999999997E-3</v>
      </c>
      <c r="X1479" s="12">
        <v>0.91440077594471203</v>
      </c>
      <c r="Y1479" s="14">
        <v>606</v>
      </c>
      <c r="Z1479" s="14">
        <v>27</v>
      </c>
      <c r="AA1479" s="12" t="s">
        <v>2367</v>
      </c>
    </row>
    <row r="1480" spans="1:27" ht="14.25" x14ac:dyDescent="0.45">
      <c r="A1480" s="12" t="s">
        <v>747</v>
      </c>
      <c r="B1480" s="12" t="s">
        <v>1980</v>
      </c>
      <c r="C1480" s="12" t="s">
        <v>1996</v>
      </c>
      <c r="D1480" s="12" t="s">
        <v>1974</v>
      </c>
      <c r="E1480" s="20">
        <v>30672</v>
      </c>
      <c r="F1480" s="20">
        <v>44246</v>
      </c>
      <c r="G1480" s="12">
        <v>0.2</v>
      </c>
      <c r="H1480" s="12">
        <v>10.5</v>
      </c>
      <c r="I1480" s="13">
        <v>1.9047619047619001E-2</v>
      </c>
      <c r="J1480" s="12" t="s">
        <v>747</v>
      </c>
      <c r="K1480" s="14">
        <v>1691</v>
      </c>
      <c r="L1480" s="14">
        <v>927</v>
      </c>
      <c r="M1480" s="14">
        <v>1780</v>
      </c>
      <c r="N1480" s="12">
        <v>0.2</v>
      </c>
      <c r="O1480" s="12" t="s">
        <v>747</v>
      </c>
      <c r="P1480" s="12">
        <v>3.2172703070080199E-5</v>
      </c>
      <c r="Q1480" s="12">
        <v>8.6733851755023999E-5</v>
      </c>
      <c r="R1480" s="12">
        <v>0.15877016129032301</v>
      </c>
      <c r="S1480" s="14">
        <v>39</v>
      </c>
      <c r="T1480" s="12">
        <v>6.6273420998169998E-3</v>
      </c>
      <c r="U1480" s="14">
        <v>1796</v>
      </c>
      <c r="V1480" s="14">
        <v>1</v>
      </c>
      <c r="W1480" s="12">
        <v>5.4999999999999997E-3</v>
      </c>
      <c r="X1480" s="12">
        <v>1.2127342099816999E-2</v>
      </c>
      <c r="Y1480" s="14">
        <v>1797</v>
      </c>
      <c r="Z1480" s="14">
        <v>38</v>
      </c>
      <c r="AA1480" s="12" t="s">
        <v>2369</v>
      </c>
    </row>
    <row r="1481" spans="1:27" ht="14.25" x14ac:dyDescent="0.45">
      <c r="A1481" s="12" t="s">
        <v>755</v>
      </c>
      <c r="B1481" s="12" t="s">
        <v>1980</v>
      </c>
      <c r="C1481" s="12" t="s">
        <v>1977</v>
      </c>
      <c r="D1481" s="12" t="s">
        <v>1978</v>
      </c>
      <c r="E1481" s="20">
        <v>31688</v>
      </c>
      <c r="F1481" s="20">
        <v>44249</v>
      </c>
      <c r="G1481" s="12">
        <v>5.96</v>
      </c>
      <c r="H1481" s="12">
        <v>10.4</v>
      </c>
      <c r="I1481" s="13">
        <v>0.57307692307692304</v>
      </c>
      <c r="J1481" s="12" t="s">
        <v>755</v>
      </c>
      <c r="K1481" s="14">
        <v>1009</v>
      </c>
      <c r="L1481" s="14">
        <v>957</v>
      </c>
      <c r="M1481" s="14">
        <v>965</v>
      </c>
      <c r="N1481" s="12">
        <v>5.96</v>
      </c>
      <c r="O1481" s="12" t="s">
        <v>755</v>
      </c>
      <c r="P1481" s="12">
        <v>9.5874655148838904E-4</v>
      </c>
      <c r="Q1481" s="12">
        <v>2.6095213667449001E-3</v>
      </c>
      <c r="R1481" s="12">
        <v>0.157258064516129</v>
      </c>
      <c r="S1481" s="14">
        <v>36</v>
      </c>
      <c r="T1481" s="12">
        <v>0.19904808110237099</v>
      </c>
      <c r="U1481" s="14">
        <v>1047</v>
      </c>
      <c r="V1481" s="14">
        <v>4</v>
      </c>
      <c r="W1481" s="12">
        <v>5.7999999999999996E-3</v>
      </c>
      <c r="X1481" s="12">
        <v>0.20484808110237099</v>
      </c>
      <c r="Y1481" s="14">
        <v>1046</v>
      </c>
      <c r="Z1481" s="14">
        <v>35</v>
      </c>
      <c r="AA1481" s="12" t="s">
        <v>2369</v>
      </c>
    </row>
    <row r="1482" spans="1:27" ht="14.25" x14ac:dyDescent="0.45">
      <c r="A1482" s="12" t="s">
        <v>756</v>
      </c>
      <c r="B1482" s="12" t="s">
        <v>1980</v>
      </c>
      <c r="C1482" s="12" t="s">
        <v>1977</v>
      </c>
      <c r="D1482" s="12" t="s">
        <v>2026</v>
      </c>
      <c r="E1482" s="20">
        <v>36664</v>
      </c>
      <c r="F1482" s="20">
        <v>44245</v>
      </c>
      <c r="G1482" s="12">
        <v>27.5</v>
      </c>
      <c r="H1482" s="12">
        <v>10.533333333333299</v>
      </c>
      <c r="I1482" s="13">
        <v>2.6107594936708902</v>
      </c>
      <c r="J1482" s="12" t="s">
        <v>756</v>
      </c>
      <c r="K1482" s="14">
        <v>585</v>
      </c>
      <c r="L1482" s="14">
        <v>917</v>
      </c>
      <c r="M1482" s="14">
        <v>593</v>
      </c>
      <c r="N1482" s="12">
        <v>27.5</v>
      </c>
      <c r="O1482" s="12" t="s">
        <v>756</v>
      </c>
      <c r="P1482" s="12">
        <v>4.4237466721360197E-3</v>
      </c>
      <c r="Q1482" s="12">
        <v>1.1888164411833799E-2</v>
      </c>
      <c r="R1482" s="12">
        <v>0.15927419354838701</v>
      </c>
      <c r="S1482" s="14">
        <v>22</v>
      </c>
      <c r="T1482" s="12">
        <v>0.90890077594471197</v>
      </c>
      <c r="U1482" s="14">
        <v>606</v>
      </c>
      <c r="V1482" s="14">
        <v>1</v>
      </c>
      <c r="W1482" s="12">
        <v>5.4999999999999997E-3</v>
      </c>
      <c r="X1482" s="12">
        <v>0.91440077594471203</v>
      </c>
      <c r="Y1482" s="14">
        <v>606</v>
      </c>
      <c r="Z1482" s="14">
        <v>22</v>
      </c>
      <c r="AA1482" s="12" t="s">
        <v>2370</v>
      </c>
    </row>
    <row r="1483" spans="1:27" ht="14.25" x14ac:dyDescent="0.45">
      <c r="A1483" s="12" t="s">
        <v>757</v>
      </c>
      <c r="B1483" s="12" t="s">
        <v>1980</v>
      </c>
      <c r="C1483" s="12" t="s">
        <v>1981</v>
      </c>
      <c r="D1483" s="12" t="s">
        <v>1993</v>
      </c>
      <c r="E1483" s="20">
        <v>36287</v>
      </c>
      <c r="F1483" s="20">
        <v>44244</v>
      </c>
      <c r="G1483" s="12">
        <v>27.5</v>
      </c>
      <c r="H1483" s="12">
        <v>10.5666666666667</v>
      </c>
      <c r="I1483" s="13">
        <v>2.6025236593059899</v>
      </c>
      <c r="J1483" s="12" t="s">
        <v>757</v>
      </c>
      <c r="K1483" s="14">
        <v>587</v>
      </c>
      <c r="L1483" s="14">
        <v>894</v>
      </c>
      <c r="M1483" s="14">
        <v>593</v>
      </c>
      <c r="N1483" s="12">
        <v>27.5</v>
      </c>
      <c r="O1483" s="12" t="s">
        <v>757</v>
      </c>
      <c r="P1483" s="12">
        <v>4.4237466721360197E-3</v>
      </c>
      <c r="Q1483" s="12">
        <v>1.18506623158974E-2</v>
      </c>
      <c r="R1483" s="12">
        <v>0.15977822580645201</v>
      </c>
      <c r="S1483" s="14">
        <v>23</v>
      </c>
      <c r="T1483" s="12">
        <v>0.90655689494868796</v>
      </c>
      <c r="U1483" s="14">
        <v>617</v>
      </c>
      <c r="V1483" s="14">
        <v>1</v>
      </c>
      <c r="W1483" s="12">
        <v>5.4999999999999997E-3</v>
      </c>
      <c r="X1483" s="12">
        <v>0.91205689494868802</v>
      </c>
      <c r="Y1483" s="14">
        <v>617</v>
      </c>
      <c r="Z1483" s="14">
        <v>23</v>
      </c>
      <c r="AA1483" s="12" t="s">
        <v>2370</v>
      </c>
    </row>
    <row r="1484" spans="1:27" ht="14.25" x14ac:dyDescent="0.45">
      <c r="A1484" s="12" t="s">
        <v>763</v>
      </c>
      <c r="B1484" s="12" t="s">
        <v>1980</v>
      </c>
      <c r="C1484" s="12" t="s">
        <v>1981</v>
      </c>
      <c r="D1484" s="12" t="s">
        <v>1975</v>
      </c>
      <c r="E1484" s="20">
        <v>36628</v>
      </c>
      <c r="F1484" s="20">
        <v>44244</v>
      </c>
      <c r="G1484" s="12">
        <v>27.5</v>
      </c>
      <c r="H1484" s="12">
        <v>10.5666666666667</v>
      </c>
      <c r="I1484" s="13">
        <v>2.6025236593059899</v>
      </c>
      <c r="J1484" s="12" t="s">
        <v>763</v>
      </c>
      <c r="K1484" s="14">
        <v>587</v>
      </c>
      <c r="L1484" s="14">
        <v>894</v>
      </c>
      <c r="M1484" s="14">
        <v>593</v>
      </c>
      <c r="N1484" s="12">
        <v>27.5</v>
      </c>
      <c r="O1484" s="12" t="s">
        <v>763</v>
      </c>
      <c r="P1484" s="12">
        <v>4.4237466721360197E-3</v>
      </c>
      <c r="Q1484" s="12">
        <v>1.18506623158974E-2</v>
      </c>
      <c r="R1484" s="12">
        <v>0.15977822580645201</v>
      </c>
      <c r="S1484" s="14">
        <v>22</v>
      </c>
      <c r="T1484" s="12">
        <v>0.90655689494868796</v>
      </c>
      <c r="U1484" s="14">
        <v>617</v>
      </c>
      <c r="V1484" s="14">
        <v>1</v>
      </c>
      <c r="W1484" s="12">
        <v>5.4999999999999997E-3</v>
      </c>
      <c r="X1484" s="12">
        <v>0.91205689494868802</v>
      </c>
      <c r="Y1484" s="14">
        <v>617</v>
      </c>
      <c r="Z1484" s="14">
        <v>22</v>
      </c>
      <c r="AA1484" s="12" t="s">
        <v>2370</v>
      </c>
    </row>
    <row r="1485" spans="1:27" ht="14.25" x14ac:dyDescent="0.45">
      <c r="A1485" s="12" t="s">
        <v>764</v>
      </c>
      <c r="B1485" s="12" t="s">
        <v>1980</v>
      </c>
      <c r="C1485" s="12" t="s">
        <v>1981</v>
      </c>
      <c r="D1485" s="12" t="s">
        <v>1975</v>
      </c>
      <c r="E1485" s="20">
        <v>36258</v>
      </c>
      <c r="F1485" s="20">
        <v>43318</v>
      </c>
      <c r="G1485" s="12">
        <v>6.48</v>
      </c>
      <c r="H1485" s="12">
        <v>41.433333333333302</v>
      </c>
      <c r="I1485" s="13">
        <v>0.15639581657280799</v>
      </c>
      <c r="J1485" s="12" t="s">
        <v>764</v>
      </c>
      <c r="K1485" s="14">
        <v>1401</v>
      </c>
      <c r="L1485" s="14">
        <v>141</v>
      </c>
      <c r="M1485" s="14">
        <v>939</v>
      </c>
      <c r="N1485" s="12">
        <v>6.48</v>
      </c>
      <c r="O1485" s="12" t="s">
        <v>764</v>
      </c>
      <c r="P1485" s="12">
        <v>1.0423955794706E-3</v>
      </c>
      <c r="Q1485" s="12">
        <v>7.1215260741092101E-4</v>
      </c>
      <c r="R1485" s="12">
        <v>0.62651209677419295</v>
      </c>
      <c r="S1485" s="14">
        <v>23</v>
      </c>
      <c r="T1485" s="12">
        <v>8.3599372193329996E-2</v>
      </c>
      <c r="U1485" s="14">
        <v>1343</v>
      </c>
      <c r="V1485" s="14">
        <v>5</v>
      </c>
      <c r="W1485" s="12">
        <v>5.8999999999999999E-3</v>
      </c>
      <c r="X1485" s="12">
        <v>8.9499372193329998E-2</v>
      </c>
      <c r="Y1485" s="14">
        <v>1340</v>
      </c>
      <c r="Z1485" s="14">
        <v>23</v>
      </c>
      <c r="AA1485" s="12" t="s">
        <v>2370</v>
      </c>
    </row>
    <row r="1486" spans="1:27" ht="14.25" x14ac:dyDescent="0.45">
      <c r="A1486" s="12" t="s">
        <v>771</v>
      </c>
      <c r="B1486" s="12" t="s">
        <v>1980</v>
      </c>
      <c r="C1486" s="12" t="s">
        <v>1981</v>
      </c>
      <c r="D1486" s="12" t="s">
        <v>1975</v>
      </c>
      <c r="E1486" s="20">
        <v>24083</v>
      </c>
      <c r="F1486" s="20">
        <v>44249</v>
      </c>
      <c r="G1486" s="12">
        <v>10.09</v>
      </c>
      <c r="H1486" s="12">
        <v>10.4</v>
      </c>
      <c r="I1486" s="13">
        <v>0.97019230769230802</v>
      </c>
      <c r="J1486" s="12" t="s">
        <v>771</v>
      </c>
      <c r="K1486" s="14">
        <v>830</v>
      </c>
      <c r="L1486" s="14">
        <v>957</v>
      </c>
      <c r="M1486" s="14">
        <v>839</v>
      </c>
      <c r="N1486" s="12">
        <v>10.09</v>
      </c>
      <c r="O1486" s="12" t="s">
        <v>771</v>
      </c>
      <c r="P1486" s="12">
        <v>1.62311286988555E-3</v>
      </c>
      <c r="Q1486" s="12">
        <v>4.4177970789355796E-3</v>
      </c>
      <c r="R1486" s="12">
        <v>0.157258064516129</v>
      </c>
      <c r="S1486" s="14">
        <v>57</v>
      </c>
      <c r="T1486" s="12">
        <v>0.33697905005418199</v>
      </c>
      <c r="U1486" s="14">
        <v>886</v>
      </c>
      <c r="V1486" s="14">
        <v>2</v>
      </c>
      <c r="W1486" s="12">
        <v>5.5999999999999999E-3</v>
      </c>
      <c r="X1486" s="12">
        <v>0.34257905005418199</v>
      </c>
      <c r="Y1486" s="14">
        <v>886</v>
      </c>
      <c r="Z1486" s="14">
        <v>56</v>
      </c>
      <c r="AA1486" s="12" t="s">
        <v>2371</v>
      </c>
    </row>
    <row r="1487" spans="1:27" ht="14.25" x14ac:dyDescent="0.45">
      <c r="A1487" s="12" t="s">
        <v>773</v>
      </c>
      <c r="B1487" s="12" t="s">
        <v>1980</v>
      </c>
      <c r="C1487" s="12" t="s">
        <v>2368</v>
      </c>
      <c r="D1487" s="12" t="s">
        <v>2368</v>
      </c>
      <c r="E1487" s="20">
        <v>1</v>
      </c>
      <c r="F1487" s="20">
        <v>44103</v>
      </c>
      <c r="G1487" s="12">
        <v>27.5</v>
      </c>
      <c r="H1487" s="12">
        <v>15.266666666666699</v>
      </c>
      <c r="I1487" s="13">
        <v>1.80131004366812</v>
      </c>
      <c r="J1487" s="12" t="s">
        <v>773</v>
      </c>
      <c r="K1487" s="14">
        <v>690</v>
      </c>
      <c r="L1487" s="14">
        <v>496</v>
      </c>
      <c r="M1487" s="14">
        <v>593</v>
      </c>
      <c r="N1487" s="12">
        <v>27.5</v>
      </c>
      <c r="O1487" s="12" t="s">
        <v>773</v>
      </c>
      <c r="P1487" s="12">
        <v>4.4237466721360197E-3</v>
      </c>
      <c r="Q1487" s="12">
        <v>8.2023143103482007E-3</v>
      </c>
      <c r="R1487" s="12">
        <v>0.23084677419354799</v>
      </c>
      <c r="S1487" s="14">
        <v>122</v>
      </c>
      <c r="T1487" s="12">
        <v>0.67853514460186304</v>
      </c>
      <c r="U1487" s="14">
        <v>729</v>
      </c>
      <c r="V1487" s="14">
        <v>1</v>
      </c>
      <c r="W1487" s="12">
        <v>5.4999999999999997E-3</v>
      </c>
      <c r="X1487" s="12">
        <v>0.68403514460186299</v>
      </c>
      <c r="Y1487" s="14">
        <v>729</v>
      </c>
      <c r="Z1487" s="14">
        <v>122</v>
      </c>
      <c r="AA1487" s="12" t="s">
        <v>2372</v>
      </c>
    </row>
    <row r="1488" spans="1:27" ht="14.25" x14ac:dyDescent="0.45">
      <c r="A1488" s="12" t="s">
        <v>802</v>
      </c>
      <c r="B1488" s="12" t="s">
        <v>1980</v>
      </c>
      <c r="C1488" s="12" t="s">
        <v>1977</v>
      </c>
      <c r="D1488" s="12" t="s">
        <v>2020</v>
      </c>
      <c r="E1488" s="20">
        <v>24019</v>
      </c>
      <c r="F1488" s="20">
        <v>43283</v>
      </c>
      <c r="G1488" s="12">
        <v>78.02</v>
      </c>
      <c r="H1488" s="12">
        <v>42.6</v>
      </c>
      <c r="I1488" s="13">
        <v>1.8314553990610301</v>
      </c>
      <c r="J1488" s="12" t="s">
        <v>802</v>
      </c>
      <c r="K1488" s="14">
        <v>683</v>
      </c>
      <c r="L1488" s="14">
        <v>112</v>
      </c>
      <c r="M1488" s="14">
        <v>411</v>
      </c>
      <c r="N1488" s="12">
        <v>78.02</v>
      </c>
      <c r="O1488" s="12" t="s">
        <v>802</v>
      </c>
      <c r="P1488" s="12">
        <v>1.25505714676383E-2</v>
      </c>
      <c r="Q1488" s="12">
        <v>8.3395820066001405E-3</v>
      </c>
      <c r="R1488" s="12">
        <v>0.64415322580645196</v>
      </c>
      <c r="S1488" s="14">
        <v>57</v>
      </c>
      <c r="T1488" s="12">
        <v>0.99187030544894395</v>
      </c>
      <c r="U1488" s="14">
        <v>572</v>
      </c>
      <c r="V1488" s="14">
        <v>12</v>
      </c>
      <c r="W1488" s="12">
        <v>6.6E-3</v>
      </c>
      <c r="X1488" s="12">
        <v>0.998470305448944</v>
      </c>
      <c r="Y1488" s="14">
        <v>571</v>
      </c>
      <c r="Z1488" s="14">
        <v>56</v>
      </c>
      <c r="AA1488" s="12" t="s">
        <v>2371</v>
      </c>
    </row>
    <row r="1489" spans="1:27" ht="14.25" x14ac:dyDescent="0.45">
      <c r="A1489" s="12" t="s">
        <v>828</v>
      </c>
      <c r="B1489" s="12" t="s">
        <v>1980</v>
      </c>
      <c r="C1489" s="12" t="s">
        <v>1977</v>
      </c>
      <c r="D1489" s="12" t="s">
        <v>1993</v>
      </c>
      <c r="E1489" s="20">
        <v>33934</v>
      </c>
      <c r="F1489" s="20">
        <v>44299</v>
      </c>
      <c r="G1489" s="12">
        <v>2</v>
      </c>
      <c r="H1489" s="12">
        <v>8.7333333333333307</v>
      </c>
      <c r="I1489" s="13">
        <v>0.229007633587786</v>
      </c>
      <c r="J1489" s="12" t="s">
        <v>828</v>
      </c>
      <c r="K1489" s="14">
        <v>1306</v>
      </c>
      <c r="L1489" s="14">
        <v>1164</v>
      </c>
      <c r="M1489" s="14">
        <v>1359</v>
      </c>
      <c r="N1489" s="12">
        <v>2</v>
      </c>
      <c r="O1489" s="12" t="s">
        <v>828</v>
      </c>
      <c r="P1489" s="12">
        <v>3.2172703070080199E-4</v>
      </c>
      <c r="Q1489" s="12">
        <v>1.04279249247452E-3</v>
      </c>
      <c r="R1489" s="12">
        <v>0.132056451612903</v>
      </c>
      <c r="S1489" s="14">
        <v>30</v>
      </c>
      <c r="T1489" s="12">
        <v>7.7239294430937896E-2</v>
      </c>
      <c r="U1489" s="14">
        <v>1386</v>
      </c>
      <c r="V1489" s="14">
        <v>1</v>
      </c>
      <c r="W1489" s="12">
        <v>5.4999999999999997E-3</v>
      </c>
      <c r="X1489" s="12">
        <v>8.2739294430937901E-2</v>
      </c>
      <c r="Y1489" s="14">
        <v>1386</v>
      </c>
      <c r="Z1489" s="14">
        <v>29</v>
      </c>
      <c r="AA1489" s="12" t="s">
        <v>2367</v>
      </c>
    </row>
    <row r="1490" spans="1:27" ht="14.25" x14ac:dyDescent="0.45">
      <c r="A1490" s="12" t="s">
        <v>839</v>
      </c>
      <c r="B1490" s="12" t="s">
        <v>1980</v>
      </c>
      <c r="C1490" s="12" t="s">
        <v>1981</v>
      </c>
      <c r="D1490" s="12" t="s">
        <v>1978</v>
      </c>
      <c r="E1490" s="20">
        <v>21071</v>
      </c>
      <c r="F1490" s="20">
        <v>44244</v>
      </c>
      <c r="G1490" s="12">
        <v>27.5</v>
      </c>
      <c r="H1490" s="12">
        <v>10.5666666666667</v>
      </c>
      <c r="I1490" s="13">
        <v>2.6025236593059899</v>
      </c>
      <c r="J1490" s="12" t="s">
        <v>839</v>
      </c>
      <c r="K1490" s="14">
        <v>587</v>
      </c>
      <c r="L1490" s="14">
        <v>894</v>
      </c>
      <c r="M1490" s="14">
        <v>593</v>
      </c>
      <c r="N1490" s="12">
        <v>27.5</v>
      </c>
      <c r="O1490" s="12" t="s">
        <v>839</v>
      </c>
      <c r="P1490" s="12">
        <v>4.4237466721360197E-3</v>
      </c>
      <c r="Q1490" s="12">
        <v>1.18506623158974E-2</v>
      </c>
      <c r="R1490" s="12">
        <v>0.15977822580645201</v>
      </c>
      <c r="S1490" s="14">
        <v>65</v>
      </c>
      <c r="T1490" s="12">
        <v>0.90655689494868796</v>
      </c>
      <c r="U1490" s="14">
        <v>617</v>
      </c>
      <c r="V1490" s="14">
        <v>1</v>
      </c>
      <c r="W1490" s="12">
        <v>5.4999999999999997E-3</v>
      </c>
      <c r="X1490" s="12">
        <v>0.91205689494868802</v>
      </c>
      <c r="Y1490" s="14">
        <v>617</v>
      </c>
      <c r="Z1490" s="14">
        <v>64</v>
      </c>
      <c r="AA1490" s="12" t="s">
        <v>2371</v>
      </c>
    </row>
    <row r="1491" spans="1:27" ht="14.25" x14ac:dyDescent="0.45">
      <c r="A1491" s="12" t="s">
        <v>842</v>
      </c>
      <c r="B1491" s="12" t="s">
        <v>1980</v>
      </c>
      <c r="C1491" s="12" t="s">
        <v>1996</v>
      </c>
      <c r="D1491" s="12" t="s">
        <v>2026</v>
      </c>
      <c r="E1491" s="20">
        <v>31401</v>
      </c>
      <c r="F1491" s="20">
        <v>44307</v>
      </c>
      <c r="G1491" s="12">
        <v>2</v>
      </c>
      <c r="H1491" s="12">
        <v>8.4666666666666703</v>
      </c>
      <c r="I1491" s="13">
        <v>0.23622047244094499</v>
      </c>
      <c r="J1491" s="12" t="s">
        <v>842</v>
      </c>
      <c r="K1491" s="14">
        <v>1295</v>
      </c>
      <c r="L1491" s="14">
        <v>1215</v>
      </c>
      <c r="M1491" s="14">
        <v>1359</v>
      </c>
      <c r="N1491" s="12">
        <v>2</v>
      </c>
      <c r="O1491" s="12" t="s">
        <v>842</v>
      </c>
      <c r="P1491" s="12">
        <v>3.2172703070080199E-4</v>
      </c>
      <c r="Q1491" s="12">
        <v>1.0756363505052199E-3</v>
      </c>
      <c r="R1491" s="12">
        <v>0.12802419354838701</v>
      </c>
      <c r="S1491" s="14">
        <v>37</v>
      </c>
      <c r="T1491" s="12">
        <v>7.9292035557856202E-2</v>
      </c>
      <c r="U1491" s="14">
        <v>1359</v>
      </c>
      <c r="V1491" s="14">
        <v>1</v>
      </c>
      <c r="W1491" s="12">
        <v>5.4999999999999997E-3</v>
      </c>
      <c r="X1491" s="12">
        <v>8.4792035557856194E-2</v>
      </c>
      <c r="Y1491" s="14">
        <v>1359</v>
      </c>
      <c r="Z1491" s="14">
        <v>36</v>
      </c>
      <c r="AA1491" s="12" t="s">
        <v>2369</v>
      </c>
    </row>
    <row r="1492" spans="1:27" ht="14.25" x14ac:dyDescent="0.45">
      <c r="A1492" s="12" t="s">
        <v>859</v>
      </c>
      <c r="B1492" s="12" t="s">
        <v>1980</v>
      </c>
      <c r="C1492" s="12" t="s">
        <v>1975</v>
      </c>
      <c r="D1492" s="12" t="s">
        <v>1975</v>
      </c>
      <c r="E1492" s="20">
        <v>33018</v>
      </c>
      <c r="F1492" s="20">
        <v>43746</v>
      </c>
      <c r="G1492" s="12">
        <v>1.61</v>
      </c>
      <c r="H1492" s="12">
        <v>27.1666666666667</v>
      </c>
      <c r="I1492" s="13">
        <v>5.9263803680981601E-2</v>
      </c>
      <c r="J1492" s="12" t="s">
        <v>859</v>
      </c>
      <c r="K1492" s="14">
        <v>1582</v>
      </c>
      <c r="L1492" s="14">
        <v>314</v>
      </c>
      <c r="M1492" s="14">
        <v>1466</v>
      </c>
      <c r="N1492" s="12">
        <v>1.61</v>
      </c>
      <c r="O1492" s="12" t="s">
        <v>859</v>
      </c>
      <c r="P1492" s="12">
        <v>2.58990259714145E-4</v>
      </c>
      <c r="Q1492" s="12">
        <v>2.6985934305251798E-4</v>
      </c>
      <c r="R1492" s="12">
        <v>0.41078629032258102</v>
      </c>
      <c r="S1492" s="14">
        <v>32</v>
      </c>
      <c r="T1492" s="12">
        <v>2.6578343680062799E-2</v>
      </c>
      <c r="U1492" s="14">
        <v>1650</v>
      </c>
      <c r="V1492" s="14">
        <v>1</v>
      </c>
      <c r="W1492" s="12">
        <v>5.4999999999999997E-3</v>
      </c>
      <c r="X1492" s="12">
        <v>3.20783436800628E-2</v>
      </c>
      <c r="Y1492" s="14">
        <v>1650</v>
      </c>
      <c r="Z1492" s="14">
        <v>32</v>
      </c>
      <c r="AA1492" s="12" t="s">
        <v>2367</v>
      </c>
    </row>
    <row r="1493" spans="1:27" ht="14.25" x14ac:dyDescent="0.45">
      <c r="A1493" s="12" t="s">
        <v>881</v>
      </c>
      <c r="B1493" s="12" t="s">
        <v>1980</v>
      </c>
      <c r="C1493" s="12" t="s">
        <v>1974</v>
      </c>
      <c r="D1493" s="12" t="s">
        <v>1982</v>
      </c>
      <c r="E1493" s="20">
        <v>35668</v>
      </c>
      <c r="F1493" s="20">
        <v>43767</v>
      </c>
      <c r="G1493" s="12">
        <v>0.95</v>
      </c>
      <c r="H1493" s="12">
        <v>26.466666666666701</v>
      </c>
      <c r="I1493" s="13">
        <v>3.5894206549118401E-2</v>
      </c>
      <c r="J1493" s="12" t="s">
        <v>881</v>
      </c>
      <c r="K1493" s="14">
        <v>1639</v>
      </c>
      <c r="L1493" s="14">
        <v>347</v>
      </c>
      <c r="M1493" s="14">
        <v>1568</v>
      </c>
      <c r="N1493" s="12">
        <v>0.95</v>
      </c>
      <c r="O1493" s="12" t="s">
        <v>881</v>
      </c>
      <c r="P1493" s="12">
        <v>1.5282033958288101E-4</v>
      </c>
      <c r="Q1493" s="12">
        <v>1.6344524645901099E-4</v>
      </c>
      <c r="R1493" s="12">
        <v>0.40020161290322598</v>
      </c>
      <c r="S1493" s="14">
        <v>25</v>
      </c>
      <c r="T1493" s="12">
        <v>1.5946090638046199E-2</v>
      </c>
      <c r="U1493" s="14">
        <v>1710</v>
      </c>
      <c r="V1493" s="14">
        <v>1</v>
      </c>
      <c r="W1493" s="12">
        <v>5.4999999999999997E-3</v>
      </c>
      <c r="X1493" s="12">
        <v>2.14460906380462E-2</v>
      </c>
      <c r="Y1493" s="14">
        <v>1711</v>
      </c>
      <c r="Z1493" s="14">
        <v>24</v>
      </c>
      <c r="AA1493" s="12" t="s">
        <v>2370</v>
      </c>
    </row>
    <row r="1494" spans="1:27" ht="14.25" x14ac:dyDescent="0.45">
      <c r="A1494" s="12" t="s">
        <v>895</v>
      </c>
      <c r="B1494" s="12" t="s">
        <v>1980</v>
      </c>
      <c r="C1494" s="12" t="s">
        <v>1977</v>
      </c>
      <c r="D1494" s="12" t="s">
        <v>1982</v>
      </c>
      <c r="E1494" s="20">
        <v>35124</v>
      </c>
      <c r="F1494" s="20">
        <v>44246</v>
      </c>
      <c r="G1494" s="12">
        <v>4.6900000000000004</v>
      </c>
      <c r="H1494" s="12">
        <v>10.5</v>
      </c>
      <c r="I1494" s="13">
        <v>0.44666666666666699</v>
      </c>
      <c r="J1494" s="12" t="s">
        <v>895</v>
      </c>
      <c r="K1494" s="14">
        <v>1104</v>
      </c>
      <c r="L1494" s="14">
        <v>927</v>
      </c>
      <c r="M1494" s="14">
        <v>1056</v>
      </c>
      <c r="N1494" s="12">
        <v>4.6900000000000004</v>
      </c>
      <c r="O1494" s="12" t="s">
        <v>895</v>
      </c>
      <c r="P1494" s="12">
        <v>7.5444988699338003E-4</v>
      </c>
      <c r="Q1494" s="12">
        <v>2.0339088236553098E-3</v>
      </c>
      <c r="R1494" s="12">
        <v>0.15877016129032301</v>
      </c>
      <c r="S1494" s="14">
        <v>26</v>
      </c>
      <c r="T1494" s="12">
        <v>0.15541117224070899</v>
      </c>
      <c r="U1494" s="14">
        <v>1138</v>
      </c>
      <c r="V1494" s="14">
        <v>1</v>
      </c>
      <c r="W1494" s="12">
        <v>5.4999999999999997E-3</v>
      </c>
      <c r="X1494" s="12">
        <v>0.160911172240709</v>
      </c>
      <c r="Y1494" s="14">
        <v>1138</v>
      </c>
      <c r="Z1494" s="14">
        <v>26</v>
      </c>
      <c r="AA1494" s="12" t="s">
        <v>2367</v>
      </c>
    </row>
    <row r="1495" spans="1:27" ht="14.25" x14ac:dyDescent="0.45">
      <c r="A1495" s="12" t="s">
        <v>912</v>
      </c>
      <c r="B1495" s="12" t="s">
        <v>1980</v>
      </c>
      <c r="C1495" s="12" t="s">
        <v>2232</v>
      </c>
      <c r="D1495" s="12" t="s">
        <v>1974</v>
      </c>
      <c r="E1495" s="20">
        <v>30414</v>
      </c>
      <c r="F1495" s="20">
        <v>44284</v>
      </c>
      <c r="G1495" s="12">
        <v>2.31</v>
      </c>
      <c r="H1495" s="12">
        <v>9.2333333333333307</v>
      </c>
      <c r="I1495" s="13">
        <v>0.25018050541516201</v>
      </c>
      <c r="J1495" s="12" t="s">
        <v>912</v>
      </c>
      <c r="K1495" s="14">
        <v>1277</v>
      </c>
      <c r="L1495" s="14">
        <v>1104</v>
      </c>
      <c r="M1495" s="14">
        <v>1301</v>
      </c>
      <c r="N1495" s="12">
        <v>2.31</v>
      </c>
      <c r="O1495" s="12" t="s">
        <v>912</v>
      </c>
      <c r="P1495" s="12">
        <v>3.71594720459426E-4</v>
      </c>
      <c r="Q1495" s="12">
        <v>1.1392037406054701E-3</v>
      </c>
      <c r="R1495" s="12">
        <v>0.139616935483871</v>
      </c>
      <c r="S1495" s="14">
        <v>39</v>
      </c>
      <c r="T1495" s="12">
        <v>8.5135035805070494E-2</v>
      </c>
      <c r="U1495" s="14">
        <v>1337</v>
      </c>
      <c r="V1495" s="14">
        <v>1</v>
      </c>
      <c r="W1495" s="12">
        <v>5.4999999999999997E-3</v>
      </c>
      <c r="X1495" s="12">
        <v>9.0635035805070499E-2</v>
      </c>
      <c r="Y1495" s="14">
        <v>1337</v>
      </c>
      <c r="Z1495" s="14">
        <v>39</v>
      </c>
      <c r="AA1495" s="12" t="s">
        <v>2369</v>
      </c>
    </row>
    <row r="1496" spans="1:27" ht="14.25" x14ac:dyDescent="0.45">
      <c r="A1496" s="12" t="s">
        <v>914</v>
      </c>
      <c r="B1496" s="12" t="s">
        <v>1980</v>
      </c>
      <c r="C1496" s="12" t="s">
        <v>1981</v>
      </c>
      <c r="D1496" s="12" t="s">
        <v>1974</v>
      </c>
      <c r="E1496" s="20">
        <v>22208</v>
      </c>
      <c r="F1496" s="20">
        <v>44246</v>
      </c>
      <c r="G1496" s="12">
        <v>4.47</v>
      </c>
      <c r="H1496" s="12">
        <v>10.5</v>
      </c>
      <c r="I1496" s="13">
        <v>0.42571428571428599</v>
      </c>
      <c r="J1496" s="12" t="s">
        <v>914</v>
      </c>
      <c r="K1496" s="14">
        <v>1122</v>
      </c>
      <c r="L1496" s="14">
        <v>927</v>
      </c>
      <c r="M1496" s="14">
        <v>1074</v>
      </c>
      <c r="N1496" s="12">
        <v>4.47</v>
      </c>
      <c r="O1496" s="12" t="s">
        <v>914</v>
      </c>
      <c r="P1496" s="12">
        <v>7.1905991361629197E-4</v>
      </c>
      <c r="Q1496" s="12">
        <v>1.9385015867247901E-3</v>
      </c>
      <c r="R1496" s="12">
        <v>0.15877016129032301</v>
      </c>
      <c r="S1496" s="14">
        <v>62</v>
      </c>
      <c r="T1496" s="12">
        <v>0.14812109593091</v>
      </c>
      <c r="U1496" s="14">
        <v>1164</v>
      </c>
      <c r="V1496" s="14">
        <v>1</v>
      </c>
      <c r="W1496" s="12">
        <v>5.4999999999999997E-3</v>
      </c>
      <c r="X1496" s="12">
        <v>0.15362109593091</v>
      </c>
      <c r="Y1496" s="14">
        <v>1164</v>
      </c>
      <c r="Z1496" s="14">
        <v>61</v>
      </c>
      <c r="AA1496" s="12" t="s">
        <v>2371</v>
      </c>
    </row>
    <row r="1497" spans="1:27" ht="14.25" x14ac:dyDescent="0.45">
      <c r="A1497" s="12" t="s">
        <v>982</v>
      </c>
      <c r="B1497" s="12" t="s">
        <v>1980</v>
      </c>
      <c r="C1497" s="12" t="s">
        <v>1977</v>
      </c>
      <c r="D1497" s="12" t="s">
        <v>1982</v>
      </c>
      <c r="E1497" s="20">
        <v>36693</v>
      </c>
      <c r="F1497" s="20">
        <v>44267</v>
      </c>
      <c r="G1497" s="12">
        <v>47.44</v>
      </c>
      <c r="H1497" s="12">
        <v>9.8000000000000007</v>
      </c>
      <c r="I1497" s="13">
        <v>4.8408163265306099</v>
      </c>
      <c r="J1497" s="12" t="s">
        <v>982</v>
      </c>
      <c r="K1497" s="14">
        <v>454</v>
      </c>
      <c r="L1497" s="14">
        <v>989</v>
      </c>
      <c r="M1497" s="14">
        <v>493</v>
      </c>
      <c r="N1497" s="12">
        <v>47.44</v>
      </c>
      <c r="O1497" s="12" t="s">
        <v>982</v>
      </c>
      <c r="P1497" s="12">
        <v>7.6313651682230199E-3</v>
      </c>
      <c r="Q1497" s="12">
        <v>2.2042788896026799E-2</v>
      </c>
      <c r="R1497" s="12">
        <v>0.148185483870968</v>
      </c>
      <c r="S1497" s="14">
        <v>22</v>
      </c>
      <c r="T1497" s="12">
        <v>1.6638504998100401</v>
      </c>
      <c r="U1497" s="14">
        <v>467</v>
      </c>
      <c r="V1497" s="14">
        <v>4</v>
      </c>
      <c r="W1497" s="12">
        <v>5.7999999999999996E-3</v>
      </c>
      <c r="X1497" s="12">
        <v>1.6696504998100401</v>
      </c>
      <c r="Y1497" s="14">
        <v>467</v>
      </c>
      <c r="Z1497" s="14">
        <v>22</v>
      </c>
      <c r="AA1497" s="12" t="s">
        <v>2370</v>
      </c>
    </row>
    <row r="1498" spans="1:27" ht="14.25" x14ac:dyDescent="0.45">
      <c r="A1498" s="12" t="s">
        <v>986</v>
      </c>
      <c r="B1498" s="12" t="s">
        <v>1980</v>
      </c>
      <c r="C1498" s="12" t="s">
        <v>1981</v>
      </c>
      <c r="D1498" s="12" t="s">
        <v>1982</v>
      </c>
      <c r="E1498" s="20">
        <v>36586</v>
      </c>
      <c r="F1498" s="20">
        <v>44287</v>
      </c>
      <c r="G1498" s="12">
        <v>2</v>
      </c>
      <c r="H1498" s="12">
        <v>9.1333333333333293</v>
      </c>
      <c r="I1498" s="13">
        <v>0.218978102189781</v>
      </c>
      <c r="J1498" s="12" t="s">
        <v>986</v>
      </c>
      <c r="K1498" s="14">
        <v>1320</v>
      </c>
      <c r="L1498" s="14">
        <v>1119</v>
      </c>
      <c r="M1498" s="14">
        <v>1359</v>
      </c>
      <c r="N1498" s="12">
        <v>2</v>
      </c>
      <c r="O1498" s="12" t="s">
        <v>986</v>
      </c>
      <c r="P1498" s="12">
        <v>3.2172703070080199E-4</v>
      </c>
      <c r="Q1498" s="12">
        <v>9.9712274827856002E-4</v>
      </c>
      <c r="R1498" s="12">
        <v>0.13810483870967699</v>
      </c>
      <c r="S1498" s="14">
        <v>22</v>
      </c>
      <c r="T1498" s="12">
        <v>7.4384935418690096E-2</v>
      </c>
      <c r="U1498" s="14">
        <v>1410</v>
      </c>
      <c r="V1498" s="14">
        <v>1</v>
      </c>
      <c r="W1498" s="12">
        <v>5.4999999999999997E-3</v>
      </c>
      <c r="X1498" s="12">
        <v>7.9884935418690101E-2</v>
      </c>
      <c r="Y1498" s="14">
        <v>1410</v>
      </c>
      <c r="Z1498" s="14">
        <v>22</v>
      </c>
      <c r="AA1498" s="12" t="s">
        <v>2370</v>
      </c>
    </row>
    <row r="1499" spans="1:27" ht="14.25" x14ac:dyDescent="0.45">
      <c r="A1499" s="12" t="s">
        <v>987</v>
      </c>
      <c r="B1499" s="12" t="s">
        <v>1980</v>
      </c>
      <c r="C1499" s="12" t="s">
        <v>2368</v>
      </c>
      <c r="D1499" s="12" t="s">
        <v>2368</v>
      </c>
      <c r="E1499" s="20">
        <v>1</v>
      </c>
      <c r="F1499" s="20">
        <v>44245</v>
      </c>
      <c r="G1499" s="12">
        <v>27.5</v>
      </c>
      <c r="H1499" s="12">
        <v>10.533333333333299</v>
      </c>
      <c r="I1499" s="13">
        <v>2.6107594936708902</v>
      </c>
      <c r="J1499" s="12" t="s">
        <v>987</v>
      </c>
      <c r="K1499" s="14">
        <v>585</v>
      </c>
      <c r="L1499" s="14">
        <v>917</v>
      </c>
      <c r="M1499" s="14">
        <v>593</v>
      </c>
      <c r="N1499" s="12">
        <v>27.5</v>
      </c>
      <c r="O1499" s="12" t="s">
        <v>987</v>
      </c>
      <c r="P1499" s="12">
        <v>4.4237466721360197E-3</v>
      </c>
      <c r="Q1499" s="12">
        <v>1.1888164411833799E-2</v>
      </c>
      <c r="R1499" s="12">
        <v>0.15927419354838701</v>
      </c>
      <c r="S1499" s="14">
        <v>122</v>
      </c>
      <c r="T1499" s="12">
        <v>0.90890077594471197</v>
      </c>
      <c r="U1499" s="14">
        <v>606</v>
      </c>
      <c r="V1499" s="14">
        <v>1</v>
      </c>
      <c r="W1499" s="12">
        <v>5.4999999999999997E-3</v>
      </c>
      <c r="X1499" s="12">
        <v>0.91440077594471203</v>
      </c>
      <c r="Y1499" s="14">
        <v>606</v>
      </c>
      <c r="Z1499" s="14">
        <v>122</v>
      </c>
      <c r="AA1499" s="12" t="s">
        <v>2372</v>
      </c>
    </row>
    <row r="1500" spans="1:27" ht="14.25" x14ac:dyDescent="0.45">
      <c r="A1500" s="12" t="s">
        <v>1070</v>
      </c>
      <c r="B1500" s="12" t="s">
        <v>1980</v>
      </c>
      <c r="C1500" s="12" t="s">
        <v>1996</v>
      </c>
      <c r="D1500" s="12" t="s">
        <v>2020</v>
      </c>
      <c r="E1500" s="20">
        <v>25880</v>
      </c>
      <c r="F1500" s="20">
        <v>43531</v>
      </c>
      <c r="G1500" s="12">
        <v>0.89</v>
      </c>
      <c r="H1500" s="12">
        <v>34.3333333333333</v>
      </c>
      <c r="I1500" s="13">
        <v>2.5922330097087401E-2</v>
      </c>
      <c r="J1500" s="12" t="s">
        <v>1070</v>
      </c>
      <c r="K1500" s="14">
        <v>1669</v>
      </c>
      <c r="L1500" s="14">
        <v>232</v>
      </c>
      <c r="M1500" s="14">
        <v>1581</v>
      </c>
      <c r="N1500" s="12">
        <v>0.89</v>
      </c>
      <c r="O1500" s="12" t="s">
        <v>1070</v>
      </c>
      <c r="P1500" s="12">
        <v>1.4316852866185699E-4</v>
      </c>
      <c r="Q1500" s="12">
        <v>1.1803803562874299E-4</v>
      </c>
      <c r="R1500" s="12">
        <v>0.51915322580645196</v>
      </c>
      <c r="S1500" s="14">
        <v>52</v>
      </c>
      <c r="T1500" s="12">
        <v>1.2746197051616E-2</v>
      </c>
      <c r="U1500" s="14">
        <v>1734</v>
      </c>
      <c r="V1500" s="14">
        <v>1</v>
      </c>
      <c r="W1500" s="12">
        <v>5.4999999999999997E-3</v>
      </c>
      <c r="X1500" s="12">
        <v>1.8246197051615998E-2</v>
      </c>
      <c r="Y1500" s="14">
        <v>1734</v>
      </c>
      <c r="Z1500" s="14">
        <v>51</v>
      </c>
      <c r="AA1500" s="12" t="s">
        <v>2371</v>
      </c>
    </row>
    <row r="1501" spans="1:27" ht="14.25" x14ac:dyDescent="0.45">
      <c r="A1501" s="12" t="s">
        <v>1071</v>
      </c>
      <c r="B1501" s="12" t="s">
        <v>1980</v>
      </c>
      <c r="C1501" s="12" t="s">
        <v>1977</v>
      </c>
      <c r="D1501" s="12" t="s">
        <v>1975</v>
      </c>
      <c r="E1501" s="20">
        <v>22614</v>
      </c>
      <c r="F1501" s="20">
        <v>44246</v>
      </c>
      <c r="G1501" s="12">
        <v>5.9</v>
      </c>
      <c r="H1501" s="12">
        <v>10.5</v>
      </c>
      <c r="I1501" s="13">
        <v>0.56190476190476202</v>
      </c>
      <c r="J1501" s="12" t="s">
        <v>1071</v>
      </c>
      <c r="K1501" s="14">
        <v>1014</v>
      </c>
      <c r="L1501" s="14">
        <v>927</v>
      </c>
      <c r="M1501" s="14">
        <v>975</v>
      </c>
      <c r="N1501" s="12">
        <v>5.9</v>
      </c>
      <c r="O1501" s="12" t="s">
        <v>1071</v>
      </c>
      <c r="P1501" s="12">
        <v>9.4909474056736496E-4</v>
      </c>
      <c r="Q1501" s="12">
        <v>2.5586486267732099E-3</v>
      </c>
      <c r="R1501" s="12">
        <v>0.15877016129032301</v>
      </c>
      <c r="S1501" s="14">
        <v>61</v>
      </c>
      <c r="T1501" s="12">
        <v>0.19550659194460199</v>
      </c>
      <c r="U1501" s="14">
        <v>1060</v>
      </c>
      <c r="V1501" s="14">
        <v>3</v>
      </c>
      <c r="W1501" s="12">
        <v>5.7000000000000002E-3</v>
      </c>
      <c r="X1501" s="12">
        <v>0.201206591944602</v>
      </c>
      <c r="Y1501" s="14">
        <v>1060</v>
      </c>
      <c r="Z1501" s="14">
        <v>60</v>
      </c>
      <c r="AA1501" s="12" t="s">
        <v>2371</v>
      </c>
    </row>
    <row r="1502" spans="1:27" ht="14.25" x14ac:dyDescent="0.45">
      <c r="A1502" s="12" t="s">
        <v>1116</v>
      </c>
      <c r="B1502" s="12" t="s">
        <v>1980</v>
      </c>
      <c r="C1502" s="12" t="s">
        <v>1996</v>
      </c>
      <c r="D1502" s="12" t="s">
        <v>1993</v>
      </c>
      <c r="E1502" s="20">
        <v>35288</v>
      </c>
      <c r="F1502" s="20">
        <v>44301</v>
      </c>
      <c r="G1502" s="12">
        <v>17.48</v>
      </c>
      <c r="H1502" s="12">
        <v>8.6666666666666696</v>
      </c>
      <c r="I1502" s="13">
        <v>2.0169230769230801</v>
      </c>
      <c r="J1502" s="12" t="s">
        <v>1116</v>
      </c>
      <c r="K1502" s="14">
        <v>654</v>
      </c>
      <c r="L1502" s="14">
        <v>1179</v>
      </c>
      <c r="M1502" s="14">
        <v>745</v>
      </c>
      <c r="N1502" s="12">
        <v>17.48</v>
      </c>
      <c r="O1502" s="12" t="s">
        <v>1116</v>
      </c>
      <c r="P1502" s="12">
        <v>2.81189424832501E-3</v>
      </c>
      <c r="Q1502" s="12">
        <v>9.1841141256444794E-3</v>
      </c>
      <c r="R1502" s="12">
        <v>0.13104838709677399</v>
      </c>
      <c r="S1502" s="14">
        <v>26</v>
      </c>
      <c r="T1502" s="12">
        <v>0.67945316716496795</v>
      </c>
      <c r="U1502" s="14">
        <v>726</v>
      </c>
      <c r="V1502" s="14">
        <v>4</v>
      </c>
      <c r="W1502" s="12">
        <v>5.7999999999999996E-3</v>
      </c>
      <c r="X1502" s="12">
        <v>0.68525316716496798</v>
      </c>
      <c r="Y1502" s="14">
        <v>726</v>
      </c>
      <c r="Z1502" s="14">
        <v>25</v>
      </c>
      <c r="AA1502" s="12" t="s">
        <v>2367</v>
      </c>
    </row>
    <row r="1503" spans="1:27" ht="14.25" x14ac:dyDescent="0.45">
      <c r="A1503" s="12" t="s">
        <v>1121</v>
      </c>
      <c r="B1503" s="12" t="s">
        <v>1980</v>
      </c>
      <c r="C1503" s="12" t="s">
        <v>1977</v>
      </c>
      <c r="D1503" s="12" t="s">
        <v>1978</v>
      </c>
      <c r="E1503" s="20">
        <v>35202</v>
      </c>
      <c r="F1503" s="20">
        <v>44321</v>
      </c>
      <c r="G1503" s="12">
        <v>2.4900000000000002</v>
      </c>
      <c r="H1503" s="12">
        <v>8</v>
      </c>
      <c r="I1503" s="13">
        <v>0.31125000000000003</v>
      </c>
      <c r="J1503" s="12" t="s">
        <v>1121</v>
      </c>
      <c r="K1503" s="14">
        <v>1218</v>
      </c>
      <c r="L1503" s="14">
        <v>1238</v>
      </c>
      <c r="M1503" s="14">
        <v>1274</v>
      </c>
      <c r="N1503" s="12">
        <v>2.4900000000000002</v>
      </c>
      <c r="O1503" s="12" t="s">
        <v>1121</v>
      </c>
      <c r="P1503" s="12">
        <v>4.0055015322249801E-4</v>
      </c>
      <c r="Q1503" s="12">
        <v>1.41728534633444E-3</v>
      </c>
      <c r="R1503" s="12">
        <v>0.120967741935484</v>
      </c>
      <c r="S1503" s="14">
        <v>26</v>
      </c>
      <c r="T1503" s="12">
        <v>0.103600964891746</v>
      </c>
      <c r="U1503" s="14">
        <v>1282</v>
      </c>
      <c r="V1503" s="14">
        <v>1</v>
      </c>
      <c r="W1503" s="12">
        <v>5.4999999999999997E-3</v>
      </c>
      <c r="X1503" s="12">
        <v>0.10910096489174601</v>
      </c>
      <c r="Y1503" s="14">
        <v>1283</v>
      </c>
      <c r="Z1503" s="14">
        <v>26</v>
      </c>
      <c r="AA1503" s="12" t="s">
        <v>2367</v>
      </c>
    </row>
    <row r="1504" spans="1:27" ht="14.25" x14ac:dyDescent="0.45">
      <c r="A1504" s="12" t="s">
        <v>1143</v>
      </c>
      <c r="B1504" s="12" t="s">
        <v>1980</v>
      </c>
      <c r="C1504" s="12" t="s">
        <v>1981</v>
      </c>
      <c r="D1504" s="12" t="s">
        <v>1982</v>
      </c>
      <c r="E1504" s="20">
        <v>36091</v>
      </c>
      <c r="F1504" s="20">
        <v>43487</v>
      </c>
      <c r="G1504" s="12">
        <v>8.73</v>
      </c>
      <c r="H1504" s="12">
        <v>35.799999999999997</v>
      </c>
      <c r="I1504" s="13">
        <v>0.24385474860335199</v>
      </c>
      <c r="J1504" s="12" t="s">
        <v>1143</v>
      </c>
      <c r="K1504" s="14">
        <v>1285</v>
      </c>
      <c r="L1504" s="14">
        <v>222</v>
      </c>
      <c r="M1504" s="14">
        <v>869</v>
      </c>
      <c r="N1504" s="12">
        <v>8.73</v>
      </c>
      <c r="O1504" s="12" t="s">
        <v>1143</v>
      </c>
      <c r="P1504" s="12">
        <v>1.4043384890089999E-3</v>
      </c>
      <c r="Q1504" s="12">
        <v>1.11039923479389E-3</v>
      </c>
      <c r="R1504" s="12">
        <v>0.54133064516129004</v>
      </c>
      <c r="S1504" s="14">
        <v>24</v>
      </c>
      <c r="T1504" s="12">
        <v>0.12206264551245601</v>
      </c>
      <c r="U1504" s="14">
        <v>1225</v>
      </c>
      <c r="V1504" s="14">
        <v>2</v>
      </c>
      <c r="W1504" s="12">
        <v>5.5999999999999999E-3</v>
      </c>
      <c r="X1504" s="12">
        <v>0.12766264551245601</v>
      </c>
      <c r="Y1504" s="14">
        <v>1225</v>
      </c>
      <c r="Z1504" s="14">
        <v>23</v>
      </c>
      <c r="AA1504" s="12" t="s">
        <v>2370</v>
      </c>
    </row>
    <row r="1505" spans="1:27" ht="14.25" x14ac:dyDescent="0.45">
      <c r="A1505" s="12" t="s">
        <v>1156</v>
      </c>
      <c r="B1505" s="12" t="s">
        <v>1980</v>
      </c>
      <c r="C1505" s="12" t="s">
        <v>1977</v>
      </c>
      <c r="D1505" s="12" t="s">
        <v>2072</v>
      </c>
      <c r="E1505" s="20">
        <v>34302</v>
      </c>
      <c r="F1505" s="20">
        <v>44279</v>
      </c>
      <c r="G1505" s="12">
        <v>44.39</v>
      </c>
      <c r="H1505" s="12">
        <v>9.4</v>
      </c>
      <c r="I1505" s="13">
        <v>4.7223404255319101</v>
      </c>
      <c r="J1505" s="12" t="s">
        <v>1156</v>
      </c>
      <c r="K1505" s="14">
        <v>456</v>
      </c>
      <c r="L1505" s="14">
        <v>1056</v>
      </c>
      <c r="M1505" s="14">
        <v>500</v>
      </c>
      <c r="N1505" s="12">
        <v>44.39</v>
      </c>
      <c r="O1505" s="12" t="s">
        <v>1156</v>
      </c>
      <c r="P1505" s="12">
        <v>7.1407314464042998E-3</v>
      </c>
      <c r="Q1505" s="12">
        <v>2.1503305656254201E-2</v>
      </c>
      <c r="R1505" s="12">
        <v>0.14213709677419401</v>
      </c>
      <c r="S1505" s="14">
        <v>29</v>
      </c>
      <c r="T1505" s="12">
        <v>1.6117340327560501</v>
      </c>
      <c r="U1505" s="14">
        <v>474</v>
      </c>
      <c r="V1505" s="14">
        <v>10</v>
      </c>
      <c r="W1505" s="12">
        <v>6.4000000000000003E-3</v>
      </c>
      <c r="X1505" s="12">
        <v>1.6181340327560501</v>
      </c>
      <c r="Y1505" s="14">
        <v>474</v>
      </c>
      <c r="Z1505" s="14">
        <v>28</v>
      </c>
      <c r="AA1505" s="12" t="s">
        <v>2367</v>
      </c>
    </row>
    <row r="1506" spans="1:27" ht="14.25" x14ac:dyDescent="0.45">
      <c r="A1506" s="12" t="s">
        <v>1183</v>
      </c>
      <c r="B1506" s="12" t="s">
        <v>1980</v>
      </c>
      <c r="C1506" s="12" t="s">
        <v>1977</v>
      </c>
      <c r="D1506" s="12" t="s">
        <v>1974</v>
      </c>
      <c r="E1506" s="20">
        <v>33064</v>
      </c>
      <c r="F1506" s="20">
        <v>44372</v>
      </c>
      <c r="G1506" s="12">
        <v>0.32</v>
      </c>
      <c r="H1506" s="12">
        <v>6.3</v>
      </c>
      <c r="I1506" s="13">
        <v>5.0793650793650801E-2</v>
      </c>
      <c r="J1506" s="12" t="s">
        <v>1183</v>
      </c>
      <c r="K1506" s="14">
        <v>1606</v>
      </c>
      <c r="L1506" s="14">
        <v>1606</v>
      </c>
      <c r="M1506" s="14">
        <v>1730</v>
      </c>
      <c r="N1506" s="12">
        <v>0.32</v>
      </c>
      <c r="O1506" s="12" t="s">
        <v>1183</v>
      </c>
      <c r="P1506" s="12">
        <v>5.1476324912128303E-5</v>
      </c>
      <c r="Q1506" s="12">
        <v>2.3129027134673099E-4</v>
      </c>
      <c r="R1506" s="12">
        <v>9.5262096774193505E-2</v>
      </c>
      <c r="S1506" s="14">
        <v>32</v>
      </c>
      <c r="T1506" s="12">
        <v>1.6386004143375502E-2</v>
      </c>
      <c r="U1506" s="14">
        <v>1708</v>
      </c>
      <c r="V1506" s="14">
        <v>1</v>
      </c>
      <c r="W1506" s="12">
        <v>5.4999999999999997E-3</v>
      </c>
      <c r="X1506" s="12">
        <v>2.18860041433755E-2</v>
      </c>
      <c r="Y1506" s="14">
        <v>1708</v>
      </c>
      <c r="Z1506" s="14">
        <v>32</v>
      </c>
      <c r="AA1506" s="12" t="s">
        <v>2367</v>
      </c>
    </row>
    <row r="1507" spans="1:27" ht="14.25" x14ac:dyDescent="0.45">
      <c r="A1507" s="12" t="s">
        <v>1217</v>
      </c>
      <c r="B1507" s="12" t="s">
        <v>1980</v>
      </c>
      <c r="C1507" s="12" t="s">
        <v>1981</v>
      </c>
      <c r="D1507" s="12" t="s">
        <v>1993</v>
      </c>
      <c r="E1507" s="20">
        <v>37632</v>
      </c>
      <c r="F1507" s="20">
        <v>44299</v>
      </c>
      <c r="G1507" s="12">
        <v>9.9700000000000006</v>
      </c>
      <c r="H1507" s="12">
        <v>8.7333333333333307</v>
      </c>
      <c r="I1507" s="13">
        <v>1.14160305343511</v>
      </c>
      <c r="J1507" s="12" t="s">
        <v>1217</v>
      </c>
      <c r="K1507" s="14">
        <v>780</v>
      </c>
      <c r="L1507" s="14">
        <v>1164</v>
      </c>
      <c r="M1507" s="14">
        <v>845</v>
      </c>
      <c r="N1507" s="12">
        <v>9.9700000000000006</v>
      </c>
      <c r="O1507" s="12" t="s">
        <v>1217</v>
      </c>
      <c r="P1507" s="12">
        <v>1.6038092480434999E-3</v>
      </c>
      <c r="Q1507" s="12">
        <v>5.1983205749855099E-3</v>
      </c>
      <c r="R1507" s="12">
        <v>0.132056451612903</v>
      </c>
      <c r="S1507" s="14">
        <v>19</v>
      </c>
      <c r="T1507" s="12">
        <v>0.38503788273822498</v>
      </c>
      <c r="U1507" s="14">
        <v>842</v>
      </c>
      <c r="V1507" s="14">
        <v>2</v>
      </c>
      <c r="W1507" s="12">
        <v>5.5999999999999999E-3</v>
      </c>
      <c r="X1507" s="12">
        <v>0.39063788273822497</v>
      </c>
      <c r="Y1507" s="14">
        <v>842</v>
      </c>
      <c r="Z1507" s="14">
        <v>19</v>
      </c>
      <c r="AA1507" s="12" t="s">
        <v>2370</v>
      </c>
    </row>
    <row r="1508" spans="1:27" ht="14.25" x14ac:dyDescent="0.45">
      <c r="A1508" s="12" t="s">
        <v>1245</v>
      </c>
      <c r="B1508" s="12" t="s">
        <v>1980</v>
      </c>
      <c r="C1508" s="12" t="s">
        <v>1977</v>
      </c>
      <c r="D1508" s="12" t="s">
        <v>1982</v>
      </c>
      <c r="E1508" s="20">
        <v>36660</v>
      </c>
      <c r="F1508" s="20">
        <v>44280</v>
      </c>
      <c r="G1508" s="12">
        <v>7.01</v>
      </c>
      <c r="H1508" s="12">
        <v>9.3666666666666707</v>
      </c>
      <c r="I1508" s="13">
        <v>0.748398576512455</v>
      </c>
      <c r="J1508" s="12" t="s">
        <v>1245</v>
      </c>
      <c r="K1508" s="14">
        <v>911</v>
      </c>
      <c r="L1508" s="14">
        <v>1063</v>
      </c>
      <c r="M1508" s="14">
        <v>921</v>
      </c>
      <c r="N1508" s="12">
        <v>7.01</v>
      </c>
      <c r="O1508" s="12" t="s">
        <v>1245</v>
      </c>
      <c r="P1508" s="12">
        <v>1.12765324260631E-3</v>
      </c>
      <c r="Q1508" s="12">
        <v>3.40785328741737E-3</v>
      </c>
      <c r="R1508" s="12">
        <v>0.141633064516129</v>
      </c>
      <c r="S1508" s="14">
        <v>22</v>
      </c>
      <c r="T1508" s="12">
        <v>0.25527782706132202</v>
      </c>
      <c r="U1508" s="14">
        <v>963</v>
      </c>
      <c r="V1508" s="14">
        <v>1</v>
      </c>
      <c r="W1508" s="12">
        <v>5.4999999999999997E-3</v>
      </c>
      <c r="X1508" s="12">
        <v>0.26077782706132202</v>
      </c>
      <c r="Y1508" s="14">
        <v>963</v>
      </c>
      <c r="Z1508" s="14">
        <v>22</v>
      </c>
      <c r="AA1508" s="12" t="s">
        <v>2370</v>
      </c>
    </row>
    <row r="1509" spans="1:27" ht="14.25" x14ac:dyDescent="0.45">
      <c r="A1509" s="12" t="s">
        <v>1271</v>
      </c>
      <c r="B1509" s="12" t="s">
        <v>1980</v>
      </c>
      <c r="C1509" s="12" t="s">
        <v>1977</v>
      </c>
      <c r="D1509" s="12" t="s">
        <v>1982</v>
      </c>
      <c r="E1509" s="20">
        <v>34563</v>
      </c>
      <c r="F1509" s="20">
        <v>42891</v>
      </c>
      <c r="G1509" s="12">
        <v>0.73</v>
      </c>
      <c r="H1509" s="12">
        <v>55.6666666666667</v>
      </c>
      <c r="I1509" s="13">
        <v>1.31137724550898E-2</v>
      </c>
      <c r="J1509" s="12" t="s">
        <v>1271</v>
      </c>
      <c r="K1509" s="14">
        <v>1719</v>
      </c>
      <c r="L1509" s="14">
        <v>30</v>
      </c>
      <c r="M1509" s="14">
        <v>1617</v>
      </c>
      <c r="N1509" s="12">
        <v>0.73</v>
      </c>
      <c r="O1509" s="12" t="s">
        <v>1271</v>
      </c>
      <c r="P1509" s="12">
        <v>1.17430366205793E-4</v>
      </c>
      <c r="Q1509" s="12">
        <v>5.9713919793616098E-5</v>
      </c>
      <c r="R1509" s="12">
        <v>0.84173387096774199</v>
      </c>
      <c r="S1509" s="14">
        <v>28</v>
      </c>
      <c r="T1509" s="12">
        <v>8.1357587198182292E-3</v>
      </c>
      <c r="U1509" s="14">
        <v>1774</v>
      </c>
      <c r="V1509" s="14">
        <v>1</v>
      </c>
      <c r="W1509" s="12">
        <v>5.4999999999999997E-3</v>
      </c>
      <c r="X1509" s="12">
        <v>1.3635758719818199E-2</v>
      </c>
      <c r="Y1509" s="14">
        <v>1774</v>
      </c>
      <c r="Z1509" s="14">
        <v>27</v>
      </c>
      <c r="AA1509" s="12" t="s">
        <v>2367</v>
      </c>
    </row>
    <row r="1510" spans="1:27" ht="14.25" x14ac:dyDescent="0.45">
      <c r="A1510" s="12" t="s">
        <v>1380</v>
      </c>
      <c r="B1510" s="12" t="s">
        <v>1980</v>
      </c>
      <c r="C1510" s="12" t="s">
        <v>1977</v>
      </c>
      <c r="D1510" s="12" t="s">
        <v>1974</v>
      </c>
      <c r="E1510" s="20">
        <v>30345</v>
      </c>
      <c r="F1510" s="20">
        <v>44263</v>
      </c>
      <c r="G1510" s="12">
        <v>2.4900000000000002</v>
      </c>
      <c r="H1510" s="12">
        <v>9.93333333333333</v>
      </c>
      <c r="I1510" s="13">
        <v>0.25067114093959703</v>
      </c>
      <c r="J1510" s="12" t="s">
        <v>1380</v>
      </c>
      <c r="K1510" s="14">
        <v>1275</v>
      </c>
      <c r="L1510" s="14">
        <v>962</v>
      </c>
      <c r="M1510" s="14">
        <v>1274</v>
      </c>
      <c r="N1510" s="12">
        <v>2.4900000000000002</v>
      </c>
      <c r="O1510" s="12" t="s">
        <v>1380</v>
      </c>
      <c r="P1510" s="12">
        <v>4.0055015322249801E-4</v>
      </c>
      <c r="Q1510" s="12">
        <v>1.14143786281968E-3</v>
      </c>
      <c r="R1510" s="12">
        <v>0.15020161290322601</v>
      </c>
      <c r="S1510" s="14">
        <v>39</v>
      </c>
      <c r="T1510" s="12">
        <v>8.6360497172073794E-2</v>
      </c>
      <c r="U1510" s="14">
        <v>1332</v>
      </c>
      <c r="V1510" s="14">
        <v>2</v>
      </c>
      <c r="W1510" s="12">
        <v>5.5999999999999999E-3</v>
      </c>
      <c r="X1510" s="12">
        <v>9.1960497172073802E-2</v>
      </c>
      <c r="Y1510" s="14">
        <v>1332</v>
      </c>
      <c r="Z1510" s="14">
        <v>39</v>
      </c>
      <c r="AA1510" s="12" t="s">
        <v>2369</v>
      </c>
    </row>
    <row r="1511" spans="1:27" ht="14.25" x14ac:dyDescent="0.45">
      <c r="A1511" s="12" t="s">
        <v>1399</v>
      </c>
      <c r="B1511" s="12" t="s">
        <v>1980</v>
      </c>
      <c r="C1511" s="12" t="s">
        <v>1977</v>
      </c>
      <c r="D1511" s="12" t="s">
        <v>2020</v>
      </c>
      <c r="E1511" s="20">
        <v>29280</v>
      </c>
      <c r="F1511" s="20">
        <v>43157</v>
      </c>
      <c r="G1511" s="12">
        <v>6.05</v>
      </c>
      <c r="H1511" s="12">
        <v>46.8</v>
      </c>
      <c r="I1511" s="13">
        <v>0.12927350427350401</v>
      </c>
      <c r="J1511" s="12" t="s">
        <v>1399</v>
      </c>
      <c r="K1511" s="14">
        <v>1443</v>
      </c>
      <c r="L1511" s="14">
        <v>75</v>
      </c>
      <c r="M1511" s="14">
        <v>961</v>
      </c>
      <c r="N1511" s="12">
        <v>6.05</v>
      </c>
      <c r="O1511" s="12" t="s">
        <v>1399</v>
      </c>
      <c r="P1511" s="12">
        <v>9.7322426786992499E-4</v>
      </c>
      <c r="Q1511" s="12">
        <v>5.8865042016430496E-4</v>
      </c>
      <c r="R1511" s="12">
        <v>0.70766129032258096</v>
      </c>
      <c r="S1511" s="14">
        <v>42</v>
      </c>
      <c r="T1511" s="12">
        <v>7.3286561305391296E-2</v>
      </c>
      <c r="U1511" s="14">
        <v>1420</v>
      </c>
      <c r="V1511" s="14">
        <v>3</v>
      </c>
      <c r="W1511" s="12">
        <v>5.7000000000000002E-3</v>
      </c>
      <c r="X1511" s="12">
        <v>7.8986561305391306E-2</v>
      </c>
      <c r="Y1511" s="14">
        <v>1419</v>
      </c>
      <c r="Z1511" s="14">
        <v>42</v>
      </c>
      <c r="AA1511" s="12" t="s">
        <v>2369</v>
      </c>
    </row>
    <row r="1512" spans="1:27" ht="14.25" x14ac:dyDescent="0.45">
      <c r="A1512" s="12" t="s">
        <v>1665</v>
      </c>
      <c r="B1512" s="12" t="s">
        <v>1980</v>
      </c>
      <c r="C1512" s="12" t="s">
        <v>1977</v>
      </c>
      <c r="D1512" s="12" t="s">
        <v>1993</v>
      </c>
      <c r="E1512" s="20">
        <v>35383</v>
      </c>
      <c r="F1512" s="20">
        <v>44421</v>
      </c>
      <c r="G1512" s="12">
        <v>0.78</v>
      </c>
      <c r="H1512" s="12">
        <v>4.6666666666666696</v>
      </c>
      <c r="I1512" s="13">
        <v>0.16714285714285701</v>
      </c>
      <c r="J1512" s="12" t="s">
        <v>1665</v>
      </c>
      <c r="K1512" s="14">
        <v>1387</v>
      </c>
      <c r="L1512" s="14">
        <v>1803</v>
      </c>
      <c r="M1512" s="14">
        <v>1603</v>
      </c>
      <c r="N1512" s="12">
        <v>0.78</v>
      </c>
      <c r="O1512" s="12" t="s">
        <v>1665</v>
      </c>
      <c r="P1512" s="12">
        <v>1.2547354197331301E-4</v>
      </c>
      <c r="Q1512" s="12">
        <v>7.6108954915033496E-4</v>
      </c>
      <c r="R1512" s="12">
        <v>7.0564516129032306E-2</v>
      </c>
      <c r="S1512" s="14">
        <v>26</v>
      </c>
      <c r="T1512" s="12">
        <v>5.2273354645895199E-2</v>
      </c>
      <c r="U1512" s="14">
        <v>1509</v>
      </c>
      <c r="V1512" s="14">
        <v>1</v>
      </c>
      <c r="W1512" s="12">
        <v>5.4999999999999997E-3</v>
      </c>
      <c r="X1512" s="12">
        <v>5.7773354645895197E-2</v>
      </c>
      <c r="Y1512" s="14">
        <v>1510</v>
      </c>
      <c r="Z1512" s="14">
        <v>25</v>
      </c>
      <c r="AA1512" s="12" t="s">
        <v>2367</v>
      </c>
    </row>
    <row r="1513" spans="1:27" ht="14.25" x14ac:dyDescent="0.45">
      <c r="A1513" s="12" t="s">
        <v>1804</v>
      </c>
      <c r="B1513" s="12" t="s">
        <v>1980</v>
      </c>
      <c r="C1513" s="12" t="s">
        <v>1977</v>
      </c>
      <c r="D1513" s="12" t="s">
        <v>1993</v>
      </c>
      <c r="E1513" s="20">
        <v>35891</v>
      </c>
      <c r="F1513" s="20">
        <v>43736</v>
      </c>
      <c r="G1513" s="12">
        <v>236.66</v>
      </c>
      <c r="H1513" s="12">
        <v>27.5</v>
      </c>
      <c r="I1513" s="13">
        <v>8.6058181818181794</v>
      </c>
      <c r="J1513" s="12" t="s">
        <v>1804</v>
      </c>
      <c r="K1513" s="14">
        <v>333</v>
      </c>
      <c r="L1513" s="14">
        <v>298</v>
      </c>
      <c r="M1513" s="14">
        <v>265</v>
      </c>
      <c r="N1513" s="12">
        <v>236.66</v>
      </c>
      <c r="O1513" s="12" t="s">
        <v>1804</v>
      </c>
      <c r="P1513" s="12">
        <v>3.8069959542825903E-2</v>
      </c>
      <c r="Q1513" s="12">
        <v>3.9186827316656701E-2</v>
      </c>
      <c r="R1513" s="12">
        <v>0.41582661290322598</v>
      </c>
      <c r="S1513" s="14">
        <v>24</v>
      </c>
      <c r="T1513" s="12">
        <v>3.8768001901470099</v>
      </c>
      <c r="U1513" s="14">
        <v>319</v>
      </c>
      <c r="V1513" s="14">
        <v>3</v>
      </c>
      <c r="W1513" s="12">
        <v>5.7000000000000002E-3</v>
      </c>
      <c r="X1513" s="12">
        <v>3.88250019014701</v>
      </c>
      <c r="Y1513" s="14">
        <v>319</v>
      </c>
      <c r="Z1513" s="14">
        <v>24</v>
      </c>
      <c r="AA1513" s="12" t="s">
        <v>2370</v>
      </c>
    </row>
    <row r="1514" spans="1:27" ht="14.25" x14ac:dyDescent="0.45">
      <c r="A1514" s="12" t="s">
        <v>1822</v>
      </c>
      <c r="B1514" s="12" t="s">
        <v>1980</v>
      </c>
      <c r="C1514" s="12" t="s">
        <v>1977</v>
      </c>
      <c r="D1514" s="12" t="s">
        <v>2026</v>
      </c>
      <c r="E1514" s="20">
        <v>22336</v>
      </c>
      <c r="F1514" s="20">
        <v>44103</v>
      </c>
      <c r="G1514" s="12">
        <v>3.21</v>
      </c>
      <c r="H1514" s="12">
        <v>15.266666666666699</v>
      </c>
      <c r="I1514" s="13">
        <v>0.210262008733624</v>
      </c>
      <c r="J1514" s="12" t="s">
        <v>1822</v>
      </c>
      <c r="K1514" s="14">
        <v>1334</v>
      </c>
      <c r="L1514" s="14">
        <v>496</v>
      </c>
      <c r="M1514" s="14">
        <v>1201</v>
      </c>
      <c r="N1514" s="12">
        <v>3.21</v>
      </c>
      <c r="O1514" s="12" t="s">
        <v>1822</v>
      </c>
      <c r="P1514" s="12">
        <v>5.1637188427478703E-4</v>
      </c>
      <c r="Q1514" s="12">
        <v>9.5743377949882599E-4</v>
      </c>
      <c r="R1514" s="12">
        <v>0.23084677419354799</v>
      </c>
      <c r="S1514" s="14">
        <v>61</v>
      </c>
      <c r="T1514" s="12">
        <v>7.9203556878981105E-2</v>
      </c>
      <c r="U1514" s="14">
        <v>1362</v>
      </c>
      <c r="V1514" s="14">
        <v>1</v>
      </c>
      <c r="W1514" s="12">
        <v>5.4999999999999997E-3</v>
      </c>
      <c r="X1514" s="12">
        <v>8.4703556878981207E-2</v>
      </c>
      <c r="Y1514" s="14">
        <v>1362</v>
      </c>
      <c r="Z1514" s="14">
        <v>61</v>
      </c>
      <c r="AA1514" s="12" t="s">
        <v>2371</v>
      </c>
    </row>
    <row r="1515" spans="1:27" ht="14.25" x14ac:dyDescent="0.45">
      <c r="A1515" s="12" t="s">
        <v>1830</v>
      </c>
      <c r="B1515" s="12" t="s">
        <v>1980</v>
      </c>
      <c r="C1515" s="12" t="s">
        <v>1977</v>
      </c>
      <c r="D1515" s="12" t="s">
        <v>1990</v>
      </c>
      <c r="E1515" s="20">
        <v>35496</v>
      </c>
      <c r="F1515" s="20">
        <v>44271</v>
      </c>
      <c r="G1515" s="12">
        <v>0.34</v>
      </c>
      <c r="H1515" s="12">
        <v>9.6666666666666696</v>
      </c>
      <c r="I1515" s="13">
        <v>3.5172413793103499E-2</v>
      </c>
      <c r="J1515" s="12" t="s">
        <v>1830</v>
      </c>
      <c r="K1515" s="14">
        <v>1642</v>
      </c>
      <c r="L1515" s="14">
        <v>1004</v>
      </c>
      <c r="M1515" s="14">
        <v>1723</v>
      </c>
      <c r="N1515" s="12">
        <v>0.34</v>
      </c>
      <c r="O1515" s="12" t="s">
        <v>1830</v>
      </c>
      <c r="P1515" s="12">
        <v>5.4693595219136301E-5</v>
      </c>
      <c r="Q1515" s="12">
        <v>1.6015854349936301E-4</v>
      </c>
      <c r="R1515" s="12">
        <v>0.14616935483870999</v>
      </c>
      <c r="S1515" s="14">
        <v>25</v>
      </c>
      <c r="T1515" s="12">
        <v>1.20609187894278E-2</v>
      </c>
      <c r="U1515" s="14">
        <v>1742</v>
      </c>
      <c r="V1515" s="14">
        <v>1</v>
      </c>
      <c r="W1515" s="12">
        <v>5.4999999999999997E-3</v>
      </c>
      <c r="X1515" s="12">
        <v>1.7560918789427799E-2</v>
      </c>
      <c r="Y1515" s="14">
        <v>1743</v>
      </c>
      <c r="Z1515" s="14">
        <v>25</v>
      </c>
      <c r="AA1515" s="12" t="s">
        <v>2367</v>
      </c>
    </row>
    <row r="1516" spans="1:27" ht="14.25" x14ac:dyDescent="0.45">
      <c r="A1516" s="12" t="s">
        <v>1851</v>
      </c>
      <c r="B1516" s="12" t="s">
        <v>1980</v>
      </c>
      <c r="C1516" s="12" t="s">
        <v>1977</v>
      </c>
      <c r="D1516" s="12" t="s">
        <v>1987</v>
      </c>
      <c r="E1516" s="20">
        <v>33811</v>
      </c>
      <c r="F1516" s="20">
        <v>44319</v>
      </c>
      <c r="G1516" s="12">
        <v>1</v>
      </c>
      <c r="H1516" s="12">
        <v>8.06666666666667</v>
      </c>
      <c r="I1516" s="13">
        <v>0.12396694214876</v>
      </c>
      <c r="J1516" s="12" t="s">
        <v>1851</v>
      </c>
      <c r="K1516" s="14">
        <v>1450</v>
      </c>
      <c r="L1516" s="14">
        <v>1236</v>
      </c>
      <c r="M1516" s="14">
        <v>1549</v>
      </c>
      <c r="N1516" s="12">
        <v>1</v>
      </c>
      <c r="O1516" s="12" t="s">
        <v>1851</v>
      </c>
      <c r="P1516" s="12">
        <v>1.6086351535040099E-4</v>
      </c>
      <c r="Q1516" s="12">
        <v>5.6448684509984601E-4</v>
      </c>
      <c r="R1516" s="12">
        <v>0.121975806451613</v>
      </c>
      <c r="S1516" s="14">
        <v>30</v>
      </c>
      <c r="T1516" s="12">
        <v>4.1312809644380402E-2</v>
      </c>
      <c r="U1516" s="14">
        <v>1552</v>
      </c>
      <c r="V1516" s="14">
        <v>1</v>
      </c>
      <c r="W1516" s="12">
        <v>5.4999999999999997E-3</v>
      </c>
      <c r="X1516" s="12">
        <v>4.68128096443804E-2</v>
      </c>
      <c r="Y1516" s="14">
        <v>1553</v>
      </c>
      <c r="Z1516" s="14">
        <v>29</v>
      </c>
      <c r="AA1516" s="12" t="s">
        <v>2367</v>
      </c>
    </row>
    <row r="1517" spans="1:27" ht="14.25" x14ac:dyDescent="0.45">
      <c r="A1517" s="12" t="s">
        <v>1943</v>
      </c>
      <c r="B1517" s="12" t="s">
        <v>1980</v>
      </c>
      <c r="C1517" s="12" t="s">
        <v>1977</v>
      </c>
      <c r="D1517" s="12" t="s">
        <v>1982</v>
      </c>
      <c r="E1517" s="20">
        <v>35635</v>
      </c>
      <c r="F1517" s="20">
        <v>43703</v>
      </c>
      <c r="G1517" s="12">
        <v>17.14</v>
      </c>
      <c r="H1517" s="12">
        <v>28.6</v>
      </c>
      <c r="I1517" s="13">
        <v>0.59930069930069896</v>
      </c>
      <c r="J1517" s="12" t="s">
        <v>1943</v>
      </c>
      <c r="K1517" s="14">
        <v>998</v>
      </c>
      <c r="L1517" s="14">
        <v>264</v>
      </c>
      <c r="M1517" s="14">
        <v>746</v>
      </c>
      <c r="N1517" s="12">
        <v>17.14</v>
      </c>
      <c r="O1517" s="12" t="s">
        <v>1943</v>
      </c>
      <c r="P1517" s="12">
        <v>2.7572006531058702E-3</v>
      </c>
      <c r="Q1517" s="12">
        <v>2.7289320455160301E-3</v>
      </c>
      <c r="R1517" s="12">
        <v>0.43245967741935498</v>
      </c>
      <c r="S1517" s="14">
        <v>25</v>
      </c>
      <c r="T1517" s="12">
        <v>0.27395327733622199</v>
      </c>
      <c r="U1517" s="14">
        <v>942</v>
      </c>
      <c r="V1517" s="14">
        <v>3</v>
      </c>
      <c r="W1517" s="12">
        <v>5.7000000000000002E-3</v>
      </c>
      <c r="X1517" s="12">
        <v>0.27965327733622197</v>
      </c>
      <c r="Y1517" s="14">
        <v>942</v>
      </c>
      <c r="Z1517" s="14">
        <v>24</v>
      </c>
      <c r="AA1517" s="12" t="s">
        <v>2370</v>
      </c>
    </row>
    <row r="1518" spans="1:27" ht="14.25" x14ac:dyDescent="0.45">
      <c r="A1518" s="12" t="s">
        <v>21</v>
      </c>
      <c r="B1518" s="12" t="s">
        <v>1980</v>
      </c>
      <c r="C1518" s="12" t="s">
        <v>1972</v>
      </c>
      <c r="D1518" s="12" t="s">
        <v>1975</v>
      </c>
      <c r="E1518" s="20">
        <v>28466</v>
      </c>
      <c r="F1518" s="20">
        <v>42817</v>
      </c>
      <c r="G1518" s="12">
        <v>2855.28</v>
      </c>
      <c r="H1518" s="12">
        <v>58.133333333333297</v>
      </c>
      <c r="I1518" s="13">
        <v>49.116055045871597</v>
      </c>
      <c r="J1518" s="12" t="s">
        <v>21</v>
      </c>
      <c r="K1518" s="14">
        <v>46</v>
      </c>
      <c r="L1518" s="14">
        <v>9</v>
      </c>
      <c r="M1518" s="14">
        <v>10</v>
      </c>
      <c r="N1518" s="12">
        <v>2855.28</v>
      </c>
      <c r="O1518" s="12" t="s">
        <v>21</v>
      </c>
      <c r="P1518" s="12">
        <v>0.459310378109693</v>
      </c>
      <c r="Q1518" s="12">
        <v>0.22365129344986201</v>
      </c>
      <c r="R1518" s="12">
        <v>0.87903225806451601</v>
      </c>
      <c r="S1518" s="14">
        <v>45</v>
      </c>
      <c r="T1518" s="12">
        <v>31.202345019729801</v>
      </c>
      <c r="U1518" s="14">
        <v>27</v>
      </c>
      <c r="V1518" s="14">
        <v>108</v>
      </c>
      <c r="W1518" s="12">
        <v>9.9000000000000008E-3</v>
      </c>
      <c r="X1518" s="12">
        <v>31.212245019729799</v>
      </c>
      <c r="Y1518" s="14">
        <v>27</v>
      </c>
      <c r="Z1518" s="14">
        <v>44</v>
      </c>
      <c r="AA1518" s="12" t="s">
        <v>2369</v>
      </c>
    </row>
    <row r="1519" spans="1:27" ht="14.25" x14ac:dyDescent="0.45">
      <c r="A1519" s="12" t="s">
        <v>44</v>
      </c>
      <c r="B1519" s="12" t="s">
        <v>1980</v>
      </c>
      <c r="C1519" s="12" t="s">
        <v>1972</v>
      </c>
      <c r="D1519" s="12" t="s">
        <v>1973</v>
      </c>
      <c r="E1519" s="20">
        <v>32643</v>
      </c>
      <c r="F1519" s="20">
        <v>43195</v>
      </c>
      <c r="G1519" s="12">
        <v>457.49</v>
      </c>
      <c r="H1519" s="12">
        <v>45.533333333333303</v>
      </c>
      <c r="I1519" s="13">
        <v>10.047364568081999</v>
      </c>
      <c r="J1519" s="12" t="s">
        <v>44</v>
      </c>
      <c r="K1519" s="14">
        <v>293</v>
      </c>
      <c r="L1519" s="14">
        <v>88</v>
      </c>
      <c r="M1519" s="14">
        <v>157</v>
      </c>
      <c r="N1519" s="12">
        <v>457.49</v>
      </c>
      <c r="O1519" s="12" t="s">
        <v>44</v>
      </c>
      <c r="P1519" s="12">
        <v>7.3593449637654906E-2</v>
      </c>
      <c r="Q1519" s="12">
        <v>4.5750948021277001E-2</v>
      </c>
      <c r="R1519" s="12">
        <v>0.688508064516129</v>
      </c>
      <c r="S1519" s="14">
        <v>33</v>
      </c>
      <c r="T1519" s="12">
        <v>5.61918861274187</v>
      </c>
      <c r="U1519" s="14">
        <v>236</v>
      </c>
      <c r="V1519" s="14">
        <v>6</v>
      </c>
      <c r="W1519" s="12">
        <v>6.0000000000000001E-3</v>
      </c>
      <c r="X1519" s="12">
        <v>5.6251886127418702</v>
      </c>
      <c r="Y1519" s="14">
        <v>236</v>
      </c>
      <c r="Z1519" s="14">
        <v>33</v>
      </c>
      <c r="AA1519" s="12" t="s">
        <v>2367</v>
      </c>
    </row>
    <row r="1520" spans="1:27" ht="14.25" x14ac:dyDescent="0.45">
      <c r="A1520" s="12" t="s">
        <v>63</v>
      </c>
      <c r="B1520" s="12" t="s">
        <v>1980</v>
      </c>
      <c r="C1520" s="12" t="s">
        <v>1972</v>
      </c>
      <c r="D1520" s="12" t="s">
        <v>1993</v>
      </c>
      <c r="E1520" s="20">
        <v>36123</v>
      </c>
      <c r="F1520" s="20">
        <v>44207</v>
      </c>
      <c r="G1520" s="12">
        <v>9.35</v>
      </c>
      <c r="H1520" s="12">
        <v>11.8</v>
      </c>
      <c r="I1520" s="13">
        <v>0.79237288135593198</v>
      </c>
      <c r="J1520" s="12" t="s">
        <v>63</v>
      </c>
      <c r="K1520" s="14">
        <v>891</v>
      </c>
      <c r="L1520" s="14">
        <v>798</v>
      </c>
      <c r="M1520" s="14">
        <v>857</v>
      </c>
      <c r="N1520" s="12">
        <v>9.35</v>
      </c>
      <c r="O1520" s="12" t="s">
        <v>63</v>
      </c>
      <c r="P1520" s="12">
        <v>1.5040738685262499E-3</v>
      </c>
      <c r="Q1520" s="12">
        <v>3.6080914813769E-3</v>
      </c>
      <c r="R1520" s="12">
        <v>0.178427419354839</v>
      </c>
      <c r="S1520" s="14">
        <v>24</v>
      </c>
      <c r="T1520" s="12">
        <v>0.28190848765579002</v>
      </c>
      <c r="U1520" s="14">
        <v>939</v>
      </c>
      <c r="V1520" s="14">
        <v>4</v>
      </c>
      <c r="W1520" s="12">
        <v>5.7999999999999996E-3</v>
      </c>
      <c r="X1520" s="12">
        <v>0.28770848765578999</v>
      </c>
      <c r="Y1520" s="14">
        <v>939</v>
      </c>
      <c r="Z1520" s="14">
        <v>23</v>
      </c>
      <c r="AA1520" s="12" t="s">
        <v>2370</v>
      </c>
    </row>
    <row r="1521" spans="1:27" ht="14.25" x14ac:dyDescent="0.45">
      <c r="A1521" s="12" t="s">
        <v>67</v>
      </c>
      <c r="B1521" s="12" t="s">
        <v>1980</v>
      </c>
      <c r="C1521" s="12" t="s">
        <v>1972</v>
      </c>
      <c r="D1521" s="12" t="s">
        <v>1982</v>
      </c>
      <c r="E1521" s="20">
        <v>36361</v>
      </c>
      <c r="F1521" s="20">
        <v>44182</v>
      </c>
      <c r="G1521" s="12">
        <v>136.57</v>
      </c>
      <c r="H1521" s="12">
        <v>12.633333333333301</v>
      </c>
      <c r="I1521" s="13">
        <v>10.810290237466999</v>
      </c>
      <c r="J1521" s="12" t="s">
        <v>67</v>
      </c>
      <c r="K1521" s="14">
        <v>266</v>
      </c>
      <c r="L1521" s="14">
        <v>714</v>
      </c>
      <c r="M1521" s="14">
        <v>336</v>
      </c>
      <c r="N1521" s="12">
        <v>136.57</v>
      </c>
      <c r="O1521" s="12" t="s">
        <v>67</v>
      </c>
      <c r="P1521" s="12">
        <v>2.19691302914043E-2</v>
      </c>
      <c r="Q1521" s="12">
        <v>4.9224950821475502E-2</v>
      </c>
      <c r="R1521" s="12">
        <v>0.19102822580645201</v>
      </c>
      <c r="S1521" s="14">
        <v>23</v>
      </c>
      <c r="T1521" s="12">
        <v>3.9004018122698798</v>
      </c>
      <c r="U1521" s="14">
        <v>316</v>
      </c>
      <c r="V1521" s="14">
        <v>6</v>
      </c>
      <c r="W1521" s="12">
        <v>6.0000000000000001E-3</v>
      </c>
      <c r="X1521" s="12">
        <v>3.90640181226988</v>
      </c>
      <c r="Y1521" s="14">
        <v>316</v>
      </c>
      <c r="Z1521" s="14">
        <v>22</v>
      </c>
      <c r="AA1521" s="12" t="s">
        <v>2370</v>
      </c>
    </row>
    <row r="1522" spans="1:27" ht="14.25" x14ac:dyDescent="0.45">
      <c r="A1522" s="12" t="s">
        <v>88</v>
      </c>
      <c r="B1522" s="12" t="s">
        <v>1980</v>
      </c>
      <c r="C1522" s="12" t="s">
        <v>1972</v>
      </c>
      <c r="D1522" s="12" t="s">
        <v>2012</v>
      </c>
      <c r="E1522" s="20">
        <v>33438</v>
      </c>
      <c r="F1522" s="20">
        <v>43319</v>
      </c>
      <c r="G1522" s="12">
        <v>269.61</v>
      </c>
      <c r="H1522" s="12">
        <v>41.4</v>
      </c>
      <c r="I1522" s="13">
        <v>6.5123188405797103</v>
      </c>
      <c r="J1522" s="12" t="s">
        <v>88</v>
      </c>
      <c r="K1522" s="14">
        <v>395</v>
      </c>
      <c r="L1522" s="14">
        <v>146</v>
      </c>
      <c r="M1522" s="14">
        <v>246</v>
      </c>
      <c r="N1522" s="12">
        <v>269.61</v>
      </c>
      <c r="O1522" s="12" t="s">
        <v>88</v>
      </c>
      <c r="P1522" s="12">
        <v>4.3370412373621603E-2</v>
      </c>
      <c r="Q1522" s="12">
        <v>2.9654021087265201E-2</v>
      </c>
      <c r="R1522" s="12">
        <v>0.626008064516129</v>
      </c>
      <c r="S1522" s="14">
        <v>31</v>
      </c>
      <c r="T1522" s="12">
        <v>3.4797667819648899</v>
      </c>
      <c r="U1522" s="14">
        <v>343</v>
      </c>
      <c r="V1522" s="14">
        <v>6</v>
      </c>
      <c r="W1522" s="12">
        <v>6.0000000000000001E-3</v>
      </c>
      <c r="X1522" s="12">
        <v>3.4857667819648901</v>
      </c>
      <c r="Y1522" s="14">
        <v>343</v>
      </c>
      <c r="Z1522" s="14">
        <v>30</v>
      </c>
      <c r="AA1522" s="12" t="s">
        <v>2367</v>
      </c>
    </row>
    <row r="1523" spans="1:27" ht="14.25" x14ac:dyDescent="0.45">
      <c r="A1523" s="12" t="s">
        <v>94</v>
      </c>
      <c r="B1523" s="12" t="s">
        <v>1980</v>
      </c>
      <c r="C1523" s="12" t="s">
        <v>1972</v>
      </c>
      <c r="D1523" s="12" t="s">
        <v>2020</v>
      </c>
      <c r="E1523" s="20">
        <v>24588</v>
      </c>
      <c r="F1523" s="20">
        <v>43656</v>
      </c>
      <c r="G1523" s="12">
        <v>1614.86</v>
      </c>
      <c r="H1523" s="12">
        <v>30.1666666666667</v>
      </c>
      <c r="I1523" s="13">
        <v>53.531270718232001</v>
      </c>
      <c r="J1523" s="12" t="s">
        <v>94</v>
      </c>
      <c r="K1523" s="14">
        <v>41</v>
      </c>
      <c r="L1523" s="14">
        <v>256</v>
      </c>
      <c r="M1523" s="14">
        <v>29</v>
      </c>
      <c r="N1523" s="12">
        <v>1614.86</v>
      </c>
      <c r="O1523" s="12" t="s">
        <v>94</v>
      </c>
      <c r="P1523" s="12">
        <v>0.25977205639874801</v>
      </c>
      <c r="Q1523" s="12">
        <v>0.243756098183493</v>
      </c>
      <c r="R1523" s="12">
        <v>0.45614919354838701</v>
      </c>
      <c r="S1523" s="14">
        <v>55</v>
      </c>
      <c r="T1523" s="12">
        <v>24.976208251421401</v>
      </c>
      <c r="U1523" s="14">
        <v>40</v>
      </c>
      <c r="V1523" s="14">
        <v>32</v>
      </c>
      <c r="W1523" s="12">
        <v>7.7999999999999996E-3</v>
      </c>
      <c r="X1523" s="12">
        <v>24.9840082514214</v>
      </c>
      <c r="Y1523" s="14">
        <v>40</v>
      </c>
      <c r="Z1523" s="14">
        <v>55</v>
      </c>
      <c r="AA1523" s="12" t="s">
        <v>2371</v>
      </c>
    </row>
    <row r="1524" spans="1:27" ht="14.25" x14ac:dyDescent="0.45">
      <c r="A1524" s="12" t="s">
        <v>110</v>
      </c>
      <c r="B1524" s="12" t="s">
        <v>1980</v>
      </c>
      <c r="C1524" s="12" t="s">
        <v>1972</v>
      </c>
      <c r="D1524" s="12" t="s">
        <v>1990</v>
      </c>
      <c r="E1524" s="20">
        <v>35605</v>
      </c>
      <c r="F1524" s="20">
        <v>44127</v>
      </c>
      <c r="G1524" s="12">
        <v>4.28</v>
      </c>
      <c r="H1524" s="12">
        <v>14.466666666666701</v>
      </c>
      <c r="I1524" s="13">
        <v>0.295852534562212</v>
      </c>
      <c r="J1524" s="12" t="s">
        <v>110</v>
      </c>
      <c r="K1524" s="14">
        <v>1229</v>
      </c>
      <c r="L1524" s="14">
        <v>574</v>
      </c>
      <c r="M1524" s="14">
        <v>1089</v>
      </c>
      <c r="N1524" s="12">
        <v>4.28</v>
      </c>
      <c r="O1524" s="12" t="s">
        <v>110</v>
      </c>
      <c r="P1524" s="12">
        <v>6.88495845699716E-4</v>
      </c>
      <c r="Q1524" s="12">
        <v>1.3471725683885201E-3</v>
      </c>
      <c r="R1524" s="12">
        <v>0.21875</v>
      </c>
      <c r="S1524" s="14">
        <v>25</v>
      </c>
      <c r="T1524" s="12">
        <v>0.110016879738022</v>
      </c>
      <c r="U1524" s="14">
        <v>1265</v>
      </c>
      <c r="V1524" s="14">
        <v>1</v>
      </c>
      <c r="W1524" s="12">
        <v>5.4999999999999997E-3</v>
      </c>
      <c r="X1524" s="12">
        <v>0.11551687973802199</v>
      </c>
      <c r="Y1524" s="14">
        <v>1265</v>
      </c>
      <c r="Z1524" s="14">
        <v>25</v>
      </c>
      <c r="AA1524" s="12" t="s">
        <v>2367</v>
      </c>
    </row>
    <row r="1525" spans="1:27" ht="14.25" x14ac:dyDescent="0.45">
      <c r="A1525" s="12" t="s">
        <v>125</v>
      </c>
      <c r="B1525" s="12" t="s">
        <v>1980</v>
      </c>
      <c r="C1525" s="12" t="s">
        <v>1972</v>
      </c>
      <c r="D1525" s="12" t="s">
        <v>2020</v>
      </c>
      <c r="E1525" s="20">
        <v>28041</v>
      </c>
      <c r="F1525" s="20">
        <v>43714</v>
      </c>
      <c r="G1525" s="12">
        <v>246.08</v>
      </c>
      <c r="H1525" s="12">
        <v>28.233333333333299</v>
      </c>
      <c r="I1525" s="13">
        <v>8.7159386068477005</v>
      </c>
      <c r="J1525" s="12" t="s">
        <v>125</v>
      </c>
      <c r="K1525" s="14">
        <v>329</v>
      </c>
      <c r="L1525" s="14">
        <v>280</v>
      </c>
      <c r="M1525" s="14">
        <v>258</v>
      </c>
      <c r="N1525" s="12">
        <v>246.08</v>
      </c>
      <c r="O1525" s="12" t="s">
        <v>125</v>
      </c>
      <c r="P1525" s="12">
        <v>3.95852938574267E-2</v>
      </c>
      <c r="Q1525" s="12">
        <v>3.9688263669191502E-2</v>
      </c>
      <c r="R1525" s="12">
        <v>0.42691532258064502</v>
      </c>
      <c r="S1525" s="14">
        <v>46</v>
      </c>
      <c r="T1525" s="12">
        <v>3.9649649989779698</v>
      </c>
      <c r="U1525" s="14">
        <v>309</v>
      </c>
      <c r="V1525" s="14">
        <v>15</v>
      </c>
      <c r="W1525" s="12">
        <v>6.7999999999999996E-3</v>
      </c>
      <c r="X1525" s="12">
        <v>3.97176499897797</v>
      </c>
      <c r="Y1525" s="14">
        <v>309</v>
      </c>
      <c r="Z1525" s="14">
        <v>45</v>
      </c>
      <c r="AA1525" s="12" t="s">
        <v>2371</v>
      </c>
    </row>
    <row r="1526" spans="1:27" ht="14.25" x14ac:dyDescent="0.45">
      <c r="A1526" s="12" t="s">
        <v>139</v>
      </c>
      <c r="B1526" s="12" t="s">
        <v>1980</v>
      </c>
      <c r="C1526" s="12" t="s">
        <v>1972</v>
      </c>
      <c r="D1526" s="12" t="s">
        <v>1993</v>
      </c>
      <c r="E1526" s="20">
        <v>34848</v>
      </c>
      <c r="F1526" s="20">
        <v>43297</v>
      </c>
      <c r="G1526" s="12">
        <v>1189</v>
      </c>
      <c r="H1526" s="12">
        <v>42.133333333333297</v>
      </c>
      <c r="I1526" s="13">
        <v>28.2199367088608</v>
      </c>
      <c r="J1526" s="12" t="s">
        <v>139</v>
      </c>
      <c r="K1526" s="14">
        <v>87</v>
      </c>
      <c r="L1526" s="14">
        <v>122</v>
      </c>
      <c r="M1526" s="14">
        <v>41</v>
      </c>
      <c r="N1526" s="12">
        <v>1189</v>
      </c>
      <c r="O1526" s="12" t="s">
        <v>139</v>
      </c>
      <c r="P1526" s="12">
        <v>0.19126671975162701</v>
      </c>
      <c r="Q1526" s="12">
        <v>0.12850024986973099</v>
      </c>
      <c r="R1526" s="12">
        <v>0.63709677419354804</v>
      </c>
      <c r="S1526" s="14">
        <v>27</v>
      </c>
      <c r="T1526" s="12">
        <v>15.203767607544201</v>
      </c>
      <c r="U1526" s="14">
        <v>67</v>
      </c>
      <c r="V1526" s="14">
        <v>18</v>
      </c>
      <c r="W1526" s="12">
        <v>7.0000000000000001E-3</v>
      </c>
      <c r="X1526" s="12">
        <v>15.2107676075442</v>
      </c>
      <c r="Y1526" s="14">
        <v>67</v>
      </c>
      <c r="Z1526" s="14">
        <v>27</v>
      </c>
      <c r="AA1526" s="12" t="s">
        <v>2367</v>
      </c>
    </row>
    <row r="1527" spans="1:27" ht="14.25" x14ac:dyDescent="0.45">
      <c r="A1527" s="12" t="s">
        <v>164</v>
      </c>
      <c r="B1527" s="12" t="s">
        <v>1980</v>
      </c>
      <c r="C1527" s="12" t="s">
        <v>1972</v>
      </c>
      <c r="D1527" s="12" t="s">
        <v>1993</v>
      </c>
      <c r="E1527" s="20">
        <v>32284</v>
      </c>
      <c r="F1527" s="20">
        <v>43164</v>
      </c>
      <c r="G1527" s="12">
        <v>623.54999999999995</v>
      </c>
      <c r="H1527" s="12">
        <v>46.566666666666698</v>
      </c>
      <c r="I1527" s="13">
        <v>13.390479599141001</v>
      </c>
      <c r="J1527" s="12" t="s">
        <v>164</v>
      </c>
      <c r="K1527" s="14">
        <v>216</v>
      </c>
      <c r="L1527" s="14">
        <v>77</v>
      </c>
      <c r="M1527" s="14">
        <v>109</v>
      </c>
      <c r="N1527" s="12">
        <v>623.54999999999995</v>
      </c>
      <c r="O1527" s="12" t="s">
        <v>164</v>
      </c>
      <c r="P1527" s="12">
        <v>0.100306444996742</v>
      </c>
      <c r="Q1527" s="12">
        <v>6.0973913305229901E-2</v>
      </c>
      <c r="R1527" s="12">
        <v>0.704133064516129</v>
      </c>
      <c r="S1527" s="14">
        <v>34</v>
      </c>
      <c r="T1527" s="12">
        <v>7.57236126895471</v>
      </c>
      <c r="U1527" s="14">
        <v>168</v>
      </c>
      <c r="V1527" s="14">
        <v>14</v>
      </c>
      <c r="W1527" s="12">
        <v>6.7000000000000002E-3</v>
      </c>
      <c r="X1527" s="12">
        <v>7.5790612689547103</v>
      </c>
      <c r="Y1527" s="14">
        <v>168</v>
      </c>
      <c r="Z1527" s="14">
        <v>34</v>
      </c>
      <c r="AA1527" s="12" t="s">
        <v>2367</v>
      </c>
    </row>
    <row r="1528" spans="1:27" ht="14.25" x14ac:dyDescent="0.45">
      <c r="A1528" s="12" t="s">
        <v>172</v>
      </c>
      <c r="B1528" s="12" t="s">
        <v>1980</v>
      </c>
      <c r="C1528" s="12" t="s">
        <v>1972</v>
      </c>
      <c r="D1528" s="12" t="s">
        <v>2007</v>
      </c>
      <c r="E1528" s="20">
        <v>33507</v>
      </c>
      <c r="F1528" s="20">
        <v>43762</v>
      </c>
      <c r="G1528" s="12">
        <v>41.59</v>
      </c>
      <c r="H1528" s="12">
        <v>26.633333333333301</v>
      </c>
      <c r="I1528" s="13">
        <v>1.5615769712140199</v>
      </c>
      <c r="J1528" s="12" t="s">
        <v>172</v>
      </c>
      <c r="K1528" s="14">
        <v>722</v>
      </c>
      <c r="L1528" s="14">
        <v>341</v>
      </c>
      <c r="M1528" s="14">
        <v>510</v>
      </c>
      <c r="N1528" s="12">
        <v>41.59</v>
      </c>
      <c r="O1528" s="12" t="s">
        <v>172</v>
      </c>
      <c r="P1528" s="12">
        <v>6.6903136034231698E-3</v>
      </c>
      <c r="Q1528" s="12">
        <v>7.1106832400801403E-3</v>
      </c>
      <c r="R1528" s="12">
        <v>0.40272177419354799</v>
      </c>
      <c r="S1528" s="14">
        <v>31</v>
      </c>
      <c r="T1528" s="12">
        <v>0.69530446263337797</v>
      </c>
      <c r="U1528" s="14">
        <v>715</v>
      </c>
      <c r="V1528" s="14">
        <v>10</v>
      </c>
      <c r="W1528" s="12">
        <v>6.4000000000000003E-3</v>
      </c>
      <c r="X1528" s="12">
        <v>0.70170446263337705</v>
      </c>
      <c r="Y1528" s="14">
        <v>715</v>
      </c>
      <c r="Z1528" s="14">
        <v>30</v>
      </c>
      <c r="AA1528" s="12" t="s">
        <v>2367</v>
      </c>
    </row>
    <row r="1529" spans="1:27" ht="14.25" x14ac:dyDescent="0.45">
      <c r="A1529" s="12" t="s">
        <v>175</v>
      </c>
      <c r="B1529" s="12" t="s">
        <v>1980</v>
      </c>
      <c r="C1529" s="12" t="s">
        <v>1972</v>
      </c>
      <c r="D1529" s="12" t="s">
        <v>2007</v>
      </c>
      <c r="E1529" s="20">
        <v>32779</v>
      </c>
      <c r="F1529" s="20">
        <v>42577</v>
      </c>
      <c r="G1529" s="12">
        <v>343.98</v>
      </c>
      <c r="H1529" s="12">
        <v>66.133333333333297</v>
      </c>
      <c r="I1529" s="13">
        <v>5.2013104838709703</v>
      </c>
      <c r="J1529" s="12" t="s">
        <v>175</v>
      </c>
      <c r="K1529" s="14">
        <v>435</v>
      </c>
      <c r="L1529" s="14">
        <v>1</v>
      </c>
      <c r="M1529" s="14">
        <v>200</v>
      </c>
      <c r="N1529" s="12">
        <v>343.98</v>
      </c>
      <c r="O1529" s="12" t="s">
        <v>175</v>
      </c>
      <c r="P1529" s="12">
        <v>5.5333832010230899E-2</v>
      </c>
      <c r="Q1529" s="12">
        <v>2.3684308853095599E-2</v>
      </c>
      <c r="R1529" s="12">
        <v>1</v>
      </c>
      <c r="S1529" s="14">
        <v>33</v>
      </c>
      <c r="T1529" s="12">
        <v>3.5552880037021399</v>
      </c>
      <c r="U1529" s="14">
        <v>337</v>
      </c>
      <c r="V1529" s="14">
        <v>66</v>
      </c>
      <c r="W1529" s="12">
        <v>9.1999999999999998E-3</v>
      </c>
      <c r="X1529" s="12">
        <v>3.5644880037021398</v>
      </c>
      <c r="Y1529" s="14">
        <v>337</v>
      </c>
      <c r="Z1529" s="14">
        <v>32</v>
      </c>
      <c r="AA1529" s="12" t="s">
        <v>2367</v>
      </c>
    </row>
    <row r="1530" spans="1:27" ht="14.25" x14ac:dyDescent="0.45">
      <c r="A1530" s="12" t="s">
        <v>176</v>
      </c>
      <c r="B1530" s="12" t="s">
        <v>1980</v>
      </c>
      <c r="C1530" s="12" t="s">
        <v>1972</v>
      </c>
      <c r="D1530" s="12" t="s">
        <v>1973</v>
      </c>
      <c r="E1530" s="20">
        <v>33385</v>
      </c>
      <c r="F1530" s="20">
        <v>43194</v>
      </c>
      <c r="G1530" s="12">
        <v>589.96</v>
      </c>
      <c r="H1530" s="12">
        <v>45.566666666666698</v>
      </c>
      <c r="I1530" s="13">
        <v>12.947183613752699</v>
      </c>
      <c r="J1530" s="12" t="s">
        <v>176</v>
      </c>
      <c r="K1530" s="14">
        <v>227</v>
      </c>
      <c r="L1530" s="14">
        <v>84</v>
      </c>
      <c r="M1530" s="14">
        <v>121</v>
      </c>
      <c r="N1530" s="12">
        <v>589.96</v>
      </c>
      <c r="O1530" s="12" t="s">
        <v>176</v>
      </c>
      <c r="P1530" s="12">
        <v>9.49030395161225E-2</v>
      </c>
      <c r="Q1530" s="12">
        <v>5.8955352970516101E-2</v>
      </c>
      <c r="R1530" s="12">
        <v>0.68901209677419395</v>
      </c>
      <c r="S1530" s="14">
        <v>31</v>
      </c>
      <c r="T1530" s="12">
        <v>7.2435735425118501</v>
      </c>
      <c r="U1530" s="14">
        <v>180</v>
      </c>
      <c r="V1530" s="14">
        <v>7</v>
      </c>
      <c r="W1530" s="12">
        <v>6.1000000000000004E-3</v>
      </c>
      <c r="X1530" s="12">
        <v>7.2496735425118501</v>
      </c>
      <c r="Y1530" s="14">
        <v>180</v>
      </c>
      <c r="Z1530" s="14">
        <v>31</v>
      </c>
      <c r="AA1530" s="12" t="s">
        <v>2367</v>
      </c>
    </row>
    <row r="1531" spans="1:27" ht="14.25" x14ac:dyDescent="0.45">
      <c r="A1531" s="12" t="s">
        <v>192</v>
      </c>
      <c r="B1531" s="12" t="s">
        <v>1980</v>
      </c>
      <c r="C1531" s="12" t="s">
        <v>1972</v>
      </c>
      <c r="D1531" s="12" t="s">
        <v>1995</v>
      </c>
      <c r="E1531" s="20">
        <v>29038</v>
      </c>
      <c r="F1531" s="20">
        <v>43507</v>
      </c>
      <c r="G1531" s="12">
        <v>36.479999999999997</v>
      </c>
      <c r="H1531" s="12">
        <v>35.133333333333297</v>
      </c>
      <c r="I1531" s="13">
        <v>1.0383301707779899</v>
      </c>
      <c r="J1531" s="12" t="s">
        <v>192</v>
      </c>
      <c r="K1531" s="14">
        <v>809</v>
      </c>
      <c r="L1531" s="14">
        <v>227</v>
      </c>
      <c r="M1531" s="14">
        <v>536</v>
      </c>
      <c r="N1531" s="12">
        <v>36.479999999999997</v>
      </c>
      <c r="O1531" s="12" t="s">
        <v>192</v>
      </c>
      <c r="P1531" s="12">
        <v>5.8683010399826303E-3</v>
      </c>
      <c r="Q1531" s="12">
        <v>4.7280646930139099E-3</v>
      </c>
      <c r="R1531" s="12">
        <v>0.53125</v>
      </c>
      <c r="S1531" s="14">
        <v>43</v>
      </c>
      <c r="T1531" s="12">
        <v>0.51556533231271795</v>
      </c>
      <c r="U1531" s="14">
        <v>777</v>
      </c>
      <c r="V1531" s="14">
        <v>5</v>
      </c>
      <c r="W1531" s="12">
        <v>5.8999999999999999E-3</v>
      </c>
      <c r="X1531" s="12">
        <v>0.52146533231271797</v>
      </c>
      <c r="Y1531" s="14">
        <v>777</v>
      </c>
      <c r="Z1531" s="14">
        <v>43</v>
      </c>
      <c r="AA1531" s="12" t="s">
        <v>2369</v>
      </c>
    </row>
    <row r="1532" spans="1:27" ht="14.25" x14ac:dyDescent="0.45">
      <c r="A1532" s="12" t="s">
        <v>193</v>
      </c>
      <c r="B1532" s="12" t="s">
        <v>1980</v>
      </c>
      <c r="C1532" s="12" t="s">
        <v>1972</v>
      </c>
      <c r="D1532" s="12" t="s">
        <v>1975</v>
      </c>
      <c r="E1532" s="20">
        <v>32536</v>
      </c>
      <c r="F1532" s="20">
        <v>43493</v>
      </c>
      <c r="G1532" s="12">
        <v>0.06</v>
      </c>
      <c r="H1532" s="12">
        <v>35.6</v>
      </c>
      <c r="I1532" s="13">
        <v>1.68539325842697E-3</v>
      </c>
      <c r="J1532" s="12" t="s">
        <v>193</v>
      </c>
      <c r="K1532" s="14">
        <v>1814</v>
      </c>
      <c r="L1532" s="14">
        <v>223</v>
      </c>
      <c r="M1532" s="14">
        <v>1867</v>
      </c>
      <c r="N1532" s="12">
        <v>0.06</v>
      </c>
      <c r="O1532" s="12" t="s">
        <v>193</v>
      </c>
      <c r="P1532" s="12">
        <v>9.6518109210240504E-6</v>
      </c>
      <c r="Q1532" s="12">
        <v>7.6744840738293707E-6</v>
      </c>
      <c r="R1532" s="12">
        <v>0.53830645161290303</v>
      </c>
      <c r="S1532" s="14">
        <v>33</v>
      </c>
      <c r="T1532" s="12">
        <v>8.4159816415273799E-4</v>
      </c>
      <c r="U1532" s="14">
        <v>1920</v>
      </c>
      <c r="V1532" s="14">
        <v>1</v>
      </c>
      <c r="W1532" s="12">
        <v>5.4999999999999997E-3</v>
      </c>
      <c r="X1532" s="12">
        <v>6.3415981641527404E-3</v>
      </c>
      <c r="Y1532" s="14">
        <v>1920</v>
      </c>
      <c r="Z1532" s="14">
        <v>33</v>
      </c>
      <c r="AA1532" s="12" t="s">
        <v>2367</v>
      </c>
    </row>
    <row r="1533" spans="1:27" ht="14.25" x14ac:dyDescent="0.45">
      <c r="A1533" s="12" t="s">
        <v>199</v>
      </c>
      <c r="B1533" s="12" t="s">
        <v>1980</v>
      </c>
      <c r="C1533" s="12" t="s">
        <v>1972</v>
      </c>
      <c r="D1533" s="12" t="s">
        <v>2020</v>
      </c>
      <c r="E1533" s="20">
        <v>29485</v>
      </c>
      <c r="F1533" s="20">
        <v>43397</v>
      </c>
      <c r="G1533" s="12">
        <v>2.19</v>
      </c>
      <c r="H1533" s="12">
        <v>38.799999999999997</v>
      </c>
      <c r="I1533" s="13">
        <v>5.64432989690722E-2</v>
      </c>
      <c r="J1533" s="12" t="s">
        <v>199</v>
      </c>
      <c r="K1533" s="14">
        <v>1590</v>
      </c>
      <c r="L1533" s="14">
        <v>206</v>
      </c>
      <c r="M1533" s="14">
        <v>1324</v>
      </c>
      <c r="N1533" s="12">
        <v>2.19</v>
      </c>
      <c r="O1533" s="12" t="s">
        <v>199</v>
      </c>
      <c r="P1533" s="12">
        <v>3.5229109861737801E-4</v>
      </c>
      <c r="Q1533" s="12">
        <v>2.5701609808077001E-4</v>
      </c>
      <c r="R1533" s="12">
        <v>0.58669354838709697</v>
      </c>
      <c r="S1533" s="14">
        <v>42</v>
      </c>
      <c r="T1533" s="12">
        <v>2.9274422328199799E-2</v>
      </c>
      <c r="U1533" s="14">
        <v>1629</v>
      </c>
      <c r="V1533" s="14">
        <v>5</v>
      </c>
      <c r="W1533" s="12">
        <v>5.8999999999999999E-3</v>
      </c>
      <c r="X1533" s="12">
        <v>3.5174422328199798E-2</v>
      </c>
      <c r="Y1533" s="14">
        <v>1623</v>
      </c>
      <c r="Z1533" s="14">
        <v>41</v>
      </c>
      <c r="AA1533" s="12" t="s">
        <v>2369</v>
      </c>
    </row>
    <row r="1534" spans="1:27" ht="14.25" x14ac:dyDescent="0.45">
      <c r="A1534" s="12" t="s">
        <v>218</v>
      </c>
      <c r="B1534" s="12" t="s">
        <v>1980</v>
      </c>
      <c r="C1534" s="12" t="s">
        <v>1972</v>
      </c>
      <c r="D1534" s="12" t="s">
        <v>1982</v>
      </c>
      <c r="E1534" s="20">
        <v>35367</v>
      </c>
      <c r="F1534" s="20">
        <v>43333</v>
      </c>
      <c r="G1534" s="12">
        <v>655.94</v>
      </c>
      <c r="H1534" s="12">
        <v>40.933333333333302</v>
      </c>
      <c r="I1534" s="13">
        <v>16.024592833876198</v>
      </c>
      <c r="J1534" s="12" t="s">
        <v>218</v>
      </c>
      <c r="K1534" s="14">
        <v>176</v>
      </c>
      <c r="L1534" s="14">
        <v>169</v>
      </c>
      <c r="M1534" s="14">
        <v>100</v>
      </c>
      <c r="N1534" s="12">
        <v>655.94</v>
      </c>
      <c r="O1534" s="12" t="s">
        <v>218</v>
      </c>
      <c r="P1534" s="12">
        <v>0.10551681425894199</v>
      </c>
      <c r="Q1534" s="12">
        <v>7.2968419612622099E-2</v>
      </c>
      <c r="R1534" s="12">
        <v>0.61895161290322598</v>
      </c>
      <c r="S1534" s="14">
        <v>26</v>
      </c>
      <c r="T1534" s="12">
        <v>8.5174067604992008</v>
      </c>
      <c r="U1534" s="14">
        <v>132</v>
      </c>
      <c r="V1534" s="14">
        <v>5</v>
      </c>
      <c r="W1534" s="12">
        <v>5.8999999999999999E-3</v>
      </c>
      <c r="X1534" s="12">
        <v>8.5233067604991994</v>
      </c>
      <c r="Y1534" s="14">
        <v>132</v>
      </c>
      <c r="Z1534" s="14">
        <v>25</v>
      </c>
      <c r="AA1534" s="12" t="s">
        <v>2367</v>
      </c>
    </row>
    <row r="1535" spans="1:27" ht="14.25" x14ac:dyDescent="0.45">
      <c r="A1535" s="12" t="s">
        <v>229</v>
      </c>
      <c r="B1535" s="12" t="s">
        <v>1980</v>
      </c>
      <c r="C1535" s="12" t="s">
        <v>1972</v>
      </c>
      <c r="D1535" s="12" t="s">
        <v>1975</v>
      </c>
      <c r="E1535" s="20">
        <v>34817</v>
      </c>
      <c r="F1535" s="20">
        <v>44179</v>
      </c>
      <c r="G1535" s="12">
        <v>7.53</v>
      </c>
      <c r="H1535" s="12">
        <v>12.733333333333301</v>
      </c>
      <c r="I1535" s="13">
        <v>0.591361256544503</v>
      </c>
      <c r="J1535" s="12" t="s">
        <v>229</v>
      </c>
      <c r="K1535" s="14">
        <v>1000</v>
      </c>
      <c r="L1535" s="14">
        <v>700</v>
      </c>
      <c r="M1535" s="14">
        <v>902</v>
      </c>
      <c r="N1535" s="12">
        <v>7.53</v>
      </c>
      <c r="O1535" s="12" t="s">
        <v>229</v>
      </c>
      <c r="P1535" s="12">
        <v>1.2113022705885199E-3</v>
      </c>
      <c r="Q1535" s="12">
        <v>2.6927795768367699E-3</v>
      </c>
      <c r="R1535" s="12">
        <v>0.19254032258064499</v>
      </c>
      <c r="S1535" s="14">
        <v>27</v>
      </c>
      <c r="T1535" s="12">
        <v>0.21372255869936699</v>
      </c>
      <c r="U1535" s="14">
        <v>1020</v>
      </c>
      <c r="V1535" s="14">
        <v>1</v>
      </c>
      <c r="W1535" s="12">
        <v>5.4999999999999997E-3</v>
      </c>
      <c r="X1535" s="12">
        <v>0.21922255869936699</v>
      </c>
      <c r="Y1535" s="14">
        <v>1020</v>
      </c>
      <c r="Z1535" s="14">
        <v>27</v>
      </c>
      <c r="AA1535" s="12" t="s">
        <v>2367</v>
      </c>
    </row>
    <row r="1536" spans="1:27" ht="14.25" x14ac:dyDescent="0.45">
      <c r="A1536" s="12" t="s">
        <v>251</v>
      </c>
      <c r="B1536" s="12" t="s">
        <v>1980</v>
      </c>
      <c r="C1536" s="12" t="s">
        <v>1972</v>
      </c>
      <c r="D1536" s="12" t="s">
        <v>1993</v>
      </c>
      <c r="E1536" s="20">
        <v>30851</v>
      </c>
      <c r="F1536" s="20">
        <v>43286</v>
      </c>
      <c r="G1536" s="12">
        <v>634.63</v>
      </c>
      <c r="H1536" s="12">
        <v>42.5</v>
      </c>
      <c r="I1536" s="13">
        <v>14.932470588235301</v>
      </c>
      <c r="J1536" s="12" t="s">
        <v>251</v>
      </c>
      <c r="K1536" s="14">
        <v>188</v>
      </c>
      <c r="L1536" s="14">
        <v>116</v>
      </c>
      <c r="M1536" s="14">
        <v>107</v>
      </c>
      <c r="N1536" s="12">
        <v>634.63</v>
      </c>
      <c r="O1536" s="12" t="s">
        <v>251</v>
      </c>
      <c r="P1536" s="12">
        <v>0.10208881274682501</v>
      </c>
      <c r="Q1536" s="12">
        <v>6.7995411242653403E-2</v>
      </c>
      <c r="R1536" s="12">
        <v>0.64264112903225801</v>
      </c>
      <c r="S1536" s="14">
        <v>38</v>
      </c>
      <c r="T1536" s="12">
        <v>8.0780436806717706</v>
      </c>
      <c r="U1536" s="14">
        <v>150</v>
      </c>
      <c r="V1536" s="14">
        <v>32</v>
      </c>
      <c r="W1536" s="12">
        <v>7.7999999999999996E-3</v>
      </c>
      <c r="X1536" s="12">
        <v>8.0858436806717702</v>
      </c>
      <c r="Y1536" s="14">
        <v>149</v>
      </c>
      <c r="Z1536" s="14">
        <v>38</v>
      </c>
      <c r="AA1536" s="12" t="s">
        <v>2369</v>
      </c>
    </row>
    <row r="1537" spans="1:27" ht="14.25" x14ac:dyDescent="0.45">
      <c r="A1537" s="12" t="s">
        <v>256</v>
      </c>
      <c r="B1537" s="12" t="s">
        <v>1980</v>
      </c>
      <c r="C1537" s="12" t="s">
        <v>1972</v>
      </c>
      <c r="D1537" s="12" t="s">
        <v>1987</v>
      </c>
      <c r="E1537" s="20">
        <v>35246</v>
      </c>
      <c r="F1537" s="20">
        <v>44169</v>
      </c>
      <c r="G1537" s="12">
        <v>0.08</v>
      </c>
      <c r="H1537" s="12">
        <v>13.0666666666667</v>
      </c>
      <c r="I1537" s="13">
        <v>6.1224489795918399E-3</v>
      </c>
      <c r="J1537" s="12" t="s">
        <v>256</v>
      </c>
      <c r="K1537" s="14">
        <v>1773</v>
      </c>
      <c r="L1537" s="14">
        <v>668</v>
      </c>
      <c r="M1537" s="14">
        <v>1849</v>
      </c>
      <c r="N1537" s="12">
        <v>0.08</v>
      </c>
      <c r="O1537" s="12" t="s">
        <v>256</v>
      </c>
      <c r="P1537" s="12">
        <v>1.2869081228032099E-5</v>
      </c>
      <c r="Q1537" s="12">
        <v>2.7878738064114799E-5</v>
      </c>
      <c r="R1537" s="12">
        <v>0.19758064516129001</v>
      </c>
      <c r="S1537" s="14">
        <v>26</v>
      </c>
      <c r="T1537" s="12">
        <v>2.2250116750583801E-3</v>
      </c>
      <c r="U1537" s="14">
        <v>1873</v>
      </c>
      <c r="V1537" s="14">
        <v>1</v>
      </c>
      <c r="W1537" s="12">
        <v>5.4999999999999997E-3</v>
      </c>
      <c r="X1537" s="12">
        <v>7.7250116750583802E-3</v>
      </c>
      <c r="Y1537" s="14">
        <v>1873</v>
      </c>
      <c r="Z1537" s="14">
        <v>26</v>
      </c>
      <c r="AA1537" s="12" t="s">
        <v>2367</v>
      </c>
    </row>
    <row r="1538" spans="1:27" ht="14.25" x14ac:dyDescent="0.45">
      <c r="A1538" s="12" t="s">
        <v>267</v>
      </c>
      <c r="B1538" s="12" t="s">
        <v>1980</v>
      </c>
      <c r="C1538" s="12" t="s">
        <v>1972</v>
      </c>
      <c r="D1538" s="12" t="s">
        <v>1974</v>
      </c>
      <c r="E1538" s="20">
        <v>35313</v>
      </c>
      <c r="F1538" s="20">
        <v>43746</v>
      </c>
      <c r="G1538" s="12">
        <v>118.02</v>
      </c>
      <c r="H1538" s="12">
        <v>27.1666666666667</v>
      </c>
      <c r="I1538" s="13">
        <v>4.3442944785276101</v>
      </c>
      <c r="J1538" s="12" t="s">
        <v>267</v>
      </c>
      <c r="K1538" s="14">
        <v>476</v>
      </c>
      <c r="L1538" s="14">
        <v>314</v>
      </c>
      <c r="M1538" s="14">
        <v>358</v>
      </c>
      <c r="N1538" s="12">
        <v>118.02</v>
      </c>
      <c r="O1538" s="12" t="s">
        <v>267</v>
      </c>
      <c r="P1538" s="12">
        <v>1.89851120816543E-2</v>
      </c>
      <c r="Q1538" s="12">
        <v>1.9781863147241101E-2</v>
      </c>
      <c r="R1538" s="12">
        <v>0.41078629032258102</v>
      </c>
      <c r="S1538" s="14">
        <v>26</v>
      </c>
      <c r="T1538" s="12">
        <v>1.9483081497646</v>
      </c>
      <c r="U1538" s="14">
        <v>443</v>
      </c>
      <c r="V1538" s="14">
        <v>6</v>
      </c>
      <c r="W1538" s="12">
        <v>6.0000000000000001E-3</v>
      </c>
      <c r="X1538" s="12">
        <v>1.9543081497646</v>
      </c>
      <c r="Y1538" s="14">
        <v>443</v>
      </c>
      <c r="Z1538" s="14">
        <v>25</v>
      </c>
      <c r="AA1538" s="12" t="s">
        <v>2367</v>
      </c>
    </row>
    <row r="1539" spans="1:27" ht="14.25" x14ac:dyDescent="0.45">
      <c r="A1539" s="12" t="s">
        <v>269</v>
      </c>
      <c r="B1539" s="12" t="s">
        <v>1980</v>
      </c>
      <c r="C1539" s="12" t="s">
        <v>1972</v>
      </c>
      <c r="D1539" s="12" t="s">
        <v>1993</v>
      </c>
      <c r="E1539" s="20">
        <v>28076</v>
      </c>
      <c r="F1539" s="20">
        <v>44146</v>
      </c>
      <c r="G1539" s="12">
        <v>468.02</v>
      </c>
      <c r="H1539" s="12">
        <v>13.8333333333333</v>
      </c>
      <c r="I1539" s="13">
        <v>33.832771084337303</v>
      </c>
      <c r="J1539" s="12" t="s">
        <v>269</v>
      </c>
      <c r="K1539" s="14">
        <v>70</v>
      </c>
      <c r="L1539" s="14">
        <v>616</v>
      </c>
      <c r="M1539" s="14">
        <v>153</v>
      </c>
      <c r="N1539" s="12">
        <v>468.02</v>
      </c>
      <c r="O1539" s="12" t="s">
        <v>269</v>
      </c>
      <c r="P1539" s="12">
        <v>7.5287342454294595E-2</v>
      </c>
      <c r="Q1539" s="12">
        <v>0.15405844396375501</v>
      </c>
      <c r="R1539" s="12">
        <v>0.20917338709677399</v>
      </c>
      <c r="S1539" s="14">
        <v>46</v>
      </c>
      <c r="T1539" s="12">
        <v>12.451928089770799</v>
      </c>
      <c r="U1539" s="14">
        <v>86</v>
      </c>
      <c r="V1539" s="14">
        <v>9</v>
      </c>
      <c r="W1539" s="12">
        <v>6.3E-3</v>
      </c>
      <c r="X1539" s="12">
        <v>12.458228089770801</v>
      </c>
      <c r="Y1539" s="14">
        <v>86</v>
      </c>
      <c r="Z1539" s="14">
        <v>45</v>
      </c>
      <c r="AA1539" s="12" t="s">
        <v>2371</v>
      </c>
    </row>
    <row r="1540" spans="1:27" ht="14.25" x14ac:dyDescent="0.45">
      <c r="A1540" s="12" t="s">
        <v>278</v>
      </c>
      <c r="B1540" s="12" t="s">
        <v>1980</v>
      </c>
      <c r="C1540" s="12" t="s">
        <v>1972</v>
      </c>
      <c r="D1540" s="12" t="s">
        <v>1974</v>
      </c>
      <c r="E1540" s="20">
        <v>34879</v>
      </c>
      <c r="F1540" s="20">
        <v>44056</v>
      </c>
      <c r="G1540" s="12">
        <v>25.08</v>
      </c>
      <c r="H1540" s="12">
        <v>16.8333333333333</v>
      </c>
      <c r="I1540" s="13">
        <v>1.4899009900990099</v>
      </c>
      <c r="J1540" s="12" t="s">
        <v>278</v>
      </c>
      <c r="K1540" s="14">
        <v>732</v>
      </c>
      <c r="L1540" s="14">
        <v>460</v>
      </c>
      <c r="M1540" s="14">
        <v>683</v>
      </c>
      <c r="N1540" s="12">
        <v>25.08</v>
      </c>
      <c r="O1540" s="12" t="s">
        <v>278</v>
      </c>
      <c r="P1540" s="12">
        <v>4.03445696498805E-3</v>
      </c>
      <c r="Q1540" s="12">
        <v>6.7843047092578197E-3</v>
      </c>
      <c r="R1540" s="12">
        <v>0.25453629032258102</v>
      </c>
      <c r="S1540" s="14">
        <v>27</v>
      </c>
      <c r="T1540" s="12">
        <v>0.57531118051566599</v>
      </c>
      <c r="U1540" s="14">
        <v>757</v>
      </c>
      <c r="V1540" s="14">
        <v>2</v>
      </c>
      <c r="W1540" s="12">
        <v>5.5999999999999999E-3</v>
      </c>
      <c r="X1540" s="12">
        <v>0.58091118051566604</v>
      </c>
      <c r="Y1540" s="14">
        <v>757</v>
      </c>
      <c r="Z1540" s="14">
        <v>27</v>
      </c>
      <c r="AA1540" s="12" t="s">
        <v>2367</v>
      </c>
    </row>
    <row r="1541" spans="1:27" ht="14.25" x14ac:dyDescent="0.45">
      <c r="A1541" s="12" t="s">
        <v>296</v>
      </c>
      <c r="B1541" s="12" t="s">
        <v>1980</v>
      </c>
      <c r="C1541" s="12" t="s">
        <v>1972</v>
      </c>
      <c r="D1541" s="12" t="s">
        <v>1987</v>
      </c>
      <c r="E1541" s="20">
        <v>32716</v>
      </c>
      <c r="F1541" s="20">
        <v>43137</v>
      </c>
      <c r="G1541" s="12">
        <v>3033.28</v>
      </c>
      <c r="H1541" s="12">
        <v>47.466666666666697</v>
      </c>
      <c r="I1541" s="13">
        <v>63.903370786516902</v>
      </c>
      <c r="J1541" s="12" t="s">
        <v>296</v>
      </c>
      <c r="K1541" s="14">
        <v>37</v>
      </c>
      <c r="L1541" s="14">
        <v>66</v>
      </c>
      <c r="M1541" s="14">
        <v>8</v>
      </c>
      <c r="N1541" s="12">
        <v>3033.28</v>
      </c>
      <c r="O1541" s="12" t="s">
        <v>296</v>
      </c>
      <c r="P1541" s="12">
        <v>0.487944083842064</v>
      </c>
      <c r="Q1541" s="12">
        <v>0.29098573814331402</v>
      </c>
      <c r="R1541" s="12">
        <v>0.717741935483871</v>
      </c>
      <c r="S1541" s="14">
        <v>33</v>
      </c>
      <c r="T1541" s="12">
        <v>36.484511778034502</v>
      </c>
      <c r="U1541" s="14">
        <v>20</v>
      </c>
      <c r="V1541" s="14">
        <v>48</v>
      </c>
      <c r="W1541" s="12">
        <v>8.3999999999999995E-3</v>
      </c>
      <c r="X1541" s="12">
        <v>36.492911778034497</v>
      </c>
      <c r="Y1541" s="14">
        <v>20</v>
      </c>
      <c r="Z1541" s="14">
        <v>32</v>
      </c>
      <c r="AA1541" s="12" t="s">
        <v>2367</v>
      </c>
    </row>
    <row r="1542" spans="1:27" ht="14.25" x14ac:dyDescent="0.45">
      <c r="A1542" s="12" t="s">
        <v>317</v>
      </c>
      <c r="B1542" s="12" t="s">
        <v>1980</v>
      </c>
      <c r="C1542" s="12" t="s">
        <v>1972</v>
      </c>
      <c r="D1542" s="12" t="s">
        <v>1974</v>
      </c>
      <c r="E1542" s="20">
        <v>34648</v>
      </c>
      <c r="F1542" s="20">
        <v>44151</v>
      </c>
      <c r="G1542" s="12">
        <v>29.6</v>
      </c>
      <c r="H1542" s="12">
        <v>13.6666666666667</v>
      </c>
      <c r="I1542" s="13">
        <v>2.16585365853659</v>
      </c>
      <c r="J1542" s="12" t="s">
        <v>317</v>
      </c>
      <c r="K1542" s="14">
        <v>635</v>
      </c>
      <c r="L1542" s="14">
        <v>625</v>
      </c>
      <c r="M1542" s="14">
        <v>568</v>
      </c>
      <c r="N1542" s="12">
        <v>29.6</v>
      </c>
      <c r="O1542" s="12" t="s">
        <v>317</v>
      </c>
      <c r="P1542" s="12">
        <v>4.7615600543718696E-3</v>
      </c>
      <c r="Q1542" s="12">
        <v>9.8622735824858993E-3</v>
      </c>
      <c r="R1542" s="12">
        <v>0.20665322580645201</v>
      </c>
      <c r="S1542" s="14">
        <v>28</v>
      </c>
      <c r="T1542" s="12">
        <v>0.79495060094431402</v>
      </c>
      <c r="U1542" s="14">
        <v>675</v>
      </c>
      <c r="V1542" s="14">
        <v>6</v>
      </c>
      <c r="W1542" s="12">
        <v>6.0000000000000001E-3</v>
      </c>
      <c r="X1542" s="12">
        <v>0.80095060094431403</v>
      </c>
      <c r="Y1542" s="14">
        <v>674</v>
      </c>
      <c r="Z1542" s="14">
        <v>27</v>
      </c>
      <c r="AA1542" s="12" t="s">
        <v>2367</v>
      </c>
    </row>
    <row r="1543" spans="1:27" ht="14.25" x14ac:dyDescent="0.45">
      <c r="A1543" s="12" t="s">
        <v>360</v>
      </c>
      <c r="B1543" s="12" t="s">
        <v>1980</v>
      </c>
      <c r="C1543" s="12" t="s">
        <v>1972</v>
      </c>
      <c r="D1543" s="12" t="s">
        <v>1978</v>
      </c>
      <c r="E1543" s="20">
        <v>35229</v>
      </c>
      <c r="F1543" s="20">
        <v>43531</v>
      </c>
      <c r="G1543" s="12">
        <v>481.43</v>
      </c>
      <c r="H1543" s="12">
        <v>34.3333333333333</v>
      </c>
      <c r="I1543" s="13">
        <v>14.0222330097087</v>
      </c>
      <c r="J1543" s="12" t="s">
        <v>360</v>
      </c>
      <c r="K1543" s="14">
        <v>205</v>
      </c>
      <c r="L1543" s="14">
        <v>232</v>
      </c>
      <c r="M1543" s="14">
        <v>148</v>
      </c>
      <c r="N1543" s="12">
        <v>481.43</v>
      </c>
      <c r="O1543" s="12" t="s">
        <v>360</v>
      </c>
      <c r="P1543" s="12">
        <v>7.74445221951435E-2</v>
      </c>
      <c r="Q1543" s="12">
        <v>6.3850619654770305E-2</v>
      </c>
      <c r="R1543" s="12">
        <v>0.51915322580645196</v>
      </c>
      <c r="S1543" s="14">
        <v>26</v>
      </c>
      <c r="T1543" s="12">
        <v>6.8948333107410198</v>
      </c>
      <c r="U1543" s="14">
        <v>193</v>
      </c>
      <c r="V1543" s="14">
        <v>4</v>
      </c>
      <c r="W1543" s="12">
        <v>5.7999999999999996E-3</v>
      </c>
      <c r="X1543" s="12">
        <v>6.9006333107410196</v>
      </c>
      <c r="Y1543" s="14">
        <v>193</v>
      </c>
      <c r="Z1543" s="14">
        <v>26</v>
      </c>
      <c r="AA1543" s="12" t="s">
        <v>2367</v>
      </c>
    </row>
    <row r="1544" spans="1:27" ht="14.25" x14ac:dyDescent="0.45">
      <c r="A1544" s="12" t="s">
        <v>371</v>
      </c>
      <c r="B1544" s="12" t="s">
        <v>1980</v>
      </c>
      <c r="C1544" s="12" t="s">
        <v>1972</v>
      </c>
      <c r="D1544" s="12" t="s">
        <v>1974</v>
      </c>
      <c r="E1544" s="20">
        <v>30031</v>
      </c>
      <c r="F1544" s="20">
        <v>44188</v>
      </c>
      <c r="G1544" s="12">
        <v>220.75</v>
      </c>
      <c r="H1544" s="12">
        <v>12.4333333333333</v>
      </c>
      <c r="I1544" s="13">
        <v>17.754691689007998</v>
      </c>
      <c r="J1544" s="12" t="s">
        <v>371</v>
      </c>
      <c r="K1544" s="14">
        <v>154</v>
      </c>
      <c r="L1544" s="14">
        <v>737</v>
      </c>
      <c r="M1544" s="14">
        <v>274</v>
      </c>
      <c r="N1544" s="12">
        <v>220.75</v>
      </c>
      <c r="O1544" s="12" t="s">
        <v>371</v>
      </c>
      <c r="P1544" s="12">
        <v>3.5510621013601001E-2</v>
      </c>
      <c r="Q1544" s="12">
        <v>8.0846471837805398E-2</v>
      </c>
      <c r="R1544" s="12">
        <v>0.188004032258065</v>
      </c>
      <c r="S1544" s="14">
        <v>40</v>
      </c>
      <c r="T1544" s="12">
        <v>6.3845527778728801</v>
      </c>
      <c r="U1544" s="14">
        <v>208</v>
      </c>
      <c r="V1544" s="14">
        <v>5</v>
      </c>
      <c r="W1544" s="12">
        <v>5.8999999999999999E-3</v>
      </c>
      <c r="X1544" s="12">
        <v>6.3904527778728797</v>
      </c>
      <c r="Y1544" s="14">
        <v>208</v>
      </c>
      <c r="Z1544" s="14">
        <v>40</v>
      </c>
      <c r="AA1544" s="12" t="s">
        <v>2369</v>
      </c>
    </row>
    <row r="1545" spans="1:27" ht="14.25" x14ac:dyDescent="0.45">
      <c r="A1545" s="12" t="s">
        <v>390</v>
      </c>
      <c r="B1545" s="12" t="s">
        <v>1980</v>
      </c>
      <c r="C1545" s="12" t="s">
        <v>1972</v>
      </c>
      <c r="D1545" s="12" t="s">
        <v>1990</v>
      </c>
      <c r="E1545" s="20">
        <v>33672</v>
      </c>
      <c r="F1545" s="20">
        <v>43257</v>
      </c>
      <c r="G1545" s="12">
        <v>86.98</v>
      </c>
      <c r="H1545" s="12">
        <v>43.466666666666697</v>
      </c>
      <c r="I1545" s="13">
        <v>2.0010736196318999</v>
      </c>
      <c r="J1545" s="12" t="s">
        <v>390</v>
      </c>
      <c r="K1545" s="14">
        <v>658</v>
      </c>
      <c r="L1545" s="14">
        <v>102</v>
      </c>
      <c r="M1545" s="14">
        <v>399</v>
      </c>
      <c r="N1545" s="12">
        <v>86.98</v>
      </c>
      <c r="O1545" s="12" t="s">
        <v>390</v>
      </c>
      <c r="P1545" s="12">
        <v>1.39919085651779E-2</v>
      </c>
      <c r="Q1545" s="12">
        <v>9.1119431904922409E-3</v>
      </c>
      <c r="R1545" s="12">
        <v>0.657258064516129</v>
      </c>
      <c r="S1545" s="14">
        <v>30</v>
      </c>
      <c r="T1545" s="12">
        <v>1.09419302059993</v>
      </c>
      <c r="U1545" s="14">
        <v>556</v>
      </c>
      <c r="V1545" s="14">
        <v>6</v>
      </c>
      <c r="W1545" s="12">
        <v>6.0000000000000001E-3</v>
      </c>
      <c r="X1545" s="12">
        <v>1.10019302059993</v>
      </c>
      <c r="Y1545" s="14">
        <v>557</v>
      </c>
      <c r="Z1545" s="14">
        <v>30</v>
      </c>
      <c r="AA1545" s="12" t="s">
        <v>2367</v>
      </c>
    </row>
    <row r="1546" spans="1:27" ht="14.25" x14ac:dyDescent="0.45">
      <c r="A1546" s="12" t="s">
        <v>397</v>
      </c>
      <c r="B1546" s="12" t="s">
        <v>1980</v>
      </c>
      <c r="C1546" s="12" t="s">
        <v>1972</v>
      </c>
      <c r="D1546" s="12" t="s">
        <v>2026</v>
      </c>
      <c r="E1546" s="20">
        <v>35185</v>
      </c>
      <c r="F1546" s="20">
        <v>44144</v>
      </c>
      <c r="G1546" s="12">
        <v>184.46</v>
      </c>
      <c r="H1546" s="12">
        <v>13.9</v>
      </c>
      <c r="I1546" s="13">
        <v>13.2705035971223</v>
      </c>
      <c r="J1546" s="12" t="s">
        <v>397</v>
      </c>
      <c r="K1546" s="14">
        <v>221</v>
      </c>
      <c r="L1546" s="14">
        <v>610</v>
      </c>
      <c r="M1546" s="14">
        <v>296</v>
      </c>
      <c r="N1546" s="12">
        <v>184.46</v>
      </c>
      <c r="O1546" s="12" t="s">
        <v>397</v>
      </c>
      <c r="P1546" s="12">
        <v>2.9672884041534901E-2</v>
      </c>
      <c r="Q1546" s="12">
        <v>6.0427599314634199E-2</v>
      </c>
      <c r="R1546" s="12">
        <v>0.210181451612903</v>
      </c>
      <c r="S1546" s="14">
        <v>26</v>
      </c>
      <c r="T1546" s="12">
        <v>4.8894581087222004</v>
      </c>
      <c r="U1546" s="14">
        <v>266</v>
      </c>
      <c r="V1546" s="14">
        <v>8</v>
      </c>
      <c r="W1546" s="12">
        <v>6.1999999999999998E-3</v>
      </c>
      <c r="X1546" s="12">
        <v>4.8956581087222002</v>
      </c>
      <c r="Y1546" s="14">
        <v>266</v>
      </c>
      <c r="Z1546" s="14">
        <v>26</v>
      </c>
      <c r="AA1546" s="12" t="s">
        <v>2367</v>
      </c>
    </row>
    <row r="1547" spans="1:27" ht="14.25" x14ac:dyDescent="0.45">
      <c r="A1547" s="12" t="s">
        <v>421</v>
      </c>
      <c r="B1547" s="12" t="s">
        <v>1980</v>
      </c>
      <c r="C1547" s="12" t="s">
        <v>1972</v>
      </c>
      <c r="D1547" s="12" t="s">
        <v>2007</v>
      </c>
      <c r="E1547" s="20">
        <v>33730</v>
      </c>
      <c r="F1547" s="20">
        <v>43745</v>
      </c>
      <c r="G1547" s="12">
        <v>17.63</v>
      </c>
      <c r="H1547" s="12">
        <v>27.2</v>
      </c>
      <c r="I1547" s="13">
        <v>0.64816176470588205</v>
      </c>
      <c r="J1547" s="12" t="s">
        <v>421</v>
      </c>
      <c r="K1547" s="14">
        <v>968</v>
      </c>
      <c r="L1547" s="14">
        <v>307</v>
      </c>
      <c r="M1547" s="14">
        <v>742</v>
      </c>
      <c r="N1547" s="12">
        <v>17.63</v>
      </c>
      <c r="O1547" s="12" t="s">
        <v>421</v>
      </c>
      <c r="P1547" s="12">
        <v>2.83602377562757E-3</v>
      </c>
      <c r="Q1547" s="12">
        <v>2.9514222366969199E-3</v>
      </c>
      <c r="R1547" s="12">
        <v>0.41129032258064502</v>
      </c>
      <c r="S1547" s="14">
        <v>30</v>
      </c>
      <c r="T1547" s="12">
        <v>0.29081478137959099</v>
      </c>
      <c r="U1547" s="14">
        <v>928</v>
      </c>
      <c r="V1547" s="14">
        <v>2</v>
      </c>
      <c r="W1547" s="12">
        <v>5.5999999999999999E-3</v>
      </c>
      <c r="X1547" s="12">
        <v>0.29641478137959099</v>
      </c>
      <c r="Y1547" s="14">
        <v>928</v>
      </c>
      <c r="Z1547" s="14">
        <v>30</v>
      </c>
      <c r="AA1547" s="12" t="s">
        <v>2367</v>
      </c>
    </row>
    <row r="1548" spans="1:27" ht="14.25" x14ac:dyDescent="0.45">
      <c r="A1548" s="12" t="s">
        <v>438</v>
      </c>
      <c r="B1548" s="12" t="s">
        <v>1980</v>
      </c>
      <c r="C1548" s="12" t="s">
        <v>1972</v>
      </c>
      <c r="D1548" s="12" t="s">
        <v>2012</v>
      </c>
      <c r="E1548" s="20">
        <v>30310</v>
      </c>
      <c r="F1548" s="20">
        <v>42803</v>
      </c>
      <c r="G1548" s="12">
        <v>457.31</v>
      </c>
      <c r="H1548" s="12">
        <v>58.6</v>
      </c>
      <c r="I1548" s="13">
        <v>7.8039249146757701</v>
      </c>
      <c r="J1548" s="12" t="s">
        <v>438</v>
      </c>
      <c r="K1548" s="14">
        <v>357</v>
      </c>
      <c r="L1548" s="14">
        <v>5</v>
      </c>
      <c r="M1548" s="14">
        <v>158</v>
      </c>
      <c r="N1548" s="12">
        <v>457.31</v>
      </c>
      <c r="O1548" s="12" t="s">
        <v>438</v>
      </c>
      <c r="P1548" s="12">
        <v>7.3564494204891806E-2</v>
      </c>
      <c r="Q1548" s="12">
        <v>3.5535384499483402E-2</v>
      </c>
      <c r="R1548" s="12">
        <v>0.88608870967741904</v>
      </c>
      <c r="S1548" s="14">
        <v>40</v>
      </c>
      <c r="T1548" s="12">
        <v>4.9796300639011504</v>
      </c>
      <c r="U1548" s="14">
        <v>261</v>
      </c>
      <c r="V1548" s="14">
        <v>5</v>
      </c>
      <c r="W1548" s="12">
        <v>5.8999999999999999E-3</v>
      </c>
      <c r="X1548" s="12">
        <v>4.9855300639011499</v>
      </c>
      <c r="Y1548" s="14">
        <v>261</v>
      </c>
      <c r="Z1548" s="14">
        <v>39</v>
      </c>
      <c r="AA1548" s="12" t="s">
        <v>2369</v>
      </c>
    </row>
    <row r="1549" spans="1:27" ht="14.25" x14ac:dyDescent="0.45">
      <c r="A1549" s="12" t="s">
        <v>445</v>
      </c>
      <c r="B1549" s="12" t="s">
        <v>1980</v>
      </c>
      <c r="C1549" s="12" t="s">
        <v>1972</v>
      </c>
      <c r="D1549" s="12" t="s">
        <v>1982</v>
      </c>
      <c r="E1549" s="20">
        <v>34742</v>
      </c>
      <c r="F1549" s="20">
        <v>44246</v>
      </c>
      <c r="G1549" s="12">
        <v>0.04</v>
      </c>
      <c r="H1549" s="12">
        <v>10.5</v>
      </c>
      <c r="I1549" s="13">
        <v>3.80952380952381E-3</v>
      </c>
      <c r="J1549" s="12" t="s">
        <v>445</v>
      </c>
      <c r="K1549" s="14">
        <v>1789</v>
      </c>
      <c r="L1549" s="14">
        <v>927</v>
      </c>
      <c r="M1549" s="14">
        <v>1890</v>
      </c>
      <c r="N1549" s="12">
        <v>0.04</v>
      </c>
      <c r="O1549" s="12" t="s">
        <v>445</v>
      </c>
      <c r="P1549" s="12">
        <v>6.4345406140160404E-6</v>
      </c>
      <c r="Q1549" s="12">
        <v>1.7346770351004801E-5</v>
      </c>
      <c r="R1549" s="12">
        <v>0.15877016129032301</v>
      </c>
      <c r="S1549" s="14">
        <v>27</v>
      </c>
      <c r="T1549" s="12">
        <v>1.3254684199634E-3</v>
      </c>
      <c r="U1549" s="14">
        <v>1889</v>
      </c>
      <c r="V1549" s="14">
        <v>1</v>
      </c>
      <c r="W1549" s="12">
        <v>5.4999999999999997E-3</v>
      </c>
      <c r="X1549" s="12">
        <v>6.8254684199634003E-3</v>
      </c>
      <c r="Y1549" s="14">
        <v>1891</v>
      </c>
      <c r="Z1549" s="14">
        <v>27</v>
      </c>
      <c r="AA1549" s="12" t="s">
        <v>2367</v>
      </c>
    </row>
    <row r="1550" spans="1:27" ht="14.25" x14ac:dyDescent="0.45">
      <c r="A1550" s="12" t="s">
        <v>448</v>
      </c>
      <c r="B1550" s="12" t="s">
        <v>1980</v>
      </c>
      <c r="C1550" s="12" t="s">
        <v>1972</v>
      </c>
      <c r="D1550" s="12" t="s">
        <v>1974</v>
      </c>
      <c r="E1550" s="20">
        <v>33290</v>
      </c>
      <c r="F1550" s="20">
        <v>43755</v>
      </c>
      <c r="G1550" s="12">
        <v>29.69</v>
      </c>
      <c r="H1550" s="12">
        <v>26.866666666666699</v>
      </c>
      <c r="I1550" s="13">
        <v>1.1050868486352401</v>
      </c>
      <c r="J1550" s="12" t="s">
        <v>448</v>
      </c>
      <c r="K1550" s="14">
        <v>792</v>
      </c>
      <c r="L1550" s="14">
        <v>332</v>
      </c>
      <c r="M1550" s="14">
        <v>567</v>
      </c>
      <c r="N1550" s="12">
        <v>29.69</v>
      </c>
      <c r="O1550" s="12" t="s">
        <v>448</v>
      </c>
      <c r="P1550" s="12">
        <v>4.7760377707533998E-3</v>
      </c>
      <c r="Q1550" s="12">
        <v>5.0320430425626504E-3</v>
      </c>
      <c r="R1550" s="12">
        <v>0.40625</v>
      </c>
      <c r="S1550" s="14">
        <v>31</v>
      </c>
      <c r="T1550" s="12">
        <v>0.49360410656341802</v>
      </c>
      <c r="U1550" s="14">
        <v>785</v>
      </c>
      <c r="V1550" s="14">
        <v>3</v>
      </c>
      <c r="W1550" s="12">
        <v>5.7000000000000002E-3</v>
      </c>
      <c r="X1550" s="12">
        <v>0.499304106563418</v>
      </c>
      <c r="Y1550" s="14">
        <v>785</v>
      </c>
      <c r="Z1550" s="14">
        <v>31</v>
      </c>
      <c r="AA1550" s="12" t="s">
        <v>2367</v>
      </c>
    </row>
    <row r="1551" spans="1:27" ht="14.25" x14ac:dyDescent="0.45">
      <c r="A1551" s="12" t="s">
        <v>449</v>
      </c>
      <c r="B1551" s="12" t="s">
        <v>1980</v>
      </c>
      <c r="C1551" s="12" t="s">
        <v>1972</v>
      </c>
      <c r="D1551" s="12" t="s">
        <v>1974</v>
      </c>
      <c r="E1551" s="20">
        <v>32995</v>
      </c>
      <c r="F1551" s="20">
        <v>43752</v>
      </c>
      <c r="G1551" s="12">
        <v>129.82</v>
      </c>
      <c r="H1551" s="12">
        <v>26.966666666666701</v>
      </c>
      <c r="I1551" s="13">
        <v>4.8140914709517899</v>
      </c>
      <c r="J1551" s="12" t="s">
        <v>449</v>
      </c>
      <c r="K1551" s="14">
        <v>455</v>
      </c>
      <c r="L1551" s="14">
        <v>325</v>
      </c>
      <c r="M1551" s="14">
        <v>342</v>
      </c>
      <c r="N1551" s="12">
        <v>129.82</v>
      </c>
      <c r="O1551" s="12" t="s">
        <v>449</v>
      </c>
      <c r="P1551" s="12">
        <v>2.0883301562788999E-2</v>
      </c>
      <c r="Q1551" s="12">
        <v>2.1921096538774502E-2</v>
      </c>
      <c r="R1551" s="12">
        <v>0.40776209677419401</v>
      </c>
      <c r="S1551" s="14">
        <v>32</v>
      </c>
      <c r="T1551" s="12">
        <v>2.1531923422779999</v>
      </c>
      <c r="U1551" s="14">
        <v>429</v>
      </c>
      <c r="V1551" s="14">
        <v>24</v>
      </c>
      <c r="W1551" s="12">
        <v>7.4000000000000003E-3</v>
      </c>
      <c r="X1551" s="12">
        <v>2.160592342278</v>
      </c>
      <c r="Y1551" s="14">
        <v>429</v>
      </c>
      <c r="Z1551" s="14">
        <v>32</v>
      </c>
      <c r="AA1551" s="12" t="s">
        <v>2367</v>
      </c>
    </row>
    <row r="1552" spans="1:27" ht="14.25" x14ac:dyDescent="0.45">
      <c r="A1552" s="12" t="s">
        <v>458</v>
      </c>
      <c r="B1552" s="12" t="s">
        <v>1980</v>
      </c>
      <c r="C1552" s="12" t="s">
        <v>1972</v>
      </c>
      <c r="D1552" s="12" t="s">
        <v>1974</v>
      </c>
      <c r="E1552" s="20">
        <v>34123</v>
      </c>
      <c r="F1552" s="20">
        <v>44216</v>
      </c>
      <c r="G1552" s="12">
        <v>5.73</v>
      </c>
      <c r="H1552" s="12">
        <v>11.5</v>
      </c>
      <c r="I1552" s="13">
        <v>0.49826086956521698</v>
      </c>
      <c r="J1552" s="12" t="s">
        <v>458</v>
      </c>
      <c r="K1552" s="14">
        <v>1051</v>
      </c>
      <c r="L1552" s="14">
        <v>841</v>
      </c>
      <c r="M1552" s="14">
        <v>985</v>
      </c>
      <c r="N1552" s="12">
        <v>5.73</v>
      </c>
      <c r="O1552" s="12" t="s">
        <v>458</v>
      </c>
      <c r="P1552" s="12">
        <v>9.2174794295779702E-4</v>
      </c>
      <c r="Q1552" s="12">
        <v>2.2688444308004399E-3</v>
      </c>
      <c r="R1552" s="12">
        <v>0.17389112903225801</v>
      </c>
      <c r="S1552" s="14">
        <v>29</v>
      </c>
      <c r="T1552" s="12">
        <v>0.176368324785945</v>
      </c>
      <c r="U1552" s="14">
        <v>1097</v>
      </c>
      <c r="V1552" s="14">
        <v>2</v>
      </c>
      <c r="W1552" s="12">
        <v>5.5999999999999999E-3</v>
      </c>
      <c r="X1552" s="12">
        <v>0.18196832478594499</v>
      </c>
      <c r="Y1552" s="14">
        <v>1097</v>
      </c>
      <c r="Z1552" s="14">
        <v>29</v>
      </c>
      <c r="AA1552" s="12" t="s">
        <v>2367</v>
      </c>
    </row>
    <row r="1553" spans="1:27" ht="14.25" x14ac:dyDescent="0.45">
      <c r="A1553" s="12" t="s">
        <v>464</v>
      </c>
      <c r="B1553" s="12" t="s">
        <v>1980</v>
      </c>
      <c r="C1553" s="12" t="s">
        <v>1972</v>
      </c>
      <c r="D1553" s="12" t="s">
        <v>1975</v>
      </c>
      <c r="E1553" s="20">
        <v>30832</v>
      </c>
      <c r="F1553" s="20">
        <v>44158</v>
      </c>
      <c r="G1553" s="12">
        <v>78.680000000000007</v>
      </c>
      <c r="H1553" s="12">
        <v>13.4333333333333</v>
      </c>
      <c r="I1553" s="13">
        <v>5.8570719602977697</v>
      </c>
      <c r="J1553" s="12" t="s">
        <v>464</v>
      </c>
      <c r="K1553" s="14">
        <v>414</v>
      </c>
      <c r="L1553" s="14">
        <v>642</v>
      </c>
      <c r="M1553" s="14">
        <v>410</v>
      </c>
      <c r="N1553" s="12">
        <v>78.680000000000007</v>
      </c>
      <c r="O1553" s="12" t="s">
        <v>464</v>
      </c>
      <c r="P1553" s="12">
        <v>1.26567413877695E-2</v>
      </c>
      <c r="Q1553" s="12">
        <v>2.6670336583956102E-2</v>
      </c>
      <c r="R1553" s="12">
        <v>0.203125</v>
      </c>
      <c r="S1553" s="14">
        <v>38</v>
      </c>
      <c r="T1553" s="12">
        <v>2.1415238385386202</v>
      </c>
      <c r="U1553" s="14">
        <v>430</v>
      </c>
      <c r="V1553" s="14">
        <v>2</v>
      </c>
      <c r="W1553" s="12">
        <v>5.5999999999999999E-3</v>
      </c>
      <c r="X1553" s="12">
        <v>2.14712383853862</v>
      </c>
      <c r="Y1553" s="14">
        <v>430</v>
      </c>
      <c r="Z1553" s="14">
        <v>38</v>
      </c>
      <c r="AA1553" s="12" t="s">
        <v>2369</v>
      </c>
    </row>
    <row r="1554" spans="1:27" ht="14.25" x14ac:dyDescent="0.45">
      <c r="A1554" s="12" t="s">
        <v>477</v>
      </c>
      <c r="B1554" s="12" t="s">
        <v>1980</v>
      </c>
      <c r="C1554" s="12" t="s">
        <v>1972</v>
      </c>
      <c r="D1554" s="12" t="s">
        <v>1982</v>
      </c>
      <c r="E1554" s="20">
        <v>35391</v>
      </c>
      <c r="F1554" s="20">
        <v>43733</v>
      </c>
      <c r="G1554" s="12">
        <v>2053.14</v>
      </c>
      <c r="H1554" s="12">
        <v>27.6</v>
      </c>
      <c r="I1554" s="13">
        <v>74.389130434782601</v>
      </c>
      <c r="J1554" s="12" t="s">
        <v>477</v>
      </c>
      <c r="K1554" s="14">
        <v>32</v>
      </c>
      <c r="L1554" s="14">
        <v>296</v>
      </c>
      <c r="M1554" s="14">
        <v>21</v>
      </c>
      <c r="N1554" s="12">
        <v>2053.14</v>
      </c>
      <c r="O1554" s="12" t="s">
        <v>477</v>
      </c>
      <c r="P1554" s="12">
        <v>0.33027531790652198</v>
      </c>
      <c r="Q1554" s="12">
        <v>0.33873293009406802</v>
      </c>
      <c r="R1554" s="12">
        <v>0.41733870967741898</v>
      </c>
      <c r="S1554" s="14">
        <v>26</v>
      </c>
      <c r="T1554" s="12">
        <v>33.556132552373803</v>
      </c>
      <c r="U1554" s="14">
        <v>24</v>
      </c>
      <c r="V1554" s="14">
        <v>81</v>
      </c>
      <c r="W1554" s="12">
        <v>9.5999999999999992E-3</v>
      </c>
      <c r="X1554" s="12">
        <v>33.565732552373802</v>
      </c>
      <c r="Y1554" s="14">
        <v>24</v>
      </c>
      <c r="Z1554" s="14">
        <v>25</v>
      </c>
      <c r="AA1554" s="12" t="s">
        <v>2367</v>
      </c>
    </row>
    <row r="1555" spans="1:27" ht="14.25" x14ac:dyDescent="0.45">
      <c r="A1555" s="12" t="s">
        <v>511</v>
      </c>
      <c r="B1555" s="12" t="s">
        <v>1980</v>
      </c>
      <c r="C1555" s="12" t="s">
        <v>1972</v>
      </c>
      <c r="D1555" s="12" t="s">
        <v>1993</v>
      </c>
      <c r="E1555" s="20">
        <v>33067</v>
      </c>
      <c r="F1555" s="20">
        <v>44109</v>
      </c>
      <c r="G1555" s="12">
        <v>1.55</v>
      </c>
      <c r="H1555" s="12">
        <v>15.0666666666667</v>
      </c>
      <c r="I1555" s="13">
        <v>0.10287610619469</v>
      </c>
      <c r="J1555" s="12" t="s">
        <v>511</v>
      </c>
      <c r="K1555" s="14">
        <v>1485</v>
      </c>
      <c r="L1555" s="14">
        <v>501</v>
      </c>
      <c r="M1555" s="14">
        <v>1477</v>
      </c>
      <c r="N1555" s="12">
        <v>1.55</v>
      </c>
      <c r="O1555" s="12" t="s">
        <v>511</v>
      </c>
      <c r="P1555" s="12">
        <v>2.4933844879312098E-4</v>
      </c>
      <c r="Q1555" s="12">
        <v>4.68449149550779E-4</v>
      </c>
      <c r="R1555" s="12">
        <v>0.227822580645161</v>
      </c>
      <c r="S1555" s="14">
        <v>32</v>
      </c>
      <c r="T1555" s="12">
        <v>3.8628263676665803E-2</v>
      </c>
      <c r="U1555" s="14">
        <v>1563</v>
      </c>
      <c r="V1555" s="14">
        <v>2</v>
      </c>
      <c r="W1555" s="12">
        <v>5.5999999999999999E-3</v>
      </c>
      <c r="X1555" s="12">
        <v>4.4228263676665797E-2</v>
      </c>
      <c r="Y1555" s="14">
        <v>1563</v>
      </c>
      <c r="Z1555" s="14">
        <v>31</v>
      </c>
      <c r="AA1555" s="12" t="s">
        <v>2367</v>
      </c>
    </row>
    <row r="1556" spans="1:27" ht="14.25" x14ac:dyDescent="0.45">
      <c r="A1556" s="12" t="s">
        <v>512</v>
      </c>
      <c r="B1556" s="12" t="s">
        <v>1980</v>
      </c>
      <c r="C1556" s="12" t="s">
        <v>1972</v>
      </c>
      <c r="D1556" s="12" t="s">
        <v>2007</v>
      </c>
      <c r="E1556" s="20">
        <v>33971</v>
      </c>
      <c r="F1556" s="20">
        <v>44209</v>
      </c>
      <c r="G1556" s="12">
        <v>5.94</v>
      </c>
      <c r="H1556" s="12">
        <v>11.733333333333301</v>
      </c>
      <c r="I1556" s="13">
        <v>0.50624999999999998</v>
      </c>
      <c r="J1556" s="12" t="s">
        <v>512</v>
      </c>
      <c r="K1556" s="14">
        <v>1045</v>
      </c>
      <c r="L1556" s="14">
        <v>812</v>
      </c>
      <c r="M1556" s="14">
        <v>966</v>
      </c>
      <c r="N1556" s="12">
        <v>5.94</v>
      </c>
      <c r="O1556" s="12" t="s">
        <v>512</v>
      </c>
      <c r="P1556" s="12">
        <v>9.5552928118138101E-4</v>
      </c>
      <c r="Q1556" s="12">
        <v>2.3052231536764998E-3</v>
      </c>
      <c r="R1556" s="12">
        <v>0.17741935483870999</v>
      </c>
      <c r="S1556" s="14">
        <v>29</v>
      </c>
      <c r="T1556" s="12">
        <v>0.17990879514908301</v>
      </c>
      <c r="U1556" s="14">
        <v>1085</v>
      </c>
      <c r="V1556" s="14">
        <v>1</v>
      </c>
      <c r="W1556" s="12">
        <v>5.4999999999999997E-3</v>
      </c>
      <c r="X1556" s="12">
        <v>0.18540879514908301</v>
      </c>
      <c r="Y1556" s="14">
        <v>1085</v>
      </c>
      <c r="Z1556" s="14">
        <v>29</v>
      </c>
      <c r="AA1556" s="12" t="s">
        <v>2367</v>
      </c>
    </row>
    <row r="1557" spans="1:27" ht="14.25" x14ac:dyDescent="0.45">
      <c r="A1557" s="12" t="s">
        <v>514</v>
      </c>
      <c r="B1557" s="12" t="s">
        <v>1980</v>
      </c>
      <c r="C1557" s="12" t="s">
        <v>1972</v>
      </c>
      <c r="D1557" s="12" t="s">
        <v>1995</v>
      </c>
      <c r="E1557" s="20">
        <v>35315</v>
      </c>
      <c r="F1557" s="20">
        <v>43333</v>
      </c>
      <c r="G1557" s="12">
        <v>299.19</v>
      </c>
      <c r="H1557" s="12">
        <v>40.933333333333302</v>
      </c>
      <c r="I1557" s="13">
        <v>7.3092019543973903</v>
      </c>
      <c r="J1557" s="12" t="s">
        <v>514</v>
      </c>
      <c r="K1557" s="14">
        <v>372</v>
      </c>
      <c r="L1557" s="14">
        <v>169</v>
      </c>
      <c r="M1557" s="14">
        <v>223</v>
      </c>
      <c r="N1557" s="12">
        <v>299.19</v>
      </c>
      <c r="O1557" s="12" t="s">
        <v>514</v>
      </c>
      <c r="P1557" s="12">
        <v>4.8128755157686401E-2</v>
      </c>
      <c r="Q1557" s="12">
        <v>3.3282650034912299E-2</v>
      </c>
      <c r="R1557" s="12">
        <v>0.61895161290322598</v>
      </c>
      <c r="S1557" s="14">
        <v>26</v>
      </c>
      <c r="T1557" s="12">
        <v>3.88499394559526</v>
      </c>
      <c r="U1557" s="14">
        <v>318</v>
      </c>
      <c r="V1557" s="14">
        <v>3</v>
      </c>
      <c r="W1557" s="12">
        <v>5.7000000000000002E-3</v>
      </c>
      <c r="X1557" s="12">
        <v>3.8906939455952601</v>
      </c>
      <c r="Y1557" s="14">
        <v>318</v>
      </c>
      <c r="Z1557" s="14">
        <v>25</v>
      </c>
      <c r="AA1557" s="12" t="s">
        <v>2367</v>
      </c>
    </row>
    <row r="1558" spans="1:27" ht="14.25" x14ac:dyDescent="0.45">
      <c r="A1558" s="12" t="s">
        <v>529</v>
      </c>
      <c r="B1558" s="12" t="s">
        <v>1980</v>
      </c>
      <c r="C1558" s="12" t="s">
        <v>1972</v>
      </c>
      <c r="D1558" s="12" t="s">
        <v>1974</v>
      </c>
      <c r="E1558" s="20">
        <v>36402</v>
      </c>
      <c r="F1558" s="20">
        <v>43427</v>
      </c>
      <c r="G1558" s="12">
        <v>200.82</v>
      </c>
      <c r="H1558" s="12">
        <v>37.799999999999997</v>
      </c>
      <c r="I1558" s="13">
        <v>5.3126984126984098</v>
      </c>
      <c r="J1558" s="12" t="s">
        <v>529</v>
      </c>
      <c r="K1558" s="14">
        <v>428</v>
      </c>
      <c r="L1558" s="14">
        <v>211</v>
      </c>
      <c r="M1558" s="14">
        <v>288</v>
      </c>
      <c r="N1558" s="12">
        <v>200.82</v>
      </c>
      <c r="O1558" s="12" t="s">
        <v>529</v>
      </c>
      <c r="P1558" s="12">
        <v>3.2304611152667501E-2</v>
      </c>
      <c r="Q1558" s="12">
        <v>2.4191516818672099E-2</v>
      </c>
      <c r="R1558" s="12">
        <v>0.57157258064516103</v>
      </c>
      <c r="S1558" s="14">
        <v>23</v>
      </c>
      <c r="T1558" s="12">
        <v>2.7233927193920402</v>
      </c>
      <c r="U1558" s="14">
        <v>389</v>
      </c>
      <c r="V1558" s="14">
        <v>18</v>
      </c>
      <c r="W1558" s="12">
        <v>7.0000000000000001E-3</v>
      </c>
      <c r="X1558" s="12">
        <v>2.7303927193920399</v>
      </c>
      <c r="Y1558" s="14">
        <v>389</v>
      </c>
      <c r="Z1558" s="14">
        <v>22</v>
      </c>
      <c r="AA1558" s="12" t="s">
        <v>2370</v>
      </c>
    </row>
    <row r="1559" spans="1:27" ht="14.25" x14ac:dyDescent="0.45">
      <c r="A1559" s="12" t="s">
        <v>531</v>
      </c>
      <c r="B1559" s="12" t="s">
        <v>1980</v>
      </c>
      <c r="C1559" s="12" t="s">
        <v>1972</v>
      </c>
      <c r="D1559" s="12" t="s">
        <v>1993</v>
      </c>
      <c r="E1559" s="20">
        <v>32245</v>
      </c>
      <c r="F1559" s="20">
        <v>43768</v>
      </c>
      <c r="G1559" s="12">
        <v>192.92</v>
      </c>
      <c r="H1559" s="12">
        <v>26.433333333333302</v>
      </c>
      <c r="I1559" s="13">
        <v>7.2983606557377003</v>
      </c>
      <c r="J1559" s="12" t="s">
        <v>531</v>
      </c>
      <c r="K1559" s="14">
        <v>373</v>
      </c>
      <c r="L1559" s="14">
        <v>351</v>
      </c>
      <c r="M1559" s="14">
        <v>293</v>
      </c>
      <c r="N1559" s="12">
        <v>192.92</v>
      </c>
      <c r="O1559" s="12" t="s">
        <v>531</v>
      </c>
      <c r="P1559" s="12">
        <v>3.10337893813993E-2</v>
      </c>
      <c r="Q1559" s="12">
        <v>3.3233283886396299E-2</v>
      </c>
      <c r="R1559" s="12">
        <v>0.39969758064516098</v>
      </c>
      <c r="S1559" s="14">
        <v>34</v>
      </c>
      <c r="T1559" s="12">
        <v>3.2408473447022499</v>
      </c>
      <c r="U1559" s="14">
        <v>358</v>
      </c>
      <c r="V1559" s="14">
        <v>6</v>
      </c>
      <c r="W1559" s="12">
        <v>6.0000000000000001E-3</v>
      </c>
      <c r="X1559" s="12">
        <v>3.2468473447022501</v>
      </c>
      <c r="Y1559" s="14">
        <v>358</v>
      </c>
      <c r="Z1559" s="14">
        <v>34</v>
      </c>
      <c r="AA1559" s="12" t="s">
        <v>2367</v>
      </c>
    </row>
    <row r="1560" spans="1:27" ht="14.25" x14ac:dyDescent="0.45">
      <c r="A1560" s="12" t="s">
        <v>535</v>
      </c>
      <c r="B1560" s="12" t="s">
        <v>1980</v>
      </c>
      <c r="C1560" s="12" t="s">
        <v>1972</v>
      </c>
      <c r="D1560" s="12" t="s">
        <v>1975</v>
      </c>
      <c r="E1560" s="20">
        <v>35065</v>
      </c>
      <c r="F1560" s="20">
        <v>43161</v>
      </c>
      <c r="G1560" s="12">
        <v>144.56</v>
      </c>
      <c r="H1560" s="12">
        <v>46.6666666666667</v>
      </c>
      <c r="I1560" s="13">
        <v>3.0977142857142899</v>
      </c>
      <c r="J1560" s="12" t="s">
        <v>535</v>
      </c>
      <c r="K1560" s="14">
        <v>549</v>
      </c>
      <c r="L1560" s="14">
        <v>76</v>
      </c>
      <c r="M1560" s="14">
        <v>327</v>
      </c>
      <c r="N1560" s="12">
        <v>144.56</v>
      </c>
      <c r="O1560" s="12" t="s">
        <v>535</v>
      </c>
      <c r="P1560" s="12">
        <v>2.3254429779053998E-2</v>
      </c>
      <c r="Q1560" s="12">
        <v>1.41055263109195E-2</v>
      </c>
      <c r="R1560" s="12">
        <v>0.70564516129032295</v>
      </c>
      <c r="S1560" s="14">
        <v>26</v>
      </c>
      <c r="T1560" s="12">
        <v>1.753636511147</v>
      </c>
      <c r="U1560" s="14">
        <v>460</v>
      </c>
      <c r="V1560" s="14">
        <v>12</v>
      </c>
      <c r="W1560" s="12">
        <v>6.6E-3</v>
      </c>
      <c r="X1560" s="12">
        <v>1.760236511147</v>
      </c>
      <c r="Y1560" s="14">
        <v>460</v>
      </c>
      <c r="Z1560" s="14">
        <v>26</v>
      </c>
      <c r="AA1560" s="12" t="s">
        <v>2367</v>
      </c>
    </row>
    <row r="1561" spans="1:27" ht="14.25" x14ac:dyDescent="0.45">
      <c r="A1561" s="12" t="s">
        <v>542</v>
      </c>
      <c r="B1561" s="12" t="s">
        <v>1980</v>
      </c>
      <c r="C1561" s="12" t="s">
        <v>1972</v>
      </c>
      <c r="D1561" s="12" t="s">
        <v>1975</v>
      </c>
      <c r="E1561" s="20">
        <v>35551</v>
      </c>
      <c r="F1561" s="20">
        <v>44186</v>
      </c>
      <c r="G1561" s="12">
        <v>2.2000000000000002</v>
      </c>
      <c r="H1561" s="12">
        <v>12.5</v>
      </c>
      <c r="I1561" s="13">
        <v>0.17599999999999999</v>
      </c>
      <c r="J1561" s="12" t="s">
        <v>542</v>
      </c>
      <c r="K1561" s="14">
        <v>1376</v>
      </c>
      <c r="L1561" s="14">
        <v>723</v>
      </c>
      <c r="M1561" s="14">
        <v>1321</v>
      </c>
      <c r="N1561" s="12">
        <v>2.2000000000000002</v>
      </c>
      <c r="O1561" s="12" t="s">
        <v>542</v>
      </c>
      <c r="P1561" s="12">
        <v>3.5389973377088202E-4</v>
      </c>
      <c r="Q1561" s="12">
        <v>8.0142079021642198E-4</v>
      </c>
      <c r="R1561" s="12">
        <v>0.18901209677419401</v>
      </c>
      <c r="S1561" s="14">
        <v>25</v>
      </c>
      <c r="T1561" s="12">
        <v>6.3360039404934398E-2</v>
      </c>
      <c r="U1561" s="14">
        <v>1470</v>
      </c>
      <c r="V1561" s="14">
        <v>1</v>
      </c>
      <c r="W1561" s="12">
        <v>5.4999999999999997E-3</v>
      </c>
      <c r="X1561" s="12">
        <v>6.8860039404934403E-2</v>
      </c>
      <c r="Y1561" s="14">
        <v>1470</v>
      </c>
      <c r="Z1561" s="14">
        <v>25</v>
      </c>
      <c r="AA1561" s="12" t="s">
        <v>2367</v>
      </c>
    </row>
    <row r="1562" spans="1:27" ht="14.25" x14ac:dyDescent="0.45">
      <c r="A1562" s="12" t="s">
        <v>571</v>
      </c>
      <c r="B1562" s="12" t="s">
        <v>1980</v>
      </c>
      <c r="C1562" s="12" t="s">
        <v>1972</v>
      </c>
      <c r="D1562" s="12" t="s">
        <v>2020</v>
      </c>
      <c r="E1562" s="20">
        <v>32228</v>
      </c>
      <c r="F1562" s="20">
        <v>42922</v>
      </c>
      <c r="G1562" s="12">
        <v>34.29</v>
      </c>
      <c r="H1562" s="12">
        <v>54.633333333333297</v>
      </c>
      <c r="I1562" s="13">
        <v>0.62763880414887097</v>
      </c>
      <c r="J1562" s="12" t="s">
        <v>571</v>
      </c>
      <c r="K1562" s="14">
        <v>977</v>
      </c>
      <c r="L1562" s="14">
        <v>38</v>
      </c>
      <c r="M1562" s="14">
        <v>547</v>
      </c>
      <c r="N1562" s="12">
        <v>34.29</v>
      </c>
      <c r="O1562" s="12" t="s">
        <v>571</v>
      </c>
      <c r="P1562" s="12">
        <v>5.5160099413652502E-3</v>
      </c>
      <c r="Q1562" s="12">
        <v>2.85797037722431E-3</v>
      </c>
      <c r="R1562" s="12">
        <v>0.82610887096774199</v>
      </c>
      <c r="S1562" s="14">
        <v>34</v>
      </c>
      <c r="T1562" s="12">
        <v>0.38547352137771601</v>
      </c>
      <c r="U1562" s="14">
        <v>841</v>
      </c>
      <c r="V1562" s="14">
        <v>6</v>
      </c>
      <c r="W1562" s="12">
        <v>6.0000000000000001E-3</v>
      </c>
      <c r="X1562" s="12">
        <v>0.39147352137771602</v>
      </c>
      <c r="Y1562" s="14">
        <v>841</v>
      </c>
      <c r="Z1562" s="14">
        <v>34</v>
      </c>
      <c r="AA1562" s="12" t="s">
        <v>2367</v>
      </c>
    </row>
    <row r="1563" spans="1:27" ht="14.25" x14ac:dyDescent="0.45">
      <c r="A1563" s="12" t="s">
        <v>574</v>
      </c>
      <c r="B1563" s="12" t="s">
        <v>1980</v>
      </c>
      <c r="C1563" s="12" t="s">
        <v>1972</v>
      </c>
      <c r="D1563" s="12" t="s">
        <v>1993</v>
      </c>
      <c r="E1563" s="20">
        <v>33952</v>
      </c>
      <c r="F1563" s="20">
        <v>43137</v>
      </c>
      <c r="G1563" s="12">
        <v>722.9</v>
      </c>
      <c r="H1563" s="12">
        <v>47.466666666666697</v>
      </c>
      <c r="I1563" s="13">
        <v>15.2296348314607</v>
      </c>
      <c r="J1563" s="12" t="s">
        <v>574</v>
      </c>
      <c r="K1563" s="14">
        <v>186</v>
      </c>
      <c r="L1563" s="14">
        <v>66</v>
      </c>
      <c r="M1563" s="14">
        <v>89</v>
      </c>
      <c r="N1563" s="12">
        <v>722.9</v>
      </c>
      <c r="O1563" s="12" t="s">
        <v>574</v>
      </c>
      <c r="P1563" s="12">
        <v>0.116288235246805</v>
      </c>
      <c r="Q1563" s="12">
        <v>6.9348556712140602E-2</v>
      </c>
      <c r="R1563" s="12">
        <v>0.717741935483871</v>
      </c>
      <c r="S1563" s="14">
        <v>30</v>
      </c>
      <c r="T1563" s="12">
        <v>8.6950936162639696</v>
      </c>
      <c r="U1563" s="14">
        <v>121</v>
      </c>
      <c r="V1563" s="14">
        <v>9</v>
      </c>
      <c r="W1563" s="12">
        <v>6.3E-3</v>
      </c>
      <c r="X1563" s="12">
        <v>8.7013936162639691</v>
      </c>
      <c r="Y1563" s="14">
        <v>121</v>
      </c>
      <c r="Z1563" s="14">
        <v>29</v>
      </c>
      <c r="AA1563" s="12" t="s">
        <v>2367</v>
      </c>
    </row>
    <row r="1564" spans="1:27" ht="14.25" x14ac:dyDescent="0.45">
      <c r="A1564" s="12" t="s">
        <v>591</v>
      </c>
      <c r="B1564" s="12" t="s">
        <v>1980</v>
      </c>
      <c r="C1564" s="12" t="s">
        <v>1972</v>
      </c>
      <c r="D1564" s="12" t="s">
        <v>1974</v>
      </c>
      <c r="E1564" s="20">
        <v>35039</v>
      </c>
      <c r="F1564" s="20">
        <v>43319</v>
      </c>
      <c r="G1564" s="12">
        <v>0.79</v>
      </c>
      <c r="H1564" s="12">
        <v>41.4</v>
      </c>
      <c r="I1564" s="13">
        <v>1.90821256038647E-2</v>
      </c>
      <c r="J1564" s="12" t="s">
        <v>591</v>
      </c>
      <c r="K1564" s="14">
        <v>1690</v>
      </c>
      <c r="L1564" s="14">
        <v>146</v>
      </c>
      <c r="M1564" s="14">
        <v>1600</v>
      </c>
      <c r="N1564" s="12">
        <v>0.79</v>
      </c>
      <c r="O1564" s="12" t="s">
        <v>591</v>
      </c>
      <c r="P1564" s="12">
        <v>1.27082177126817E-4</v>
      </c>
      <c r="Q1564" s="12">
        <v>8.6890978298058397E-5</v>
      </c>
      <c r="R1564" s="12">
        <v>0.626008064516129</v>
      </c>
      <c r="S1564" s="14">
        <v>27</v>
      </c>
      <c r="T1564" s="12">
        <v>1.0196267785884301E-2</v>
      </c>
      <c r="U1564" s="14">
        <v>1758</v>
      </c>
      <c r="V1564" s="14">
        <v>1</v>
      </c>
      <c r="W1564" s="12">
        <v>5.4999999999999997E-3</v>
      </c>
      <c r="X1564" s="12">
        <v>1.5696267785884298E-2</v>
      </c>
      <c r="Y1564" s="14">
        <v>1759</v>
      </c>
      <c r="Z1564" s="14">
        <v>26</v>
      </c>
      <c r="AA1564" s="12" t="s">
        <v>2367</v>
      </c>
    </row>
    <row r="1565" spans="1:27" ht="14.25" x14ac:dyDescent="0.45">
      <c r="A1565" s="12" t="s">
        <v>601</v>
      </c>
      <c r="B1565" s="12" t="s">
        <v>1980</v>
      </c>
      <c r="C1565" s="12" t="s">
        <v>1972</v>
      </c>
      <c r="D1565" s="12" t="s">
        <v>1987</v>
      </c>
      <c r="E1565" s="20">
        <v>35731</v>
      </c>
      <c r="F1565" s="20">
        <v>44250</v>
      </c>
      <c r="G1565" s="12">
        <v>2.27</v>
      </c>
      <c r="H1565" s="12">
        <v>10.366666666666699</v>
      </c>
      <c r="I1565" s="13">
        <v>0.21897106109324799</v>
      </c>
      <c r="J1565" s="12" t="s">
        <v>601</v>
      </c>
      <c r="K1565" s="14">
        <v>1321</v>
      </c>
      <c r="L1565" s="14">
        <v>960</v>
      </c>
      <c r="M1565" s="14">
        <v>1310</v>
      </c>
      <c r="N1565" s="12">
        <v>2.27</v>
      </c>
      <c r="O1565" s="12" t="s">
        <v>601</v>
      </c>
      <c r="P1565" s="12">
        <v>3.6516017984541E-4</v>
      </c>
      <c r="Q1565" s="12">
        <v>9.9709068645385704E-4</v>
      </c>
      <c r="R1565" s="12">
        <v>0.156754032258065</v>
      </c>
      <c r="S1565" s="14">
        <v>25</v>
      </c>
      <c r="T1565" s="12">
        <v>7.6011674647568903E-2</v>
      </c>
      <c r="U1565" s="14">
        <v>1396</v>
      </c>
      <c r="V1565" s="14">
        <v>2</v>
      </c>
      <c r="W1565" s="12">
        <v>5.5999999999999999E-3</v>
      </c>
      <c r="X1565" s="12">
        <v>8.1611674647568896E-2</v>
      </c>
      <c r="Y1565" s="14">
        <v>1396</v>
      </c>
      <c r="Z1565" s="14">
        <v>24</v>
      </c>
      <c r="AA1565" s="12" t="s">
        <v>2370</v>
      </c>
    </row>
    <row r="1566" spans="1:27" ht="14.25" x14ac:dyDescent="0.45">
      <c r="A1566" s="12" t="s">
        <v>605</v>
      </c>
      <c r="B1566" s="12" t="s">
        <v>1980</v>
      </c>
      <c r="C1566" s="12" t="s">
        <v>1972</v>
      </c>
      <c r="D1566" s="12" t="s">
        <v>1978</v>
      </c>
      <c r="E1566" s="20">
        <v>36292</v>
      </c>
      <c r="F1566" s="20">
        <v>44244</v>
      </c>
      <c r="G1566" s="12">
        <v>27.5</v>
      </c>
      <c r="H1566" s="12">
        <v>10.5666666666667</v>
      </c>
      <c r="I1566" s="13">
        <v>2.6025236593059899</v>
      </c>
      <c r="J1566" s="12" t="s">
        <v>605</v>
      </c>
      <c r="K1566" s="14">
        <v>587</v>
      </c>
      <c r="L1566" s="14">
        <v>894</v>
      </c>
      <c r="M1566" s="14">
        <v>593</v>
      </c>
      <c r="N1566" s="12">
        <v>27.5</v>
      </c>
      <c r="O1566" s="12" t="s">
        <v>605</v>
      </c>
      <c r="P1566" s="12">
        <v>4.4237466721360197E-3</v>
      </c>
      <c r="Q1566" s="12">
        <v>1.18506623158974E-2</v>
      </c>
      <c r="R1566" s="12">
        <v>0.15977822580645201</v>
      </c>
      <c r="S1566" s="14">
        <v>23</v>
      </c>
      <c r="T1566" s="12">
        <v>0.90655689494868796</v>
      </c>
      <c r="U1566" s="14">
        <v>617</v>
      </c>
      <c r="V1566" s="14">
        <v>1</v>
      </c>
      <c r="W1566" s="12">
        <v>5.4999999999999997E-3</v>
      </c>
      <c r="X1566" s="12">
        <v>0.91205689494868802</v>
      </c>
      <c r="Y1566" s="14">
        <v>617</v>
      </c>
      <c r="Z1566" s="14">
        <v>23</v>
      </c>
      <c r="AA1566" s="12" t="s">
        <v>2370</v>
      </c>
    </row>
    <row r="1567" spans="1:27" ht="14.25" x14ac:dyDescent="0.45">
      <c r="A1567" s="12" t="s">
        <v>609</v>
      </c>
      <c r="B1567" s="12" t="s">
        <v>1980</v>
      </c>
      <c r="C1567" s="12" t="s">
        <v>1972</v>
      </c>
      <c r="D1567" s="12" t="s">
        <v>2007</v>
      </c>
      <c r="E1567" s="20">
        <v>30469</v>
      </c>
      <c r="F1567" s="20">
        <v>43600</v>
      </c>
      <c r="G1567" s="12">
        <v>27.5</v>
      </c>
      <c r="H1567" s="12">
        <v>32.033333333333303</v>
      </c>
      <c r="I1567" s="13">
        <v>0.85848074921956297</v>
      </c>
      <c r="J1567" s="12" t="s">
        <v>609</v>
      </c>
      <c r="K1567" s="14">
        <v>873</v>
      </c>
      <c r="L1567" s="14">
        <v>244</v>
      </c>
      <c r="M1567" s="14">
        <v>593</v>
      </c>
      <c r="N1567" s="12">
        <v>27.5</v>
      </c>
      <c r="O1567" s="12" t="s">
        <v>609</v>
      </c>
      <c r="P1567" s="12">
        <v>4.4237466721360197E-3</v>
      </c>
      <c r="Q1567" s="12">
        <v>3.9091154569609503E-3</v>
      </c>
      <c r="R1567" s="12">
        <v>0.484375</v>
      </c>
      <c r="S1567" s="14">
        <v>39</v>
      </c>
      <c r="T1567" s="12">
        <v>0.41021021626516002</v>
      </c>
      <c r="U1567" s="14">
        <v>818</v>
      </c>
      <c r="V1567" s="14">
        <v>1</v>
      </c>
      <c r="W1567" s="12">
        <v>5.4999999999999997E-3</v>
      </c>
      <c r="X1567" s="12">
        <v>0.41571021626516003</v>
      </c>
      <c r="Y1567" s="14">
        <v>818</v>
      </c>
      <c r="Z1567" s="14">
        <v>39</v>
      </c>
      <c r="AA1567" s="12" t="s">
        <v>2369</v>
      </c>
    </row>
    <row r="1568" spans="1:27" ht="14.25" x14ac:dyDescent="0.45">
      <c r="A1568" s="12" t="s">
        <v>629</v>
      </c>
      <c r="B1568" s="12" t="s">
        <v>1980</v>
      </c>
      <c r="C1568" s="12" t="s">
        <v>1972</v>
      </c>
      <c r="D1568" s="12" t="s">
        <v>1982</v>
      </c>
      <c r="E1568" s="20">
        <v>35698</v>
      </c>
      <c r="F1568" s="20">
        <v>44211</v>
      </c>
      <c r="G1568" s="12">
        <v>28.69</v>
      </c>
      <c r="H1568" s="12">
        <v>11.6666666666667</v>
      </c>
      <c r="I1568" s="13">
        <v>2.4591428571428602</v>
      </c>
      <c r="J1568" s="12" t="s">
        <v>629</v>
      </c>
      <c r="K1568" s="14">
        <v>596</v>
      </c>
      <c r="L1568" s="14">
        <v>823</v>
      </c>
      <c r="M1568" s="14">
        <v>579</v>
      </c>
      <c r="N1568" s="12">
        <v>28.69</v>
      </c>
      <c r="O1568" s="12" t="s">
        <v>629</v>
      </c>
      <c r="P1568" s="12">
        <v>4.6151742554029996E-3</v>
      </c>
      <c r="Q1568" s="12">
        <v>1.11977739308324E-2</v>
      </c>
      <c r="R1568" s="12">
        <v>0.17641129032258099</v>
      </c>
      <c r="S1568" s="14">
        <v>25</v>
      </c>
      <c r="T1568" s="12">
        <v>0.87292990525463598</v>
      </c>
      <c r="U1568" s="14">
        <v>643</v>
      </c>
      <c r="V1568" s="14">
        <v>4</v>
      </c>
      <c r="W1568" s="12">
        <v>5.7999999999999996E-3</v>
      </c>
      <c r="X1568" s="12">
        <v>0.87872990525463601</v>
      </c>
      <c r="Y1568" s="14">
        <v>643</v>
      </c>
      <c r="Z1568" s="14">
        <v>24</v>
      </c>
      <c r="AA1568" s="12" t="s">
        <v>2370</v>
      </c>
    </row>
    <row r="1569" spans="1:27" ht="14.25" x14ac:dyDescent="0.45">
      <c r="A1569" s="12" t="s">
        <v>630</v>
      </c>
      <c r="B1569" s="12" t="s">
        <v>1980</v>
      </c>
      <c r="C1569" s="12" t="s">
        <v>1972</v>
      </c>
      <c r="D1569" s="12" t="s">
        <v>1993</v>
      </c>
      <c r="E1569" s="20">
        <v>35743</v>
      </c>
      <c r="F1569" s="20">
        <v>44244</v>
      </c>
      <c r="G1569" s="12">
        <v>27.5</v>
      </c>
      <c r="H1569" s="12">
        <v>10.5666666666667</v>
      </c>
      <c r="I1569" s="13">
        <v>2.6025236593059899</v>
      </c>
      <c r="J1569" s="12" t="s">
        <v>630</v>
      </c>
      <c r="K1569" s="14">
        <v>587</v>
      </c>
      <c r="L1569" s="14">
        <v>894</v>
      </c>
      <c r="M1569" s="14">
        <v>593</v>
      </c>
      <c r="N1569" s="12">
        <v>27.5</v>
      </c>
      <c r="O1569" s="12" t="s">
        <v>630</v>
      </c>
      <c r="P1569" s="12">
        <v>4.4237466721360197E-3</v>
      </c>
      <c r="Q1569" s="12">
        <v>1.18506623158974E-2</v>
      </c>
      <c r="R1569" s="12">
        <v>0.15977822580645201</v>
      </c>
      <c r="S1569" s="14">
        <v>25</v>
      </c>
      <c r="T1569" s="12">
        <v>0.90655689494868796</v>
      </c>
      <c r="U1569" s="14">
        <v>617</v>
      </c>
      <c r="V1569" s="14">
        <v>1</v>
      </c>
      <c r="W1569" s="12">
        <v>5.4999999999999997E-3</v>
      </c>
      <c r="X1569" s="12">
        <v>0.91205689494868802</v>
      </c>
      <c r="Y1569" s="14">
        <v>617</v>
      </c>
      <c r="Z1569" s="14">
        <v>24</v>
      </c>
      <c r="AA1569" s="12" t="s">
        <v>2370</v>
      </c>
    </row>
    <row r="1570" spans="1:27" ht="14.25" x14ac:dyDescent="0.45">
      <c r="A1570" s="12" t="s">
        <v>633</v>
      </c>
      <c r="B1570" s="12" t="s">
        <v>1980</v>
      </c>
      <c r="C1570" s="12" t="s">
        <v>1972</v>
      </c>
      <c r="D1570" s="12" t="s">
        <v>1983</v>
      </c>
      <c r="E1570" s="20">
        <v>33135</v>
      </c>
      <c r="F1570" s="20">
        <v>43726</v>
      </c>
      <c r="G1570" s="12">
        <v>27.5</v>
      </c>
      <c r="H1570" s="12">
        <v>27.8333333333333</v>
      </c>
      <c r="I1570" s="13">
        <v>0.98802395209580796</v>
      </c>
      <c r="J1570" s="12" t="s">
        <v>633</v>
      </c>
      <c r="K1570" s="14">
        <v>825</v>
      </c>
      <c r="L1570" s="14">
        <v>293</v>
      </c>
      <c r="M1570" s="14">
        <v>593</v>
      </c>
      <c r="N1570" s="12">
        <v>27.5</v>
      </c>
      <c r="O1570" s="12" t="s">
        <v>633</v>
      </c>
      <c r="P1570" s="12">
        <v>4.4237466721360197E-3</v>
      </c>
      <c r="Q1570" s="12">
        <v>4.4989939570532602E-3</v>
      </c>
      <c r="R1570" s="12">
        <v>0.420866935483871</v>
      </c>
      <c r="S1570" s="14">
        <v>32</v>
      </c>
      <c r="T1570" s="12">
        <v>0.44707762252092997</v>
      </c>
      <c r="U1570" s="14">
        <v>798</v>
      </c>
      <c r="V1570" s="14">
        <v>1</v>
      </c>
      <c r="W1570" s="12">
        <v>5.4999999999999997E-3</v>
      </c>
      <c r="X1570" s="12">
        <v>0.45257762252092998</v>
      </c>
      <c r="Y1570" s="14">
        <v>798</v>
      </c>
      <c r="Z1570" s="14">
        <v>31</v>
      </c>
      <c r="AA1570" s="12" t="s">
        <v>2367</v>
      </c>
    </row>
    <row r="1571" spans="1:27" ht="14.25" x14ac:dyDescent="0.45">
      <c r="A1571" s="12" t="s">
        <v>634</v>
      </c>
      <c r="B1571" s="12" t="s">
        <v>1980</v>
      </c>
      <c r="C1571" s="12" t="s">
        <v>1972</v>
      </c>
      <c r="D1571" s="12" t="s">
        <v>2026</v>
      </c>
      <c r="E1571" s="20">
        <v>33853</v>
      </c>
      <c r="F1571" s="20">
        <v>44211</v>
      </c>
      <c r="G1571" s="12">
        <v>27.5</v>
      </c>
      <c r="H1571" s="12">
        <v>11.6666666666667</v>
      </c>
      <c r="I1571" s="13">
        <v>2.3571428571428599</v>
      </c>
      <c r="J1571" s="12" t="s">
        <v>634</v>
      </c>
      <c r="K1571" s="14">
        <v>610</v>
      </c>
      <c r="L1571" s="14">
        <v>823</v>
      </c>
      <c r="M1571" s="14">
        <v>593</v>
      </c>
      <c r="N1571" s="12">
        <v>27.5</v>
      </c>
      <c r="O1571" s="12" t="s">
        <v>634</v>
      </c>
      <c r="P1571" s="12">
        <v>4.4237466721360197E-3</v>
      </c>
      <c r="Q1571" s="12">
        <v>1.07333141546842E-2</v>
      </c>
      <c r="R1571" s="12">
        <v>0.17641129032258099</v>
      </c>
      <c r="S1571" s="14">
        <v>30</v>
      </c>
      <c r="T1571" s="12">
        <v>0.83672263487286402</v>
      </c>
      <c r="U1571" s="14">
        <v>652</v>
      </c>
      <c r="V1571" s="14">
        <v>1</v>
      </c>
      <c r="W1571" s="12">
        <v>5.4999999999999997E-3</v>
      </c>
      <c r="X1571" s="12">
        <v>0.84222263487286397</v>
      </c>
      <c r="Y1571" s="14">
        <v>652</v>
      </c>
      <c r="Z1571" s="14">
        <v>29</v>
      </c>
      <c r="AA1571" s="12" t="s">
        <v>2367</v>
      </c>
    </row>
    <row r="1572" spans="1:27" ht="14.25" x14ac:dyDescent="0.45">
      <c r="A1572" s="12" t="s">
        <v>635</v>
      </c>
      <c r="B1572" s="12" t="s">
        <v>1980</v>
      </c>
      <c r="C1572" s="12" t="s">
        <v>1972</v>
      </c>
      <c r="D1572" s="12" t="s">
        <v>1997</v>
      </c>
      <c r="E1572" s="20">
        <v>33450</v>
      </c>
      <c r="F1572" s="20">
        <v>44244</v>
      </c>
      <c r="G1572" s="12">
        <v>27.5</v>
      </c>
      <c r="H1572" s="12">
        <v>10.5666666666667</v>
      </c>
      <c r="I1572" s="13">
        <v>2.6025236593059899</v>
      </c>
      <c r="J1572" s="12" t="s">
        <v>635</v>
      </c>
      <c r="K1572" s="14">
        <v>587</v>
      </c>
      <c r="L1572" s="14">
        <v>894</v>
      </c>
      <c r="M1572" s="14">
        <v>593</v>
      </c>
      <c r="N1572" s="12">
        <v>27.5</v>
      </c>
      <c r="O1572" s="12" t="s">
        <v>635</v>
      </c>
      <c r="P1572" s="12">
        <v>4.4237466721360197E-3</v>
      </c>
      <c r="Q1572" s="12">
        <v>1.18506623158974E-2</v>
      </c>
      <c r="R1572" s="12">
        <v>0.15977822580645201</v>
      </c>
      <c r="S1572" s="14">
        <v>31</v>
      </c>
      <c r="T1572" s="12">
        <v>0.90655689494868796</v>
      </c>
      <c r="U1572" s="14">
        <v>617</v>
      </c>
      <c r="V1572" s="14">
        <v>1</v>
      </c>
      <c r="W1572" s="12">
        <v>5.4999999999999997E-3</v>
      </c>
      <c r="X1572" s="12">
        <v>0.91205689494868802</v>
      </c>
      <c r="Y1572" s="14">
        <v>617</v>
      </c>
      <c r="Z1572" s="14">
        <v>30</v>
      </c>
      <c r="AA1572" s="12" t="s">
        <v>2367</v>
      </c>
    </row>
    <row r="1573" spans="1:27" ht="14.25" x14ac:dyDescent="0.45">
      <c r="A1573" s="12" t="s">
        <v>636</v>
      </c>
      <c r="B1573" s="12" t="s">
        <v>1980</v>
      </c>
      <c r="C1573" s="12" t="s">
        <v>1972</v>
      </c>
      <c r="D1573" s="12" t="s">
        <v>2007</v>
      </c>
      <c r="E1573" s="20">
        <v>33986</v>
      </c>
      <c r="F1573" s="20">
        <v>44222</v>
      </c>
      <c r="G1573" s="12">
        <v>27.5</v>
      </c>
      <c r="H1573" s="12">
        <v>11.3</v>
      </c>
      <c r="I1573" s="13">
        <v>2.4336283185840699</v>
      </c>
      <c r="J1573" s="12" t="s">
        <v>636</v>
      </c>
      <c r="K1573" s="14">
        <v>599</v>
      </c>
      <c r="L1573" s="14">
        <v>879</v>
      </c>
      <c r="M1573" s="14">
        <v>593</v>
      </c>
      <c r="N1573" s="12">
        <v>27.5</v>
      </c>
      <c r="O1573" s="12" t="s">
        <v>636</v>
      </c>
      <c r="P1573" s="12">
        <v>4.4237466721360197E-3</v>
      </c>
      <c r="Q1573" s="12">
        <v>1.1081592785072199E-2</v>
      </c>
      <c r="R1573" s="12">
        <v>0.170866935483871</v>
      </c>
      <c r="S1573" s="14">
        <v>29</v>
      </c>
      <c r="T1573" s="12">
        <v>0.85849004927211303</v>
      </c>
      <c r="U1573" s="14">
        <v>648</v>
      </c>
      <c r="V1573" s="14">
        <v>1</v>
      </c>
      <c r="W1573" s="12">
        <v>5.4999999999999997E-3</v>
      </c>
      <c r="X1573" s="12">
        <v>0.86399004927211298</v>
      </c>
      <c r="Y1573" s="14">
        <v>648</v>
      </c>
      <c r="Z1573" s="14">
        <v>29</v>
      </c>
      <c r="AA1573" s="12" t="s">
        <v>2367</v>
      </c>
    </row>
    <row r="1574" spans="1:27" ht="14.25" x14ac:dyDescent="0.45">
      <c r="A1574" s="12" t="s">
        <v>637</v>
      </c>
      <c r="B1574" s="12" t="s">
        <v>1980</v>
      </c>
      <c r="C1574" s="12" t="s">
        <v>1972</v>
      </c>
      <c r="D1574" s="12" t="s">
        <v>1975</v>
      </c>
      <c r="E1574" s="20">
        <v>31697</v>
      </c>
      <c r="F1574" s="20">
        <v>44249</v>
      </c>
      <c r="G1574" s="12">
        <v>27.5</v>
      </c>
      <c r="H1574" s="12">
        <v>10.4</v>
      </c>
      <c r="I1574" s="13">
        <v>2.6442307692307701</v>
      </c>
      <c r="J1574" s="12" t="s">
        <v>637</v>
      </c>
      <c r="K1574" s="14">
        <v>579</v>
      </c>
      <c r="L1574" s="14">
        <v>957</v>
      </c>
      <c r="M1574" s="14">
        <v>593</v>
      </c>
      <c r="N1574" s="12">
        <v>27.5</v>
      </c>
      <c r="O1574" s="12" t="s">
        <v>637</v>
      </c>
      <c r="P1574" s="12">
        <v>4.4237466721360197E-3</v>
      </c>
      <c r="Q1574" s="12">
        <v>1.2040576776088101E-2</v>
      </c>
      <c r="R1574" s="12">
        <v>0.157258064516129</v>
      </c>
      <c r="S1574" s="14">
        <v>36</v>
      </c>
      <c r="T1574" s="12">
        <v>0.91842654871060503</v>
      </c>
      <c r="U1574" s="14">
        <v>589</v>
      </c>
      <c r="V1574" s="14">
        <v>1</v>
      </c>
      <c r="W1574" s="12">
        <v>5.4999999999999997E-3</v>
      </c>
      <c r="X1574" s="12">
        <v>0.92392654871060498</v>
      </c>
      <c r="Y1574" s="14">
        <v>589</v>
      </c>
      <c r="Z1574" s="14">
        <v>35</v>
      </c>
      <c r="AA1574" s="12" t="s">
        <v>2369</v>
      </c>
    </row>
    <row r="1575" spans="1:27" ht="14.25" x14ac:dyDescent="0.45">
      <c r="A1575" s="12" t="s">
        <v>643</v>
      </c>
      <c r="B1575" s="12" t="s">
        <v>1980</v>
      </c>
      <c r="C1575" s="12" t="s">
        <v>1972</v>
      </c>
      <c r="D1575" s="12" t="s">
        <v>1993</v>
      </c>
      <c r="E1575" s="20">
        <v>36161</v>
      </c>
      <c r="F1575" s="20">
        <v>44207</v>
      </c>
      <c r="G1575" s="12">
        <v>27.5</v>
      </c>
      <c r="H1575" s="12">
        <v>11.8</v>
      </c>
      <c r="I1575" s="13">
        <v>2.3305084745762699</v>
      </c>
      <c r="J1575" s="12" t="s">
        <v>643</v>
      </c>
      <c r="K1575" s="14">
        <v>614</v>
      </c>
      <c r="L1575" s="14">
        <v>798</v>
      </c>
      <c r="M1575" s="14">
        <v>593</v>
      </c>
      <c r="N1575" s="12">
        <v>27.5</v>
      </c>
      <c r="O1575" s="12" t="s">
        <v>643</v>
      </c>
      <c r="P1575" s="12">
        <v>4.4237466721360197E-3</v>
      </c>
      <c r="Q1575" s="12">
        <v>1.0612033768755601E-2</v>
      </c>
      <c r="R1575" s="12">
        <v>0.178427419354839</v>
      </c>
      <c r="S1575" s="14">
        <v>23</v>
      </c>
      <c r="T1575" s="12">
        <v>0.82914261075232498</v>
      </c>
      <c r="U1575" s="14">
        <v>657</v>
      </c>
      <c r="V1575" s="14">
        <v>1</v>
      </c>
      <c r="W1575" s="12">
        <v>5.4999999999999997E-3</v>
      </c>
      <c r="X1575" s="12">
        <v>0.83464261075232504</v>
      </c>
      <c r="Y1575" s="14">
        <v>657</v>
      </c>
      <c r="Z1575" s="14">
        <v>23</v>
      </c>
      <c r="AA1575" s="12" t="s">
        <v>2370</v>
      </c>
    </row>
    <row r="1576" spans="1:27" ht="14.25" x14ac:dyDescent="0.45">
      <c r="A1576" s="12" t="s">
        <v>644</v>
      </c>
      <c r="B1576" s="12" t="s">
        <v>1980</v>
      </c>
      <c r="C1576" s="12" t="s">
        <v>1972</v>
      </c>
      <c r="D1576" s="12" t="s">
        <v>1975</v>
      </c>
      <c r="E1576" s="20">
        <v>35325</v>
      </c>
      <c r="F1576" s="20">
        <v>43755</v>
      </c>
      <c r="G1576" s="12">
        <v>27.5</v>
      </c>
      <c r="H1576" s="12">
        <v>26.866666666666699</v>
      </c>
      <c r="I1576" s="13">
        <v>1.02357320099256</v>
      </c>
      <c r="J1576" s="12" t="s">
        <v>644</v>
      </c>
      <c r="K1576" s="14">
        <v>811</v>
      </c>
      <c r="L1576" s="14">
        <v>332</v>
      </c>
      <c r="M1576" s="14">
        <v>593</v>
      </c>
      <c r="N1576" s="12">
        <v>27.5</v>
      </c>
      <c r="O1576" s="12" t="s">
        <v>644</v>
      </c>
      <c r="P1576" s="12">
        <v>4.4237466721360197E-3</v>
      </c>
      <c r="Q1576" s="12">
        <v>4.6608684294534401E-3</v>
      </c>
      <c r="R1576" s="12">
        <v>0.40625</v>
      </c>
      <c r="S1576" s="14">
        <v>26</v>
      </c>
      <c r="T1576" s="12">
        <v>0.45719477704594103</v>
      </c>
      <c r="U1576" s="14">
        <v>796</v>
      </c>
      <c r="V1576" s="14">
        <v>1</v>
      </c>
      <c r="W1576" s="12">
        <v>5.4999999999999997E-3</v>
      </c>
      <c r="X1576" s="12">
        <v>0.46269477704594097</v>
      </c>
      <c r="Y1576" s="14">
        <v>796</v>
      </c>
      <c r="Z1576" s="14">
        <v>25</v>
      </c>
      <c r="AA1576" s="12" t="s">
        <v>2367</v>
      </c>
    </row>
    <row r="1577" spans="1:27" ht="14.25" x14ac:dyDescent="0.45">
      <c r="A1577" s="12" t="s">
        <v>647</v>
      </c>
      <c r="B1577" s="12" t="s">
        <v>1980</v>
      </c>
      <c r="C1577" s="12" t="s">
        <v>1972</v>
      </c>
      <c r="D1577" s="12" t="s">
        <v>1984</v>
      </c>
      <c r="E1577" s="20">
        <v>34595</v>
      </c>
      <c r="F1577" s="20">
        <v>44246</v>
      </c>
      <c r="G1577" s="12">
        <v>27.5</v>
      </c>
      <c r="H1577" s="12">
        <v>10.5</v>
      </c>
      <c r="I1577" s="13">
        <v>2.61904761904762</v>
      </c>
      <c r="J1577" s="12" t="s">
        <v>647</v>
      </c>
      <c r="K1577" s="14">
        <v>584</v>
      </c>
      <c r="L1577" s="14">
        <v>927</v>
      </c>
      <c r="M1577" s="14">
        <v>593</v>
      </c>
      <c r="N1577" s="12">
        <v>27.5</v>
      </c>
      <c r="O1577" s="12" t="s">
        <v>647</v>
      </c>
      <c r="P1577" s="12">
        <v>4.4237466721360197E-3</v>
      </c>
      <c r="Q1577" s="12">
        <v>1.19259046163158E-2</v>
      </c>
      <c r="R1577" s="12">
        <v>0.15877016129032301</v>
      </c>
      <c r="S1577" s="14">
        <v>28</v>
      </c>
      <c r="T1577" s="12">
        <v>0.911259538724838</v>
      </c>
      <c r="U1577" s="14">
        <v>593</v>
      </c>
      <c r="V1577" s="14">
        <v>1</v>
      </c>
      <c r="W1577" s="12">
        <v>5.4999999999999997E-3</v>
      </c>
      <c r="X1577" s="12">
        <v>0.91675953872483795</v>
      </c>
      <c r="Y1577" s="14">
        <v>593</v>
      </c>
      <c r="Z1577" s="14">
        <v>27</v>
      </c>
      <c r="AA1577" s="12" t="s">
        <v>2367</v>
      </c>
    </row>
    <row r="1578" spans="1:27" ht="14.25" x14ac:dyDescent="0.45">
      <c r="A1578" s="12" t="s">
        <v>648</v>
      </c>
      <c r="B1578" s="12" t="s">
        <v>1980</v>
      </c>
      <c r="C1578" s="12" t="s">
        <v>1972</v>
      </c>
      <c r="D1578" s="12" t="s">
        <v>1978</v>
      </c>
      <c r="E1578" s="20">
        <v>32197</v>
      </c>
      <c r="F1578" s="20">
        <v>44264</v>
      </c>
      <c r="G1578" s="12">
        <v>5.34</v>
      </c>
      <c r="H1578" s="12">
        <v>9.9</v>
      </c>
      <c r="I1578" s="13">
        <v>0.53939393939393898</v>
      </c>
      <c r="J1578" s="12" t="s">
        <v>648</v>
      </c>
      <c r="K1578" s="14">
        <v>1025</v>
      </c>
      <c r="L1578" s="14">
        <v>969</v>
      </c>
      <c r="M1578" s="14">
        <v>1013</v>
      </c>
      <c r="N1578" s="12">
        <v>5.34</v>
      </c>
      <c r="O1578" s="12" t="s">
        <v>648</v>
      </c>
      <c r="P1578" s="12">
        <v>8.5901117197114101E-4</v>
      </c>
      <c r="Q1578" s="12">
        <v>2.4561449837899999E-3</v>
      </c>
      <c r="R1578" s="12">
        <v>0.149697580645161</v>
      </c>
      <c r="S1578" s="14">
        <v>34</v>
      </c>
      <c r="T1578" s="12">
        <v>0.18572198043579299</v>
      </c>
      <c r="U1578" s="14">
        <v>1073</v>
      </c>
      <c r="V1578" s="14">
        <v>1</v>
      </c>
      <c r="W1578" s="12">
        <v>5.4999999999999997E-3</v>
      </c>
      <c r="X1578" s="12">
        <v>0.191221980435793</v>
      </c>
      <c r="Y1578" s="14">
        <v>1073</v>
      </c>
      <c r="Z1578" s="14">
        <v>34</v>
      </c>
      <c r="AA1578" s="12" t="s">
        <v>2367</v>
      </c>
    </row>
    <row r="1579" spans="1:27" ht="14.25" x14ac:dyDescent="0.45">
      <c r="A1579" s="12" t="s">
        <v>651</v>
      </c>
      <c r="B1579" s="12" t="s">
        <v>1980</v>
      </c>
      <c r="C1579" s="12" t="s">
        <v>1972</v>
      </c>
      <c r="D1579" s="12" t="s">
        <v>1982</v>
      </c>
      <c r="E1579" s="20">
        <v>35563</v>
      </c>
      <c r="F1579" s="20">
        <v>44113</v>
      </c>
      <c r="G1579" s="12">
        <v>27.5</v>
      </c>
      <c r="H1579" s="12">
        <v>14.9333333333333</v>
      </c>
      <c r="I1579" s="13">
        <v>1.8415178571428601</v>
      </c>
      <c r="J1579" s="12" t="s">
        <v>651</v>
      </c>
      <c r="K1579" s="14">
        <v>682</v>
      </c>
      <c r="L1579" s="14">
        <v>528</v>
      </c>
      <c r="M1579" s="14">
        <v>593</v>
      </c>
      <c r="N1579" s="12">
        <v>27.5</v>
      </c>
      <c r="O1579" s="12" t="s">
        <v>651</v>
      </c>
      <c r="P1579" s="12">
        <v>4.4237466721360197E-3</v>
      </c>
      <c r="Q1579" s="12">
        <v>8.3854016833470393E-3</v>
      </c>
      <c r="R1579" s="12">
        <v>0.225806451612903</v>
      </c>
      <c r="S1579" s="14">
        <v>25</v>
      </c>
      <c r="T1579" s="12">
        <v>0.68997810541429105</v>
      </c>
      <c r="U1579" s="14">
        <v>720</v>
      </c>
      <c r="V1579" s="14">
        <v>1</v>
      </c>
      <c r="W1579" s="12">
        <v>5.4999999999999997E-3</v>
      </c>
      <c r="X1579" s="12">
        <v>0.695478105414291</v>
      </c>
      <c r="Y1579" s="14">
        <v>720</v>
      </c>
      <c r="Z1579" s="14">
        <v>25</v>
      </c>
      <c r="AA1579" s="12" t="s">
        <v>2367</v>
      </c>
    </row>
    <row r="1580" spans="1:27" ht="14.25" x14ac:dyDescent="0.45">
      <c r="A1580" s="12" t="s">
        <v>658</v>
      </c>
      <c r="B1580" s="12" t="s">
        <v>1980</v>
      </c>
      <c r="C1580" s="12" t="s">
        <v>1972</v>
      </c>
      <c r="D1580" s="12" t="s">
        <v>1973</v>
      </c>
      <c r="E1580" s="20">
        <v>36442</v>
      </c>
      <c r="F1580" s="20">
        <v>44271</v>
      </c>
      <c r="G1580" s="12">
        <v>0.1</v>
      </c>
      <c r="H1580" s="12">
        <v>9.6666666666666696</v>
      </c>
      <c r="I1580" s="13">
        <v>1.03448275862069E-2</v>
      </c>
      <c r="J1580" s="12" t="s">
        <v>658</v>
      </c>
      <c r="K1580" s="14">
        <v>1743</v>
      </c>
      <c r="L1580" s="14">
        <v>1004</v>
      </c>
      <c r="M1580" s="14">
        <v>1833</v>
      </c>
      <c r="N1580" s="12">
        <v>0.1</v>
      </c>
      <c r="O1580" s="12" t="s">
        <v>658</v>
      </c>
      <c r="P1580" s="12">
        <v>1.6086351535040099E-5</v>
      </c>
      <c r="Q1580" s="12">
        <v>4.7105453970401002E-5</v>
      </c>
      <c r="R1580" s="12">
        <v>0.14616935483870999</v>
      </c>
      <c r="S1580" s="14">
        <v>23</v>
      </c>
      <c r="T1580" s="12">
        <v>3.5473290557140602E-3</v>
      </c>
      <c r="U1580" s="14">
        <v>1846</v>
      </c>
      <c r="V1580" s="14">
        <v>1</v>
      </c>
      <c r="W1580" s="12">
        <v>5.4999999999999997E-3</v>
      </c>
      <c r="X1580" s="12">
        <v>9.0473290557140703E-3</v>
      </c>
      <c r="Y1580" s="14">
        <v>1846</v>
      </c>
      <c r="Z1580" s="14">
        <v>22</v>
      </c>
      <c r="AA1580" s="12" t="s">
        <v>2370</v>
      </c>
    </row>
    <row r="1581" spans="1:27" ht="14.25" x14ac:dyDescent="0.45">
      <c r="A1581" s="12" t="s">
        <v>660</v>
      </c>
      <c r="B1581" s="12" t="s">
        <v>1980</v>
      </c>
      <c r="C1581" s="12" t="s">
        <v>1972</v>
      </c>
      <c r="D1581" s="12" t="s">
        <v>1974</v>
      </c>
      <c r="E1581" s="20">
        <v>32446</v>
      </c>
      <c r="F1581" s="20">
        <v>44246</v>
      </c>
      <c r="G1581" s="12">
        <v>27.5</v>
      </c>
      <c r="H1581" s="12">
        <v>10.5</v>
      </c>
      <c r="I1581" s="13">
        <v>2.61904761904762</v>
      </c>
      <c r="J1581" s="12" t="s">
        <v>660</v>
      </c>
      <c r="K1581" s="14">
        <v>584</v>
      </c>
      <c r="L1581" s="14">
        <v>927</v>
      </c>
      <c r="M1581" s="14">
        <v>593</v>
      </c>
      <c r="N1581" s="12">
        <v>27.5</v>
      </c>
      <c r="O1581" s="12" t="s">
        <v>660</v>
      </c>
      <c r="P1581" s="12">
        <v>4.4237466721360197E-3</v>
      </c>
      <c r="Q1581" s="12">
        <v>1.19259046163158E-2</v>
      </c>
      <c r="R1581" s="12">
        <v>0.15877016129032301</v>
      </c>
      <c r="S1581" s="14">
        <v>34</v>
      </c>
      <c r="T1581" s="12">
        <v>0.911259538724838</v>
      </c>
      <c r="U1581" s="14">
        <v>593</v>
      </c>
      <c r="V1581" s="14">
        <v>1</v>
      </c>
      <c r="W1581" s="12">
        <v>5.4999999999999997E-3</v>
      </c>
      <c r="X1581" s="12">
        <v>0.91675953872483795</v>
      </c>
      <c r="Y1581" s="14">
        <v>593</v>
      </c>
      <c r="Z1581" s="14">
        <v>33</v>
      </c>
      <c r="AA1581" s="12" t="s">
        <v>2367</v>
      </c>
    </row>
    <row r="1582" spans="1:27" ht="14.25" x14ac:dyDescent="0.45">
      <c r="A1582" s="12" t="s">
        <v>662</v>
      </c>
      <c r="B1582" s="12" t="s">
        <v>1980</v>
      </c>
      <c r="C1582" s="12" t="s">
        <v>1972</v>
      </c>
      <c r="D1582" s="12" t="s">
        <v>1975</v>
      </c>
      <c r="E1582" s="20">
        <v>36054</v>
      </c>
      <c r="F1582" s="20">
        <v>44245</v>
      </c>
      <c r="G1582" s="12">
        <v>27.5</v>
      </c>
      <c r="H1582" s="12">
        <v>10.533333333333299</v>
      </c>
      <c r="I1582" s="13">
        <v>2.6107594936708902</v>
      </c>
      <c r="J1582" s="12" t="s">
        <v>662</v>
      </c>
      <c r="K1582" s="14">
        <v>585</v>
      </c>
      <c r="L1582" s="14">
        <v>917</v>
      </c>
      <c r="M1582" s="14">
        <v>593</v>
      </c>
      <c r="N1582" s="12">
        <v>27.5</v>
      </c>
      <c r="O1582" s="12" t="s">
        <v>662</v>
      </c>
      <c r="P1582" s="12">
        <v>4.4237466721360197E-3</v>
      </c>
      <c r="Q1582" s="12">
        <v>1.1888164411833799E-2</v>
      </c>
      <c r="R1582" s="12">
        <v>0.15927419354838701</v>
      </c>
      <c r="S1582" s="14">
        <v>24</v>
      </c>
      <c r="T1582" s="12">
        <v>0.90890077594471197</v>
      </c>
      <c r="U1582" s="14">
        <v>606</v>
      </c>
      <c r="V1582" s="14">
        <v>1</v>
      </c>
      <c r="W1582" s="12">
        <v>5.4999999999999997E-3</v>
      </c>
      <c r="X1582" s="12">
        <v>0.91440077594471203</v>
      </c>
      <c r="Y1582" s="14">
        <v>606</v>
      </c>
      <c r="Z1582" s="14">
        <v>23</v>
      </c>
      <c r="AA1582" s="12" t="s">
        <v>2370</v>
      </c>
    </row>
    <row r="1583" spans="1:27" ht="14.25" x14ac:dyDescent="0.45">
      <c r="A1583" s="12" t="s">
        <v>664</v>
      </c>
      <c r="B1583" s="12" t="s">
        <v>1980</v>
      </c>
      <c r="C1583" s="12" t="s">
        <v>1972</v>
      </c>
      <c r="D1583" s="12" t="s">
        <v>2007</v>
      </c>
      <c r="E1583" s="20">
        <v>27756</v>
      </c>
      <c r="F1583" s="20">
        <v>43482</v>
      </c>
      <c r="G1583" s="12">
        <v>27.5</v>
      </c>
      <c r="H1583" s="12">
        <v>35.966666666666697</v>
      </c>
      <c r="I1583" s="13">
        <v>0.76459684893419799</v>
      </c>
      <c r="J1583" s="12" t="s">
        <v>664</v>
      </c>
      <c r="K1583" s="14">
        <v>899</v>
      </c>
      <c r="L1583" s="14">
        <v>221</v>
      </c>
      <c r="M1583" s="14">
        <v>593</v>
      </c>
      <c r="N1583" s="12">
        <v>27.5</v>
      </c>
      <c r="O1583" s="12" t="s">
        <v>664</v>
      </c>
      <c r="P1583" s="12">
        <v>4.4237466721360197E-3</v>
      </c>
      <c r="Q1583" s="12">
        <v>3.4816125617604002E-3</v>
      </c>
      <c r="R1583" s="12">
        <v>0.54385080645161299</v>
      </c>
      <c r="S1583" s="14">
        <v>47</v>
      </c>
      <c r="T1583" s="12">
        <v>0.383491285315126</v>
      </c>
      <c r="U1583" s="14">
        <v>843</v>
      </c>
      <c r="V1583" s="14">
        <v>1</v>
      </c>
      <c r="W1583" s="12">
        <v>5.4999999999999997E-3</v>
      </c>
      <c r="X1583" s="12">
        <v>0.388991285315126</v>
      </c>
      <c r="Y1583" s="14">
        <v>843</v>
      </c>
      <c r="Z1583" s="14">
        <v>46</v>
      </c>
      <c r="AA1583" s="12" t="s">
        <v>2371</v>
      </c>
    </row>
    <row r="1584" spans="1:27" ht="14.25" x14ac:dyDescent="0.45">
      <c r="A1584" s="12" t="s">
        <v>665</v>
      </c>
      <c r="B1584" s="12" t="s">
        <v>1980</v>
      </c>
      <c r="C1584" s="12" t="s">
        <v>1972</v>
      </c>
      <c r="D1584" s="12" t="s">
        <v>1993</v>
      </c>
      <c r="E1584" s="20">
        <v>35213</v>
      </c>
      <c r="F1584" s="20">
        <v>43444</v>
      </c>
      <c r="G1584" s="12">
        <v>27.5</v>
      </c>
      <c r="H1584" s="12">
        <v>37.233333333333299</v>
      </c>
      <c r="I1584" s="13">
        <v>0.73858549686660702</v>
      </c>
      <c r="J1584" s="12" t="s">
        <v>665</v>
      </c>
      <c r="K1584" s="14">
        <v>918</v>
      </c>
      <c r="L1584" s="14">
        <v>215</v>
      </c>
      <c r="M1584" s="14">
        <v>593</v>
      </c>
      <c r="N1584" s="12">
        <v>27.5</v>
      </c>
      <c r="O1584" s="12" t="s">
        <v>665</v>
      </c>
      <c r="P1584" s="12">
        <v>4.4237466721360197E-3</v>
      </c>
      <c r="Q1584" s="12">
        <v>3.3631691621660502E-3</v>
      </c>
      <c r="R1584" s="12">
        <v>0.56300403225806495</v>
      </c>
      <c r="S1584" s="14">
        <v>26</v>
      </c>
      <c r="T1584" s="12">
        <v>0.37608857284047897</v>
      </c>
      <c r="U1584" s="14">
        <v>851</v>
      </c>
      <c r="V1584" s="14">
        <v>1</v>
      </c>
      <c r="W1584" s="12">
        <v>5.4999999999999997E-3</v>
      </c>
      <c r="X1584" s="12">
        <v>0.38158857284047898</v>
      </c>
      <c r="Y1584" s="14">
        <v>851</v>
      </c>
      <c r="Z1584" s="14">
        <v>26</v>
      </c>
      <c r="AA1584" s="12" t="s">
        <v>2367</v>
      </c>
    </row>
    <row r="1585" spans="1:27" ht="14.25" x14ac:dyDescent="0.45">
      <c r="A1585" s="12" t="s">
        <v>672</v>
      </c>
      <c r="B1585" s="12" t="s">
        <v>1980</v>
      </c>
      <c r="C1585" s="12" t="s">
        <v>1972</v>
      </c>
      <c r="D1585" s="12" t="s">
        <v>1974</v>
      </c>
      <c r="E1585" s="20">
        <v>32516</v>
      </c>
      <c r="F1585" s="20">
        <v>44246</v>
      </c>
      <c r="G1585" s="12">
        <v>27.5</v>
      </c>
      <c r="H1585" s="12">
        <v>10.5</v>
      </c>
      <c r="I1585" s="13">
        <v>2.61904761904762</v>
      </c>
      <c r="J1585" s="12" t="s">
        <v>672</v>
      </c>
      <c r="K1585" s="14">
        <v>584</v>
      </c>
      <c r="L1585" s="14">
        <v>927</v>
      </c>
      <c r="M1585" s="14">
        <v>593</v>
      </c>
      <c r="N1585" s="12">
        <v>27.5</v>
      </c>
      <c r="O1585" s="12" t="s">
        <v>672</v>
      </c>
      <c r="P1585" s="12">
        <v>4.4237466721360197E-3</v>
      </c>
      <c r="Q1585" s="12">
        <v>1.19259046163158E-2</v>
      </c>
      <c r="R1585" s="12">
        <v>0.15877016129032301</v>
      </c>
      <c r="S1585" s="14">
        <v>33</v>
      </c>
      <c r="T1585" s="12">
        <v>0.911259538724838</v>
      </c>
      <c r="U1585" s="14">
        <v>593</v>
      </c>
      <c r="V1585" s="14">
        <v>1</v>
      </c>
      <c r="W1585" s="12">
        <v>5.4999999999999997E-3</v>
      </c>
      <c r="X1585" s="12">
        <v>0.91675953872483795</v>
      </c>
      <c r="Y1585" s="14">
        <v>593</v>
      </c>
      <c r="Z1585" s="14">
        <v>33</v>
      </c>
      <c r="AA1585" s="12" t="s">
        <v>2367</v>
      </c>
    </row>
    <row r="1586" spans="1:27" ht="14.25" x14ac:dyDescent="0.45">
      <c r="A1586" s="12" t="s">
        <v>677</v>
      </c>
      <c r="B1586" s="12" t="s">
        <v>1980</v>
      </c>
      <c r="C1586" s="12" t="s">
        <v>1972</v>
      </c>
      <c r="D1586" s="12" t="s">
        <v>1974</v>
      </c>
      <c r="E1586" s="20">
        <v>34697</v>
      </c>
      <c r="F1586" s="20">
        <v>44221</v>
      </c>
      <c r="G1586" s="12">
        <v>0.92</v>
      </c>
      <c r="H1586" s="12">
        <v>11.3333333333333</v>
      </c>
      <c r="I1586" s="13">
        <v>8.1176470588235294E-2</v>
      </c>
      <c r="J1586" s="12" t="s">
        <v>677</v>
      </c>
      <c r="K1586" s="14">
        <v>1542</v>
      </c>
      <c r="L1586" s="14">
        <v>860</v>
      </c>
      <c r="M1586" s="14">
        <v>1575</v>
      </c>
      <c r="N1586" s="12">
        <v>0.92</v>
      </c>
      <c r="O1586" s="12" t="s">
        <v>677</v>
      </c>
      <c r="P1586" s="12">
        <v>1.47994434122369E-4</v>
      </c>
      <c r="Q1586" s="12">
        <v>3.6963926821479299E-4</v>
      </c>
      <c r="R1586" s="12">
        <v>0.171370967741935</v>
      </c>
      <c r="S1586" s="14">
        <v>28</v>
      </c>
      <c r="T1586" s="12">
        <v>2.8652245543013401E-2</v>
      </c>
      <c r="U1586" s="14">
        <v>1634</v>
      </c>
      <c r="V1586" s="14">
        <v>1</v>
      </c>
      <c r="W1586" s="12">
        <v>5.4999999999999997E-3</v>
      </c>
      <c r="X1586" s="12">
        <v>3.4152245543013403E-2</v>
      </c>
      <c r="Y1586" s="14">
        <v>1634</v>
      </c>
      <c r="Z1586" s="14">
        <v>27</v>
      </c>
      <c r="AA1586" s="12" t="s">
        <v>2367</v>
      </c>
    </row>
    <row r="1587" spans="1:27" ht="14.25" x14ac:dyDescent="0.45">
      <c r="A1587" s="12" t="s">
        <v>683</v>
      </c>
      <c r="B1587" s="12" t="s">
        <v>1980</v>
      </c>
      <c r="C1587" s="12" t="s">
        <v>1972</v>
      </c>
      <c r="D1587" s="12" t="s">
        <v>1982</v>
      </c>
      <c r="E1587" s="20">
        <v>35780</v>
      </c>
      <c r="F1587" s="20">
        <v>44209</v>
      </c>
      <c r="G1587" s="12">
        <v>28.5</v>
      </c>
      <c r="H1587" s="12">
        <v>11.733333333333301</v>
      </c>
      <c r="I1587" s="13">
        <v>2.4289772727272698</v>
      </c>
      <c r="J1587" s="12" t="s">
        <v>683</v>
      </c>
      <c r="K1587" s="14">
        <v>601</v>
      </c>
      <c r="L1587" s="14">
        <v>812</v>
      </c>
      <c r="M1587" s="14">
        <v>584</v>
      </c>
      <c r="N1587" s="12">
        <v>28.5</v>
      </c>
      <c r="O1587" s="12" t="s">
        <v>683</v>
      </c>
      <c r="P1587" s="12">
        <v>4.5846101874864303E-3</v>
      </c>
      <c r="Q1587" s="12">
        <v>1.1060414121175101E-2</v>
      </c>
      <c r="R1587" s="12">
        <v>0.17741935483870999</v>
      </c>
      <c r="S1587" s="14">
        <v>25</v>
      </c>
      <c r="T1587" s="12">
        <v>0.86319876460418499</v>
      </c>
      <c r="U1587" s="14">
        <v>646</v>
      </c>
      <c r="V1587" s="14">
        <v>1</v>
      </c>
      <c r="W1587" s="12">
        <v>5.4999999999999997E-3</v>
      </c>
      <c r="X1587" s="12">
        <v>0.86869876460418505</v>
      </c>
      <c r="Y1587" s="14">
        <v>646</v>
      </c>
      <c r="Z1587" s="14">
        <v>24</v>
      </c>
      <c r="AA1587" s="12" t="s">
        <v>2370</v>
      </c>
    </row>
    <row r="1588" spans="1:27" ht="14.25" x14ac:dyDescent="0.45">
      <c r="A1588" s="12" t="s">
        <v>686</v>
      </c>
      <c r="B1588" s="12" t="s">
        <v>1980</v>
      </c>
      <c r="C1588" s="12" t="s">
        <v>1972</v>
      </c>
      <c r="D1588" s="12" t="s">
        <v>1993</v>
      </c>
      <c r="E1588" s="20">
        <v>32230</v>
      </c>
      <c r="F1588" s="20">
        <v>43423</v>
      </c>
      <c r="G1588" s="12">
        <v>540</v>
      </c>
      <c r="H1588" s="12">
        <v>37.933333333333302</v>
      </c>
      <c r="I1588" s="13">
        <v>14.2355008787346</v>
      </c>
      <c r="J1588" s="12" t="s">
        <v>686</v>
      </c>
      <c r="K1588" s="14">
        <v>202</v>
      </c>
      <c r="L1588" s="14">
        <v>210</v>
      </c>
      <c r="M1588" s="14">
        <v>138</v>
      </c>
      <c r="N1588" s="12">
        <v>540</v>
      </c>
      <c r="O1588" s="12" t="s">
        <v>686</v>
      </c>
      <c r="P1588" s="12">
        <v>8.6866298289216506E-2</v>
      </c>
      <c r="Q1588" s="12">
        <v>6.4821740700920796E-2</v>
      </c>
      <c r="R1588" s="12">
        <v>0.57358870967741904</v>
      </c>
      <c r="S1588" s="14">
        <v>34</v>
      </c>
      <c r="T1588" s="12">
        <v>7.3088449796531698</v>
      </c>
      <c r="U1588" s="14">
        <v>178</v>
      </c>
      <c r="V1588" s="14">
        <v>4</v>
      </c>
      <c r="W1588" s="12">
        <v>5.7999999999999996E-3</v>
      </c>
      <c r="X1588" s="12">
        <v>7.3146449796531696</v>
      </c>
      <c r="Y1588" s="14">
        <v>178</v>
      </c>
      <c r="Z1588" s="14">
        <v>34</v>
      </c>
      <c r="AA1588" s="12" t="s">
        <v>2367</v>
      </c>
    </row>
    <row r="1589" spans="1:27" ht="14.25" x14ac:dyDescent="0.45">
      <c r="A1589" s="12" t="s">
        <v>691</v>
      </c>
      <c r="B1589" s="12" t="s">
        <v>1980</v>
      </c>
      <c r="C1589" s="12" t="s">
        <v>1972</v>
      </c>
      <c r="D1589" s="12" t="s">
        <v>2007</v>
      </c>
      <c r="E1589" s="20">
        <v>31702</v>
      </c>
      <c r="F1589" s="20">
        <v>44196</v>
      </c>
      <c r="G1589" s="12">
        <v>27.5</v>
      </c>
      <c r="H1589" s="12">
        <v>12.1666666666667</v>
      </c>
      <c r="I1589" s="13">
        <v>2.2602739726027399</v>
      </c>
      <c r="J1589" s="12" t="s">
        <v>691</v>
      </c>
      <c r="K1589" s="14">
        <v>621</v>
      </c>
      <c r="L1589" s="14">
        <v>766</v>
      </c>
      <c r="M1589" s="14">
        <v>593</v>
      </c>
      <c r="N1589" s="12">
        <v>27.5</v>
      </c>
      <c r="O1589" s="12" t="s">
        <v>691</v>
      </c>
      <c r="P1589" s="12">
        <v>4.4237466721360197E-3</v>
      </c>
      <c r="Q1589" s="12">
        <v>1.02922190524369E-2</v>
      </c>
      <c r="R1589" s="12">
        <v>0.18397177419354799</v>
      </c>
      <c r="S1589" s="14">
        <v>36</v>
      </c>
      <c r="T1589" s="12">
        <v>0.80915419098240804</v>
      </c>
      <c r="U1589" s="14">
        <v>664</v>
      </c>
      <c r="V1589" s="14">
        <v>1</v>
      </c>
      <c r="W1589" s="12">
        <v>5.4999999999999997E-3</v>
      </c>
      <c r="X1589" s="12">
        <v>0.81465419098240799</v>
      </c>
      <c r="Y1589" s="14">
        <v>664</v>
      </c>
      <c r="Z1589" s="14">
        <v>35</v>
      </c>
      <c r="AA1589" s="12" t="s">
        <v>2369</v>
      </c>
    </row>
    <row r="1590" spans="1:27" ht="14.25" x14ac:dyDescent="0.45">
      <c r="A1590" s="12" t="s">
        <v>693</v>
      </c>
      <c r="B1590" s="12" t="s">
        <v>1980</v>
      </c>
      <c r="C1590" s="12" t="s">
        <v>1972</v>
      </c>
      <c r="D1590" s="12" t="s">
        <v>1978</v>
      </c>
      <c r="E1590" s="20">
        <v>32453</v>
      </c>
      <c r="F1590" s="20">
        <v>44246</v>
      </c>
      <c r="G1590" s="12">
        <v>27.5</v>
      </c>
      <c r="H1590" s="12">
        <v>10.5</v>
      </c>
      <c r="I1590" s="13">
        <v>2.61904761904762</v>
      </c>
      <c r="J1590" s="12" t="s">
        <v>693</v>
      </c>
      <c r="K1590" s="14">
        <v>584</v>
      </c>
      <c r="L1590" s="14">
        <v>927</v>
      </c>
      <c r="M1590" s="14">
        <v>593</v>
      </c>
      <c r="N1590" s="12">
        <v>27.5</v>
      </c>
      <c r="O1590" s="12" t="s">
        <v>693</v>
      </c>
      <c r="P1590" s="12">
        <v>4.4237466721360197E-3</v>
      </c>
      <c r="Q1590" s="12">
        <v>1.19259046163158E-2</v>
      </c>
      <c r="R1590" s="12">
        <v>0.15877016129032301</v>
      </c>
      <c r="S1590" s="14">
        <v>34</v>
      </c>
      <c r="T1590" s="12">
        <v>0.911259538724838</v>
      </c>
      <c r="U1590" s="14">
        <v>593</v>
      </c>
      <c r="V1590" s="14">
        <v>1</v>
      </c>
      <c r="W1590" s="12">
        <v>5.4999999999999997E-3</v>
      </c>
      <c r="X1590" s="12">
        <v>0.91675953872483795</v>
      </c>
      <c r="Y1590" s="14">
        <v>593</v>
      </c>
      <c r="Z1590" s="14">
        <v>33</v>
      </c>
      <c r="AA1590" s="12" t="s">
        <v>2367</v>
      </c>
    </row>
    <row r="1591" spans="1:27" ht="14.25" x14ac:dyDescent="0.45">
      <c r="A1591" s="12" t="s">
        <v>702</v>
      </c>
      <c r="B1591" s="12" t="s">
        <v>1980</v>
      </c>
      <c r="C1591" s="12" t="s">
        <v>1972</v>
      </c>
      <c r="D1591" s="12" t="s">
        <v>1993</v>
      </c>
      <c r="E1591" s="20">
        <v>31714</v>
      </c>
      <c r="F1591" s="20">
        <v>44245</v>
      </c>
      <c r="G1591" s="12">
        <v>27.5</v>
      </c>
      <c r="H1591" s="12">
        <v>10.533333333333299</v>
      </c>
      <c r="I1591" s="13">
        <v>2.6107594936708902</v>
      </c>
      <c r="J1591" s="12" t="s">
        <v>702</v>
      </c>
      <c r="K1591" s="14">
        <v>585</v>
      </c>
      <c r="L1591" s="14">
        <v>917</v>
      </c>
      <c r="M1591" s="14">
        <v>593</v>
      </c>
      <c r="N1591" s="12">
        <v>27.5</v>
      </c>
      <c r="O1591" s="12" t="s">
        <v>702</v>
      </c>
      <c r="P1591" s="12">
        <v>4.4237466721360197E-3</v>
      </c>
      <c r="Q1591" s="12">
        <v>1.1888164411833799E-2</v>
      </c>
      <c r="R1591" s="12">
        <v>0.15927419354838701</v>
      </c>
      <c r="S1591" s="14">
        <v>36</v>
      </c>
      <c r="T1591" s="12">
        <v>0.90890077594471197</v>
      </c>
      <c r="U1591" s="14">
        <v>606</v>
      </c>
      <c r="V1591" s="14">
        <v>1</v>
      </c>
      <c r="W1591" s="12">
        <v>5.4999999999999997E-3</v>
      </c>
      <c r="X1591" s="12">
        <v>0.91440077594471203</v>
      </c>
      <c r="Y1591" s="14">
        <v>606</v>
      </c>
      <c r="Z1591" s="14">
        <v>35</v>
      </c>
      <c r="AA1591" s="12" t="s">
        <v>2369</v>
      </c>
    </row>
    <row r="1592" spans="1:27" ht="14.25" x14ac:dyDescent="0.45">
      <c r="A1592" s="12" t="s">
        <v>705</v>
      </c>
      <c r="B1592" s="12" t="s">
        <v>1980</v>
      </c>
      <c r="C1592" s="12" t="s">
        <v>1972</v>
      </c>
      <c r="D1592" s="12" t="s">
        <v>1982</v>
      </c>
      <c r="E1592" s="20">
        <v>36207</v>
      </c>
      <c r="F1592" s="20">
        <v>44182</v>
      </c>
      <c r="G1592" s="12">
        <v>27.5</v>
      </c>
      <c r="H1592" s="12">
        <v>12.633333333333301</v>
      </c>
      <c r="I1592" s="13">
        <v>2.1767810026385201</v>
      </c>
      <c r="J1592" s="12" t="s">
        <v>705</v>
      </c>
      <c r="K1592" s="14">
        <v>631</v>
      </c>
      <c r="L1592" s="14">
        <v>714</v>
      </c>
      <c r="M1592" s="14">
        <v>593</v>
      </c>
      <c r="N1592" s="12">
        <v>27.5</v>
      </c>
      <c r="O1592" s="12" t="s">
        <v>705</v>
      </c>
      <c r="P1592" s="12">
        <v>4.4237466721360197E-3</v>
      </c>
      <c r="Q1592" s="12">
        <v>9.9120315412651108E-3</v>
      </c>
      <c r="R1592" s="12">
        <v>0.19102822580645201</v>
      </c>
      <c r="S1592" s="14">
        <v>23</v>
      </c>
      <c r="T1592" s="12">
        <v>0.78539247153417002</v>
      </c>
      <c r="U1592" s="14">
        <v>682</v>
      </c>
      <c r="V1592" s="14">
        <v>1</v>
      </c>
      <c r="W1592" s="12">
        <v>5.4999999999999997E-3</v>
      </c>
      <c r="X1592" s="12">
        <v>0.79089247153416997</v>
      </c>
      <c r="Y1592" s="14">
        <v>682</v>
      </c>
      <c r="Z1592" s="14">
        <v>23</v>
      </c>
      <c r="AA1592" s="12" t="s">
        <v>2370</v>
      </c>
    </row>
    <row r="1593" spans="1:27" ht="14.25" x14ac:dyDescent="0.45">
      <c r="A1593" s="12" t="s">
        <v>706</v>
      </c>
      <c r="B1593" s="12" t="s">
        <v>1980</v>
      </c>
      <c r="C1593" s="12" t="s">
        <v>1972</v>
      </c>
      <c r="D1593" s="12" t="s">
        <v>1973</v>
      </c>
      <c r="E1593" s="20">
        <v>30924</v>
      </c>
      <c r="F1593" s="20">
        <v>44182</v>
      </c>
      <c r="G1593" s="12">
        <v>27.5</v>
      </c>
      <c r="H1593" s="12">
        <v>12.633333333333301</v>
      </c>
      <c r="I1593" s="13">
        <v>2.1767810026385201</v>
      </c>
      <c r="J1593" s="12" t="s">
        <v>706</v>
      </c>
      <c r="K1593" s="14">
        <v>631</v>
      </c>
      <c r="L1593" s="14">
        <v>714</v>
      </c>
      <c r="M1593" s="14">
        <v>593</v>
      </c>
      <c r="N1593" s="12">
        <v>27.5</v>
      </c>
      <c r="O1593" s="12" t="s">
        <v>706</v>
      </c>
      <c r="P1593" s="12">
        <v>4.4237466721360197E-3</v>
      </c>
      <c r="Q1593" s="12">
        <v>9.9120315412651108E-3</v>
      </c>
      <c r="R1593" s="12">
        <v>0.19102822580645201</v>
      </c>
      <c r="S1593" s="14">
        <v>38</v>
      </c>
      <c r="T1593" s="12">
        <v>0.78539247153417002</v>
      </c>
      <c r="U1593" s="14">
        <v>682</v>
      </c>
      <c r="V1593" s="14">
        <v>1</v>
      </c>
      <c r="W1593" s="12">
        <v>5.4999999999999997E-3</v>
      </c>
      <c r="X1593" s="12">
        <v>0.79089247153416997</v>
      </c>
      <c r="Y1593" s="14">
        <v>682</v>
      </c>
      <c r="Z1593" s="14">
        <v>37</v>
      </c>
      <c r="AA1593" s="12" t="s">
        <v>2369</v>
      </c>
    </row>
    <row r="1594" spans="1:27" ht="14.25" x14ac:dyDescent="0.45">
      <c r="A1594" s="12" t="s">
        <v>708</v>
      </c>
      <c r="B1594" s="12" t="s">
        <v>1980</v>
      </c>
      <c r="C1594" s="12" t="s">
        <v>1972</v>
      </c>
      <c r="D1594" s="12" t="s">
        <v>1974</v>
      </c>
      <c r="E1594" s="20">
        <v>30776</v>
      </c>
      <c r="F1594" s="20">
        <v>43481</v>
      </c>
      <c r="G1594" s="12">
        <v>159.79</v>
      </c>
      <c r="H1594" s="12">
        <v>36</v>
      </c>
      <c r="I1594" s="13">
        <v>4.4386111111111104</v>
      </c>
      <c r="J1594" s="12" t="s">
        <v>708</v>
      </c>
      <c r="K1594" s="14">
        <v>473</v>
      </c>
      <c r="L1594" s="14">
        <v>220</v>
      </c>
      <c r="M1594" s="14">
        <v>317</v>
      </c>
      <c r="N1594" s="12">
        <v>159.79</v>
      </c>
      <c r="O1594" s="12" t="s">
        <v>708</v>
      </c>
      <c r="P1594" s="12">
        <v>2.57043811178406E-2</v>
      </c>
      <c r="Q1594" s="12">
        <v>2.0211336500738999E-2</v>
      </c>
      <c r="R1594" s="12">
        <v>0.54435483870967705</v>
      </c>
      <c r="S1594" s="14">
        <v>38</v>
      </c>
      <c r="T1594" s="12">
        <v>2.2271228232152098</v>
      </c>
      <c r="U1594" s="14">
        <v>422</v>
      </c>
      <c r="V1594" s="14">
        <v>14</v>
      </c>
      <c r="W1594" s="12">
        <v>6.7000000000000002E-3</v>
      </c>
      <c r="X1594" s="12">
        <v>2.2338228232152102</v>
      </c>
      <c r="Y1594" s="14">
        <v>422</v>
      </c>
      <c r="Z1594" s="14">
        <v>38</v>
      </c>
      <c r="AA1594" s="12" t="s">
        <v>2369</v>
      </c>
    </row>
    <row r="1595" spans="1:27" ht="14.25" x14ac:dyDescent="0.45">
      <c r="A1595" s="12" t="s">
        <v>711</v>
      </c>
      <c r="B1595" s="12" t="s">
        <v>1980</v>
      </c>
      <c r="C1595" s="12" t="s">
        <v>1972</v>
      </c>
      <c r="D1595" s="12" t="s">
        <v>1974</v>
      </c>
      <c r="E1595" s="20">
        <v>29409</v>
      </c>
      <c r="F1595" s="20">
        <v>43322</v>
      </c>
      <c r="G1595" s="12">
        <v>28.79</v>
      </c>
      <c r="H1595" s="12">
        <v>41.3</v>
      </c>
      <c r="I1595" s="13">
        <v>0.69709443099273605</v>
      </c>
      <c r="J1595" s="12" t="s">
        <v>711</v>
      </c>
      <c r="K1595" s="14">
        <v>936</v>
      </c>
      <c r="L1595" s="14">
        <v>151</v>
      </c>
      <c r="M1595" s="14">
        <v>577</v>
      </c>
      <c r="N1595" s="12">
        <v>28.79</v>
      </c>
      <c r="O1595" s="12" t="s">
        <v>711</v>
      </c>
      <c r="P1595" s="12">
        <v>4.6312606069380396E-3</v>
      </c>
      <c r="Q1595" s="12">
        <v>3.1742384644412799E-3</v>
      </c>
      <c r="R1595" s="12">
        <v>0.62449596774193505</v>
      </c>
      <c r="S1595" s="14">
        <v>42</v>
      </c>
      <c r="T1595" s="12">
        <v>0.37206217678775699</v>
      </c>
      <c r="U1595" s="14">
        <v>854</v>
      </c>
      <c r="V1595" s="14">
        <v>2</v>
      </c>
      <c r="W1595" s="12">
        <v>5.5999999999999999E-3</v>
      </c>
      <c r="X1595" s="12">
        <v>0.37766217678775699</v>
      </c>
      <c r="Y1595" s="14">
        <v>854</v>
      </c>
      <c r="Z1595" s="14">
        <v>42</v>
      </c>
      <c r="AA1595" s="12" t="s">
        <v>2369</v>
      </c>
    </row>
    <row r="1596" spans="1:27" ht="14.25" x14ac:dyDescent="0.45">
      <c r="A1596" s="12" t="s">
        <v>713</v>
      </c>
      <c r="B1596" s="12" t="s">
        <v>1980</v>
      </c>
      <c r="C1596" s="12" t="s">
        <v>1972</v>
      </c>
      <c r="D1596" s="12" t="s">
        <v>2007</v>
      </c>
      <c r="E1596" s="20">
        <v>33479</v>
      </c>
      <c r="F1596" s="20">
        <v>44126</v>
      </c>
      <c r="G1596" s="12">
        <v>27.78</v>
      </c>
      <c r="H1596" s="12">
        <v>14.5</v>
      </c>
      <c r="I1596" s="13">
        <v>1.9158620689655199</v>
      </c>
      <c r="J1596" s="12" t="s">
        <v>713</v>
      </c>
      <c r="K1596" s="14">
        <v>667</v>
      </c>
      <c r="L1596" s="14">
        <v>568</v>
      </c>
      <c r="M1596" s="14">
        <v>590</v>
      </c>
      <c r="N1596" s="12">
        <v>27.78</v>
      </c>
      <c r="O1596" s="12" t="s">
        <v>713</v>
      </c>
      <c r="P1596" s="12">
        <v>4.4687884564341401E-3</v>
      </c>
      <c r="Q1596" s="12">
        <v>8.7239300753182598E-3</v>
      </c>
      <c r="R1596" s="12">
        <v>0.219254032258065</v>
      </c>
      <c r="S1596" s="14">
        <v>31</v>
      </c>
      <c r="T1596" s="12">
        <v>0.71282519682367096</v>
      </c>
      <c r="U1596" s="14">
        <v>707</v>
      </c>
      <c r="V1596" s="14">
        <v>1</v>
      </c>
      <c r="W1596" s="12">
        <v>5.4999999999999997E-3</v>
      </c>
      <c r="X1596" s="12">
        <v>0.71832519682367102</v>
      </c>
      <c r="Y1596" s="14">
        <v>707</v>
      </c>
      <c r="Z1596" s="14">
        <v>30</v>
      </c>
      <c r="AA1596" s="12" t="s">
        <v>2367</v>
      </c>
    </row>
    <row r="1597" spans="1:27" ht="14.25" x14ac:dyDescent="0.45">
      <c r="A1597" s="12" t="s">
        <v>717</v>
      </c>
      <c r="B1597" s="12" t="s">
        <v>1980</v>
      </c>
      <c r="C1597" s="12" t="s">
        <v>1972</v>
      </c>
      <c r="D1597" s="12" t="s">
        <v>2088</v>
      </c>
      <c r="E1597" s="20">
        <v>32843</v>
      </c>
      <c r="F1597" s="20">
        <v>44207</v>
      </c>
      <c r="G1597" s="12">
        <v>27.5</v>
      </c>
      <c r="H1597" s="12">
        <v>11.8</v>
      </c>
      <c r="I1597" s="13">
        <v>2.3305084745762699</v>
      </c>
      <c r="J1597" s="12" t="s">
        <v>717</v>
      </c>
      <c r="K1597" s="14">
        <v>614</v>
      </c>
      <c r="L1597" s="14">
        <v>798</v>
      </c>
      <c r="M1597" s="14">
        <v>593</v>
      </c>
      <c r="N1597" s="12">
        <v>27.5</v>
      </c>
      <c r="O1597" s="12" t="s">
        <v>717</v>
      </c>
      <c r="P1597" s="12">
        <v>4.4237466721360197E-3</v>
      </c>
      <c r="Q1597" s="12">
        <v>1.0612033768755601E-2</v>
      </c>
      <c r="R1597" s="12">
        <v>0.178427419354839</v>
      </c>
      <c r="S1597" s="14">
        <v>33</v>
      </c>
      <c r="T1597" s="12">
        <v>0.82914261075232498</v>
      </c>
      <c r="U1597" s="14">
        <v>657</v>
      </c>
      <c r="V1597" s="14">
        <v>1</v>
      </c>
      <c r="W1597" s="12">
        <v>5.4999999999999997E-3</v>
      </c>
      <c r="X1597" s="12">
        <v>0.83464261075232504</v>
      </c>
      <c r="Y1597" s="14">
        <v>657</v>
      </c>
      <c r="Z1597" s="14">
        <v>32</v>
      </c>
      <c r="AA1597" s="12" t="s">
        <v>2367</v>
      </c>
    </row>
    <row r="1598" spans="1:27" ht="14.25" x14ac:dyDescent="0.45">
      <c r="A1598" s="12" t="s">
        <v>721</v>
      </c>
      <c r="B1598" s="12" t="s">
        <v>1980</v>
      </c>
      <c r="C1598" s="12" t="s">
        <v>1972</v>
      </c>
      <c r="D1598" s="12" t="s">
        <v>1993</v>
      </c>
      <c r="E1598" s="20">
        <v>31711</v>
      </c>
      <c r="F1598" s="20">
        <v>44246</v>
      </c>
      <c r="G1598" s="12">
        <v>27.5</v>
      </c>
      <c r="H1598" s="12">
        <v>10.5</v>
      </c>
      <c r="I1598" s="13">
        <v>2.61904761904762</v>
      </c>
      <c r="J1598" s="12" t="s">
        <v>721</v>
      </c>
      <c r="K1598" s="14">
        <v>584</v>
      </c>
      <c r="L1598" s="14">
        <v>927</v>
      </c>
      <c r="M1598" s="14">
        <v>593</v>
      </c>
      <c r="N1598" s="12">
        <v>27.5</v>
      </c>
      <c r="O1598" s="12" t="s">
        <v>721</v>
      </c>
      <c r="P1598" s="12">
        <v>4.4237466721360197E-3</v>
      </c>
      <c r="Q1598" s="12">
        <v>1.19259046163158E-2</v>
      </c>
      <c r="R1598" s="12">
        <v>0.15877016129032301</v>
      </c>
      <c r="S1598" s="14">
        <v>36</v>
      </c>
      <c r="T1598" s="12">
        <v>0.911259538724838</v>
      </c>
      <c r="U1598" s="14">
        <v>593</v>
      </c>
      <c r="V1598" s="14">
        <v>1</v>
      </c>
      <c r="W1598" s="12">
        <v>5.4999999999999997E-3</v>
      </c>
      <c r="X1598" s="12">
        <v>0.91675953872483795</v>
      </c>
      <c r="Y1598" s="14">
        <v>593</v>
      </c>
      <c r="Z1598" s="14">
        <v>35</v>
      </c>
      <c r="AA1598" s="12" t="s">
        <v>2369</v>
      </c>
    </row>
    <row r="1599" spans="1:27" ht="14.25" x14ac:dyDescent="0.45">
      <c r="A1599" s="12" t="s">
        <v>724</v>
      </c>
      <c r="B1599" s="12" t="s">
        <v>1980</v>
      </c>
      <c r="C1599" s="12" t="s">
        <v>1972</v>
      </c>
      <c r="D1599" s="12" t="s">
        <v>1990</v>
      </c>
      <c r="E1599" s="20">
        <v>33223</v>
      </c>
      <c r="F1599" s="20">
        <v>44244</v>
      </c>
      <c r="G1599" s="12">
        <v>67.959999999999994</v>
      </c>
      <c r="H1599" s="12">
        <v>10.5666666666667</v>
      </c>
      <c r="I1599" s="13">
        <v>6.4315457413249204</v>
      </c>
      <c r="J1599" s="12" t="s">
        <v>724</v>
      </c>
      <c r="K1599" s="14">
        <v>396</v>
      </c>
      <c r="L1599" s="14">
        <v>894</v>
      </c>
      <c r="M1599" s="14">
        <v>431</v>
      </c>
      <c r="N1599" s="12">
        <v>67.959999999999994</v>
      </c>
      <c r="O1599" s="12" t="s">
        <v>724</v>
      </c>
      <c r="P1599" s="12">
        <v>1.0932284503213201E-2</v>
      </c>
      <c r="Q1599" s="12">
        <v>2.9286218581395899E-2</v>
      </c>
      <c r="R1599" s="12">
        <v>0.15977822580645201</v>
      </c>
      <c r="S1599" s="14">
        <v>32</v>
      </c>
      <c r="T1599" s="12">
        <v>2.24034933020774</v>
      </c>
      <c r="U1599" s="14">
        <v>421</v>
      </c>
      <c r="V1599" s="14">
        <v>8</v>
      </c>
      <c r="W1599" s="12">
        <v>6.1999999999999998E-3</v>
      </c>
      <c r="X1599" s="12">
        <v>2.2465493302077402</v>
      </c>
      <c r="Y1599" s="14">
        <v>421</v>
      </c>
      <c r="Z1599" s="14">
        <v>31</v>
      </c>
      <c r="AA1599" s="12" t="s">
        <v>2367</v>
      </c>
    </row>
    <row r="1600" spans="1:27" ht="14.25" x14ac:dyDescent="0.45">
      <c r="A1600" s="12" t="s">
        <v>739</v>
      </c>
      <c r="B1600" s="12" t="s">
        <v>1980</v>
      </c>
      <c r="C1600" s="12" t="s">
        <v>1972</v>
      </c>
      <c r="D1600" s="12" t="s">
        <v>1974</v>
      </c>
      <c r="E1600" s="20">
        <v>32915</v>
      </c>
      <c r="F1600" s="20">
        <v>43369</v>
      </c>
      <c r="G1600" s="12">
        <v>27.5</v>
      </c>
      <c r="H1600" s="12">
        <v>39.733333333333299</v>
      </c>
      <c r="I1600" s="13">
        <v>0.692114093959732</v>
      </c>
      <c r="J1600" s="12" t="s">
        <v>739</v>
      </c>
      <c r="K1600" s="14">
        <v>937</v>
      </c>
      <c r="L1600" s="14">
        <v>190</v>
      </c>
      <c r="M1600" s="14">
        <v>593</v>
      </c>
      <c r="N1600" s="12">
        <v>27.5</v>
      </c>
      <c r="O1600" s="12" t="s">
        <v>739</v>
      </c>
      <c r="P1600" s="12">
        <v>4.4237466721360197E-3</v>
      </c>
      <c r="Q1600" s="12">
        <v>3.1515603642109698E-3</v>
      </c>
      <c r="R1600" s="12">
        <v>0.60080645161290303</v>
      </c>
      <c r="S1600" s="14">
        <v>32</v>
      </c>
      <c r="T1600" s="12">
        <v>0.36286302296828699</v>
      </c>
      <c r="U1600" s="14">
        <v>860</v>
      </c>
      <c r="V1600" s="14">
        <v>1</v>
      </c>
      <c r="W1600" s="12">
        <v>5.4999999999999997E-3</v>
      </c>
      <c r="X1600" s="12">
        <v>0.36836302296828699</v>
      </c>
      <c r="Y1600" s="14">
        <v>861</v>
      </c>
      <c r="Z1600" s="14">
        <v>32</v>
      </c>
      <c r="AA1600" s="12" t="s">
        <v>2367</v>
      </c>
    </row>
    <row r="1601" spans="1:27" ht="14.25" x14ac:dyDescent="0.45">
      <c r="A1601" s="12" t="s">
        <v>743</v>
      </c>
      <c r="B1601" s="12" t="s">
        <v>1980</v>
      </c>
      <c r="C1601" s="12" t="s">
        <v>1972</v>
      </c>
      <c r="D1601" s="12" t="s">
        <v>1993</v>
      </c>
      <c r="E1601" s="20">
        <v>35044</v>
      </c>
      <c r="F1601" s="20">
        <v>44121</v>
      </c>
      <c r="G1601" s="12">
        <v>27.5</v>
      </c>
      <c r="H1601" s="12">
        <v>14.6666666666667</v>
      </c>
      <c r="I1601" s="13">
        <v>1.875</v>
      </c>
      <c r="J1601" s="12" t="s">
        <v>743</v>
      </c>
      <c r="K1601" s="14">
        <v>676</v>
      </c>
      <c r="L1601" s="14">
        <v>547</v>
      </c>
      <c r="M1601" s="14">
        <v>593</v>
      </c>
      <c r="N1601" s="12">
        <v>27.5</v>
      </c>
      <c r="O1601" s="12" t="s">
        <v>743</v>
      </c>
      <c r="P1601" s="12">
        <v>4.4237466721360197E-3</v>
      </c>
      <c r="Q1601" s="12">
        <v>8.5378635321351707E-3</v>
      </c>
      <c r="R1601" s="12">
        <v>0.22177419354838701</v>
      </c>
      <c r="S1601" s="14">
        <v>27</v>
      </c>
      <c r="T1601" s="12">
        <v>0.69950697096354897</v>
      </c>
      <c r="U1601" s="14">
        <v>713</v>
      </c>
      <c r="V1601" s="14">
        <v>1</v>
      </c>
      <c r="W1601" s="12">
        <v>5.4999999999999997E-3</v>
      </c>
      <c r="X1601" s="12">
        <v>0.70500697096354903</v>
      </c>
      <c r="Y1601" s="14">
        <v>713</v>
      </c>
      <c r="Z1601" s="14">
        <v>26</v>
      </c>
      <c r="AA1601" s="12" t="s">
        <v>2367</v>
      </c>
    </row>
    <row r="1602" spans="1:27" ht="14.25" x14ac:dyDescent="0.45">
      <c r="A1602" s="12" t="s">
        <v>744</v>
      </c>
      <c r="B1602" s="12" t="s">
        <v>1980</v>
      </c>
      <c r="C1602" s="12" t="s">
        <v>1972</v>
      </c>
      <c r="D1602" s="12" t="s">
        <v>2026</v>
      </c>
      <c r="E1602" s="20">
        <v>34673</v>
      </c>
      <c r="F1602" s="20">
        <v>43452</v>
      </c>
      <c r="G1602" s="12">
        <v>27.5</v>
      </c>
      <c r="H1602" s="12">
        <v>36.966666666666697</v>
      </c>
      <c r="I1602" s="13">
        <v>0.743913435527502</v>
      </c>
      <c r="J1602" s="12" t="s">
        <v>744</v>
      </c>
      <c r="K1602" s="14">
        <v>915</v>
      </c>
      <c r="L1602" s="14">
        <v>217</v>
      </c>
      <c r="M1602" s="14">
        <v>593</v>
      </c>
      <c r="N1602" s="12">
        <v>27.5</v>
      </c>
      <c r="O1602" s="12" t="s">
        <v>744</v>
      </c>
      <c r="P1602" s="12">
        <v>4.4237466721360197E-3</v>
      </c>
      <c r="Q1602" s="12">
        <v>3.3874300758696802E-3</v>
      </c>
      <c r="R1602" s="12">
        <v>0.55897177419354804</v>
      </c>
      <c r="S1602" s="14">
        <v>28</v>
      </c>
      <c r="T1602" s="12">
        <v>0.37760487994695602</v>
      </c>
      <c r="U1602" s="14">
        <v>848</v>
      </c>
      <c r="V1602" s="14">
        <v>1</v>
      </c>
      <c r="W1602" s="12">
        <v>5.4999999999999997E-3</v>
      </c>
      <c r="X1602" s="12">
        <v>0.38310487994695602</v>
      </c>
      <c r="Y1602" s="14">
        <v>848</v>
      </c>
      <c r="Z1602" s="14">
        <v>27</v>
      </c>
      <c r="AA1602" s="12" t="s">
        <v>2367</v>
      </c>
    </row>
    <row r="1603" spans="1:27" ht="14.25" x14ac:dyDescent="0.45">
      <c r="A1603" s="12" t="s">
        <v>748</v>
      </c>
      <c r="B1603" s="12" t="s">
        <v>1980</v>
      </c>
      <c r="C1603" s="12" t="s">
        <v>1972</v>
      </c>
      <c r="D1603" s="12" t="s">
        <v>2072</v>
      </c>
      <c r="E1603" s="20">
        <v>29866</v>
      </c>
      <c r="F1603" s="20">
        <v>44188</v>
      </c>
      <c r="G1603" s="12">
        <v>27.5</v>
      </c>
      <c r="H1603" s="12">
        <v>12.4333333333333</v>
      </c>
      <c r="I1603" s="13">
        <v>2.2117962466487899</v>
      </c>
      <c r="J1603" s="12" t="s">
        <v>748</v>
      </c>
      <c r="K1603" s="14">
        <v>629</v>
      </c>
      <c r="L1603" s="14">
        <v>737</v>
      </c>
      <c r="M1603" s="14">
        <v>593</v>
      </c>
      <c r="N1603" s="12">
        <v>27.5</v>
      </c>
      <c r="O1603" s="12" t="s">
        <v>748</v>
      </c>
      <c r="P1603" s="12">
        <v>4.4237466721360197E-3</v>
      </c>
      <c r="Q1603" s="12">
        <v>1.0071474407880599E-2</v>
      </c>
      <c r="R1603" s="12">
        <v>0.188004032258065</v>
      </c>
      <c r="S1603" s="14">
        <v>41</v>
      </c>
      <c r="T1603" s="12">
        <v>0.79535765069763997</v>
      </c>
      <c r="U1603" s="14">
        <v>674</v>
      </c>
      <c r="V1603" s="14">
        <v>1</v>
      </c>
      <c r="W1603" s="12">
        <v>5.4999999999999997E-3</v>
      </c>
      <c r="X1603" s="12">
        <v>0.80085765069764003</v>
      </c>
      <c r="Y1603" s="14">
        <v>675</v>
      </c>
      <c r="Z1603" s="14">
        <v>40</v>
      </c>
      <c r="AA1603" s="12" t="s">
        <v>2369</v>
      </c>
    </row>
    <row r="1604" spans="1:27" ht="14.25" x14ac:dyDescent="0.45">
      <c r="A1604" s="12" t="s">
        <v>749</v>
      </c>
      <c r="B1604" s="12" t="s">
        <v>1980</v>
      </c>
      <c r="C1604" s="12" t="s">
        <v>1972</v>
      </c>
      <c r="D1604" s="12" t="s">
        <v>1982</v>
      </c>
      <c r="E1604" s="20">
        <v>36806</v>
      </c>
      <c r="F1604" s="20">
        <v>44211</v>
      </c>
      <c r="G1604" s="12">
        <v>27.5</v>
      </c>
      <c r="H1604" s="12">
        <v>11.6666666666667</v>
      </c>
      <c r="I1604" s="13">
        <v>2.3571428571428599</v>
      </c>
      <c r="J1604" s="12" t="s">
        <v>749</v>
      </c>
      <c r="K1604" s="14">
        <v>610</v>
      </c>
      <c r="L1604" s="14">
        <v>823</v>
      </c>
      <c r="M1604" s="14">
        <v>593</v>
      </c>
      <c r="N1604" s="12">
        <v>27.5</v>
      </c>
      <c r="O1604" s="12" t="s">
        <v>749</v>
      </c>
      <c r="P1604" s="12">
        <v>4.4237466721360197E-3</v>
      </c>
      <c r="Q1604" s="12">
        <v>1.07333141546842E-2</v>
      </c>
      <c r="R1604" s="12">
        <v>0.17641129032258099</v>
      </c>
      <c r="S1604" s="14">
        <v>22</v>
      </c>
      <c r="T1604" s="12">
        <v>0.83672263487286402</v>
      </c>
      <c r="U1604" s="14">
        <v>652</v>
      </c>
      <c r="V1604" s="14">
        <v>1</v>
      </c>
      <c r="W1604" s="12">
        <v>5.4999999999999997E-3</v>
      </c>
      <c r="X1604" s="12">
        <v>0.84222263487286397</v>
      </c>
      <c r="Y1604" s="14">
        <v>652</v>
      </c>
      <c r="Z1604" s="14">
        <v>21</v>
      </c>
      <c r="AA1604" s="12" t="s">
        <v>2370</v>
      </c>
    </row>
    <row r="1605" spans="1:27" ht="14.25" x14ac:dyDescent="0.45">
      <c r="A1605" s="12" t="s">
        <v>750</v>
      </c>
      <c r="B1605" s="12" t="s">
        <v>1980</v>
      </c>
      <c r="C1605" s="12" t="s">
        <v>1972</v>
      </c>
      <c r="D1605" s="12" t="s">
        <v>1982</v>
      </c>
      <c r="E1605" s="20">
        <v>35238</v>
      </c>
      <c r="F1605" s="20">
        <v>44246</v>
      </c>
      <c r="G1605" s="12">
        <v>4.3099999999999996</v>
      </c>
      <c r="H1605" s="12">
        <v>10.5</v>
      </c>
      <c r="I1605" s="13">
        <v>0.41047619047618999</v>
      </c>
      <c r="J1605" s="12" t="s">
        <v>750</v>
      </c>
      <c r="K1605" s="14">
        <v>1129</v>
      </c>
      <c r="L1605" s="14">
        <v>927</v>
      </c>
      <c r="M1605" s="14">
        <v>1084</v>
      </c>
      <c r="N1605" s="12">
        <v>4.3099999999999996</v>
      </c>
      <c r="O1605" s="12" t="s">
        <v>750</v>
      </c>
      <c r="P1605" s="12">
        <v>6.9332175116022798E-4</v>
      </c>
      <c r="Q1605" s="12">
        <v>1.8691145053207701E-3</v>
      </c>
      <c r="R1605" s="12">
        <v>0.15877016129032301</v>
      </c>
      <c r="S1605" s="14">
        <v>26</v>
      </c>
      <c r="T1605" s="12">
        <v>0.142819222251056</v>
      </c>
      <c r="U1605" s="14">
        <v>1180</v>
      </c>
      <c r="V1605" s="14">
        <v>2</v>
      </c>
      <c r="W1605" s="12">
        <v>5.5999999999999999E-3</v>
      </c>
      <c r="X1605" s="12">
        <v>0.148419222251056</v>
      </c>
      <c r="Y1605" s="14">
        <v>1180</v>
      </c>
      <c r="Z1605" s="14">
        <v>26</v>
      </c>
      <c r="AA1605" s="12" t="s">
        <v>2367</v>
      </c>
    </row>
    <row r="1606" spans="1:27" ht="14.25" x14ac:dyDescent="0.45">
      <c r="A1606" s="12" t="s">
        <v>751</v>
      </c>
      <c r="B1606" s="12" t="s">
        <v>1980</v>
      </c>
      <c r="C1606" s="12" t="s">
        <v>1972</v>
      </c>
      <c r="D1606" s="12" t="s">
        <v>1993</v>
      </c>
      <c r="E1606" s="20">
        <v>30336</v>
      </c>
      <c r="F1606" s="20">
        <v>44125</v>
      </c>
      <c r="G1606" s="12">
        <v>27.5</v>
      </c>
      <c r="H1606" s="12">
        <v>14.533333333333299</v>
      </c>
      <c r="I1606" s="13">
        <v>1.8922018348623899</v>
      </c>
      <c r="J1606" s="12" t="s">
        <v>751</v>
      </c>
      <c r="K1606" s="14">
        <v>674</v>
      </c>
      <c r="L1606" s="14">
        <v>564</v>
      </c>
      <c r="M1606" s="14">
        <v>593</v>
      </c>
      <c r="N1606" s="12">
        <v>27.5</v>
      </c>
      <c r="O1606" s="12" t="s">
        <v>751</v>
      </c>
      <c r="P1606" s="12">
        <v>4.4237466721360197E-3</v>
      </c>
      <c r="Q1606" s="12">
        <v>8.6161925553657707E-3</v>
      </c>
      <c r="R1606" s="12">
        <v>0.219758064516129</v>
      </c>
      <c r="S1606" s="14">
        <v>39</v>
      </c>
      <c r="T1606" s="12">
        <v>0.70440253491546101</v>
      </c>
      <c r="U1606" s="14">
        <v>709</v>
      </c>
      <c r="V1606" s="14">
        <v>1</v>
      </c>
      <c r="W1606" s="12">
        <v>5.4999999999999997E-3</v>
      </c>
      <c r="X1606" s="12">
        <v>0.70990253491546096</v>
      </c>
      <c r="Y1606" s="14">
        <v>709</v>
      </c>
      <c r="Z1606" s="14">
        <v>39</v>
      </c>
      <c r="AA1606" s="12" t="s">
        <v>2369</v>
      </c>
    </row>
    <row r="1607" spans="1:27" ht="14.25" x14ac:dyDescent="0.45">
      <c r="A1607" s="12" t="s">
        <v>752</v>
      </c>
      <c r="B1607" s="12" t="s">
        <v>1980</v>
      </c>
      <c r="C1607" s="12" t="s">
        <v>1972</v>
      </c>
      <c r="D1607" s="12" t="s">
        <v>1982</v>
      </c>
      <c r="E1607" s="20">
        <v>35269</v>
      </c>
      <c r="F1607" s="20">
        <v>44244</v>
      </c>
      <c r="G1607" s="12">
        <v>32.25</v>
      </c>
      <c r="H1607" s="12">
        <v>10.5666666666667</v>
      </c>
      <c r="I1607" s="13">
        <v>3.05205047318612</v>
      </c>
      <c r="J1607" s="12" t="s">
        <v>752</v>
      </c>
      <c r="K1607" s="14">
        <v>556</v>
      </c>
      <c r="L1607" s="14">
        <v>894</v>
      </c>
      <c r="M1607" s="14">
        <v>555</v>
      </c>
      <c r="N1607" s="12">
        <v>32.25</v>
      </c>
      <c r="O1607" s="12" t="s">
        <v>752</v>
      </c>
      <c r="P1607" s="12">
        <v>5.1878483700504296E-3</v>
      </c>
      <c r="Q1607" s="12">
        <v>1.38975948977342E-2</v>
      </c>
      <c r="R1607" s="12">
        <v>0.15977822580645201</v>
      </c>
      <c r="S1607" s="14">
        <v>26</v>
      </c>
      <c r="T1607" s="12">
        <v>1.0631439949852799</v>
      </c>
      <c r="U1607" s="14">
        <v>563</v>
      </c>
      <c r="V1607" s="14">
        <v>2</v>
      </c>
      <c r="W1607" s="12">
        <v>5.5999999999999999E-3</v>
      </c>
      <c r="X1607" s="12">
        <v>1.0687439949852799</v>
      </c>
      <c r="Y1607" s="14">
        <v>563</v>
      </c>
      <c r="Z1607" s="14">
        <v>25</v>
      </c>
      <c r="AA1607" s="12" t="s">
        <v>2367</v>
      </c>
    </row>
    <row r="1608" spans="1:27" ht="14.25" x14ac:dyDescent="0.45">
      <c r="A1608" s="12" t="s">
        <v>753</v>
      </c>
      <c r="B1608" s="12" t="s">
        <v>1980</v>
      </c>
      <c r="C1608" s="12" t="s">
        <v>1972</v>
      </c>
      <c r="D1608" s="12" t="s">
        <v>1974</v>
      </c>
      <c r="E1608" s="20">
        <v>34940</v>
      </c>
      <c r="F1608" s="20">
        <v>43726</v>
      </c>
      <c r="G1608" s="12">
        <v>27.5</v>
      </c>
      <c r="H1608" s="12">
        <v>27.8333333333333</v>
      </c>
      <c r="I1608" s="13">
        <v>0.98802395209580796</v>
      </c>
      <c r="J1608" s="12" t="s">
        <v>753</v>
      </c>
      <c r="K1608" s="14">
        <v>825</v>
      </c>
      <c r="L1608" s="14">
        <v>293</v>
      </c>
      <c r="M1608" s="14">
        <v>593</v>
      </c>
      <c r="N1608" s="12">
        <v>27.5</v>
      </c>
      <c r="O1608" s="12" t="s">
        <v>753</v>
      </c>
      <c r="P1608" s="12">
        <v>4.4237466721360197E-3</v>
      </c>
      <c r="Q1608" s="12">
        <v>4.4989939570532602E-3</v>
      </c>
      <c r="R1608" s="12">
        <v>0.420866935483871</v>
      </c>
      <c r="S1608" s="14">
        <v>27</v>
      </c>
      <c r="T1608" s="12">
        <v>0.44707762252092997</v>
      </c>
      <c r="U1608" s="14">
        <v>798</v>
      </c>
      <c r="V1608" s="14">
        <v>1</v>
      </c>
      <c r="W1608" s="12">
        <v>5.4999999999999997E-3</v>
      </c>
      <c r="X1608" s="12">
        <v>0.45257762252092998</v>
      </c>
      <c r="Y1608" s="14">
        <v>798</v>
      </c>
      <c r="Z1608" s="14">
        <v>26</v>
      </c>
      <c r="AA1608" s="12" t="s">
        <v>2367</v>
      </c>
    </row>
    <row r="1609" spans="1:27" ht="14.25" x14ac:dyDescent="0.45">
      <c r="A1609" s="12" t="s">
        <v>770</v>
      </c>
      <c r="B1609" s="12" t="s">
        <v>1980</v>
      </c>
      <c r="C1609" s="12" t="s">
        <v>1972</v>
      </c>
      <c r="D1609" s="12" t="s">
        <v>1984</v>
      </c>
      <c r="E1609" s="20">
        <v>30081</v>
      </c>
      <c r="F1609" s="20">
        <v>44246</v>
      </c>
      <c r="G1609" s="12">
        <v>27.5</v>
      </c>
      <c r="H1609" s="12">
        <v>10.5</v>
      </c>
      <c r="I1609" s="13">
        <v>2.61904761904762</v>
      </c>
      <c r="J1609" s="12" t="s">
        <v>770</v>
      </c>
      <c r="K1609" s="14">
        <v>584</v>
      </c>
      <c r="L1609" s="14">
        <v>927</v>
      </c>
      <c r="M1609" s="14">
        <v>593</v>
      </c>
      <c r="N1609" s="12">
        <v>27.5</v>
      </c>
      <c r="O1609" s="12" t="s">
        <v>770</v>
      </c>
      <c r="P1609" s="12">
        <v>4.4237466721360197E-3</v>
      </c>
      <c r="Q1609" s="12">
        <v>1.19259046163158E-2</v>
      </c>
      <c r="R1609" s="12">
        <v>0.15877016129032301</v>
      </c>
      <c r="S1609" s="14">
        <v>40</v>
      </c>
      <c r="T1609" s="12">
        <v>0.911259538724838</v>
      </c>
      <c r="U1609" s="14">
        <v>593</v>
      </c>
      <c r="V1609" s="14">
        <v>1</v>
      </c>
      <c r="W1609" s="12">
        <v>5.4999999999999997E-3</v>
      </c>
      <c r="X1609" s="12">
        <v>0.91675953872483795</v>
      </c>
      <c r="Y1609" s="14">
        <v>593</v>
      </c>
      <c r="Z1609" s="14">
        <v>40</v>
      </c>
      <c r="AA1609" s="12" t="s">
        <v>2369</v>
      </c>
    </row>
    <row r="1610" spans="1:27" ht="14.25" x14ac:dyDescent="0.45">
      <c r="A1610" s="12" t="s">
        <v>772</v>
      </c>
      <c r="B1610" s="12" t="s">
        <v>1980</v>
      </c>
      <c r="C1610" s="12" t="s">
        <v>1972</v>
      </c>
      <c r="D1610" s="12" t="s">
        <v>1975</v>
      </c>
      <c r="E1610" s="20">
        <v>34875</v>
      </c>
      <c r="F1610" s="20">
        <v>44245</v>
      </c>
      <c r="G1610" s="12">
        <v>27.5</v>
      </c>
      <c r="H1610" s="12">
        <v>10.533333333333299</v>
      </c>
      <c r="I1610" s="13">
        <v>2.6107594936708902</v>
      </c>
      <c r="J1610" s="12" t="s">
        <v>772</v>
      </c>
      <c r="K1610" s="14">
        <v>585</v>
      </c>
      <c r="L1610" s="14">
        <v>917</v>
      </c>
      <c r="M1610" s="14">
        <v>593</v>
      </c>
      <c r="N1610" s="12">
        <v>27.5</v>
      </c>
      <c r="O1610" s="12" t="s">
        <v>772</v>
      </c>
      <c r="P1610" s="12">
        <v>4.4237466721360197E-3</v>
      </c>
      <c r="Q1610" s="12">
        <v>1.1888164411833799E-2</v>
      </c>
      <c r="R1610" s="12">
        <v>0.15927419354838701</v>
      </c>
      <c r="S1610" s="14">
        <v>27</v>
      </c>
      <c r="T1610" s="12">
        <v>0.90890077594471197</v>
      </c>
      <c r="U1610" s="14">
        <v>606</v>
      </c>
      <c r="V1610" s="14">
        <v>1</v>
      </c>
      <c r="W1610" s="12">
        <v>5.4999999999999997E-3</v>
      </c>
      <c r="X1610" s="12">
        <v>0.91440077594471203</v>
      </c>
      <c r="Y1610" s="14">
        <v>606</v>
      </c>
      <c r="Z1610" s="14">
        <v>27</v>
      </c>
      <c r="AA1610" s="12" t="s">
        <v>2367</v>
      </c>
    </row>
    <row r="1611" spans="1:27" ht="14.25" x14ac:dyDescent="0.45">
      <c r="A1611" s="12" t="s">
        <v>782</v>
      </c>
      <c r="B1611" s="12" t="s">
        <v>1980</v>
      </c>
      <c r="C1611" s="12" t="s">
        <v>1972</v>
      </c>
      <c r="D1611" s="12" t="s">
        <v>2020</v>
      </c>
      <c r="E1611" s="20">
        <v>28008</v>
      </c>
      <c r="F1611" s="20">
        <v>43580</v>
      </c>
      <c r="G1611" s="12">
        <v>300.58999999999997</v>
      </c>
      <c r="H1611" s="12">
        <v>32.700000000000003</v>
      </c>
      <c r="I1611" s="13">
        <v>9.1923547400611607</v>
      </c>
      <c r="J1611" s="12" t="s">
        <v>782</v>
      </c>
      <c r="K1611" s="14">
        <v>315</v>
      </c>
      <c r="L1611" s="14">
        <v>242</v>
      </c>
      <c r="M1611" s="14">
        <v>221</v>
      </c>
      <c r="N1611" s="12">
        <v>300.58999999999997</v>
      </c>
      <c r="O1611" s="12" t="s">
        <v>782</v>
      </c>
      <c r="P1611" s="12">
        <v>4.8353964079176998E-2</v>
      </c>
      <c r="Q1611" s="12">
        <v>4.1857637498463003E-2</v>
      </c>
      <c r="R1611" s="12">
        <v>0.49445564516128998</v>
      </c>
      <c r="S1611" s="14">
        <v>46</v>
      </c>
      <c r="T1611" s="12">
        <v>4.4293759966230697</v>
      </c>
      <c r="U1611" s="14">
        <v>284</v>
      </c>
      <c r="V1611" s="14">
        <v>16</v>
      </c>
      <c r="W1611" s="12">
        <v>6.8999999999999999E-3</v>
      </c>
      <c r="X1611" s="12">
        <v>4.4362759966230696</v>
      </c>
      <c r="Y1611" s="14">
        <v>284</v>
      </c>
      <c r="Z1611" s="14">
        <v>45</v>
      </c>
      <c r="AA1611" s="12" t="s">
        <v>2371</v>
      </c>
    </row>
    <row r="1612" spans="1:27" ht="14.25" x14ac:dyDescent="0.45">
      <c r="A1612" s="12" t="s">
        <v>784</v>
      </c>
      <c r="B1612" s="12" t="s">
        <v>1980</v>
      </c>
      <c r="C1612" s="12" t="s">
        <v>1972</v>
      </c>
      <c r="D1612" s="12" t="s">
        <v>2007</v>
      </c>
      <c r="E1612" s="20">
        <v>27998</v>
      </c>
      <c r="F1612" s="20">
        <v>44270</v>
      </c>
      <c r="G1612" s="12">
        <v>5.92</v>
      </c>
      <c r="H1612" s="12">
        <v>9.6999999999999993</v>
      </c>
      <c r="I1612" s="13">
        <v>0.61030927835051596</v>
      </c>
      <c r="J1612" s="12" t="s">
        <v>784</v>
      </c>
      <c r="K1612" s="14">
        <v>987</v>
      </c>
      <c r="L1612" s="14">
        <v>1003</v>
      </c>
      <c r="M1612" s="14">
        <v>972</v>
      </c>
      <c r="N1612" s="12">
        <v>5.92</v>
      </c>
      <c r="O1612" s="12" t="s">
        <v>784</v>
      </c>
      <c r="P1612" s="12">
        <v>9.5231201087437299E-4</v>
      </c>
      <c r="Q1612" s="12">
        <v>2.7790599098413901E-3</v>
      </c>
      <c r="R1612" s="12">
        <v>0.14667338709677399</v>
      </c>
      <c r="S1612" s="14">
        <v>46</v>
      </c>
      <c r="T1612" s="12">
        <v>0.20940294477287599</v>
      </c>
      <c r="U1612" s="14">
        <v>1030</v>
      </c>
      <c r="V1612" s="14">
        <v>2</v>
      </c>
      <c r="W1612" s="12">
        <v>5.5999999999999999E-3</v>
      </c>
      <c r="X1612" s="12">
        <v>0.21500294477287599</v>
      </c>
      <c r="Y1612" s="14">
        <v>1030</v>
      </c>
      <c r="Z1612" s="14">
        <v>45</v>
      </c>
      <c r="AA1612" s="12" t="s">
        <v>2371</v>
      </c>
    </row>
    <row r="1613" spans="1:27" ht="14.25" x14ac:dyDescent="0.45">
      <c r="A1613" s="12" t="s">
        <v>786</v>
      </c>
      <c r="B1613" s="12" t="s">
        <v>1980</v>
      </c>
      <c r="C1613" s="12" t="s">
        <v>1972</v>
      </c>
      <c r="D1613" s="12" t="s">
        <v>2070</v>
      </c>
      <c r="E1613" s="20">
        <v>32892</v>
      </c>
      <c r="F1613" s="20">
        <v>44246</v>
      </c>
      <c r="G1613" s="12">
        <v>27.5</v>
      </c>
      <c r="H1613" s="12">
        <v>10.5</v>
      </c>
      <c r="I1613" s="13">
        <v>2.61904761904762</v>
      </c>
      <c r="J1613" s="12" t="s">
        <v>786</v>
      </c>
      <c r="K1613" s="14">
        <v>584</v>
      </c>
      <c r="L1613" s="14">
        <v>927</v>
      </c>
      <c r="M1613" s="14">
        <v>593</v>
      </c>
      <c r="N1613" s="12">
        <v>27.5</v>
      </c>
      <c r="O1613" s="12" t="s">
        <v>786</v>
      </c>
      <c r="P1613" s="12">
        <v>4.4237466721360197E-3</v>
      </c>
      <c r="Q1613" s="12">
        <v>1.19259046163158E-2</v>
      </c>
      <c r="R1613" s="12">
        <v>0.15877016129032301</v>
      </c>
      <c r="S1613" s="14">
        <v>32</v>
      </c>
      <c r="T1613" s="12">
        <v>0.911259538724838</v>
      </c>
      <c r="U1613" s="14">
        <v>593</v>
      </c>
      <c r="V1613" s="14">
        <v>1</v>
      </c>
      <c r="W1613" s="12">
        <v>5.4999999999999997E-3</v>
      </c>
      <c r="X1613" s="12">
        <v>0.91675953872483795</v>
      </c>
      <c r="Y1613" s="14">
        <v>593</v>
      </c>
      <c r="Z1613" s="14">
        <v>32</v>
      </c>
      <c r="AA1613" s="12" t="s">
        <v>2367</v>
      </c>
    </row>
    <row r="1614" spans="1:27" ht="14.25" x14ac:dyDescent="0.45">
      <c r="A1614" s="12" t="s">
        <v>790</v>
      </c>
      <c r="B1614" s="12" t="s">
        <v>1980</v>
      </c>
      <c r="C1614" s="12" t="s">
        <v>1972</v>
      </c>
      <c r="D1614" s="12" t="s">
        <v>1974</v>
      </c>
      <c r="E1614" s="20">
        <v>33688</v>
      </c>
      <c r="F1614" s="20">
        <v>43682</v>
      </c>
      <c r="G1614" s="12">
        <v>736.64</v>
      </c>
      <c r="H1614" s="12">
        <v>29.3</v>
      </c>
      <c r="I1614" s="13">
        <v>25.141296928327598</v>
      </c>
      <c r="J1614" s="12" t="s">
        <v>790</v>
      </c>
      <c r="K1614" s="14">
        <v>102</v>
      </c>
      <c r="L1614" s="14">
        <v>260</v>
      </c>
      <c r="M1614" s="14">
        <v>84</v>
      </c>
      <c r="N1614" s="12">
        <v>736.64</v>
      </c>
      <c r="O1614" s="12" t="s">
        <v>790</v>
      </c>
      <c r="P1614" s="12">
        <v>0.11849849994771899</v>
      </c>
      <c r="Q1614" s="12">
        <v>0.114481579837307</v>
      </c>
      <c r="R1614" s="12">
        <v>0.44304435483871002</v>
      </c>
      <c r="S1614" s="14">
        <v>30</v>
      </c>
      <c r="T1614" s="12">
        <v>11.598792487871201</v>
      </c>
      <c r="U1614" s="14">
        <v>90</v>
      </c>
      <c r="V1614" s="14">
        <v>8</v>
      </c>
      <c r="W1614" s="12">
        <v>6.1999999999999998E-3</v>
      </c>
      <c r="X1614" s="12">
        <v>11.604992487871201</v>
      </c>
      <c r="Y1614" s="14">
        <v>90</v>
      </c>
      <c r="Z1614" s="14">
        <v>30</v>
      </c>
      <c r="AA1614" s="12" t="s">
        <v>2367</v>
      </c>
    </row>
    <row r="1615" spans="1:27" ht="14.25" x14ac:dyDescent="0.45">
      <c r="A1615" s="12" t="s">
        <v>791</v>
      </c>
      <c r="B1615" s="12" t="s">
        <v>1980</v>
      </c>
      <c r="C1615" s="12" t="s">
        <v>1972</v>
      </c>
      <c r="D1615" s="12" t="s">
        <v>1974</v>
      </c>
      <c r="E1615" s="20">
        <v>34906</v>
      </c>
      <c r="F1615" s="20">
        <v>44244</v>
      </c>
      <c r="G1615" s="12">
        <v>27.5</v>
      </c>
      <c r="H1615" s="12">
        <v>10.5666666666667</v>
      </c>
      <c r="I1615" s="13">
        <v>2.6025236593059899</v>
      </c>
      <c r="J1615" s="12" t="s">
        <v>791</v>
      </c>
      <c r="K1615" s="14">
        <v>587</v>
      </c>
      <c r="L1615" s="14">
        <v>894</v>
      </c>
      <c r="M1615" s="14">
        <v>593</v>
      </c>
      <c r="N1615" s="12">
        <v>27.5</v>
      </c>
      <c r="O1615" s="12" t="s">
        <v>791</v>
      </c>
      <c r="P1615" s="12">
        <v>4.4237466721360197E-3</v>
      </c>
      <c r="Q1615" s="12">
        <v>1.18506623158974E-2</v>
      </c>
      <c r="R1615" s="12">
        <v>0.15977822580645201</v>
      </c>
      <c r="S1615" s="14">
        <v>27</v>
      </c>
      <c r="T1615" s="12">
        <v>0.90655689494868796</v>
      </c>
      <c r="U1615" s="14">
        <v>617</v>
      </c>
      <c r="V1615" s="14">
        <v>1</v>
      </c>
      <c r="W1615" s="12">
        <v>5.4999999999999997E-3</v>
      </c>
      <c r="X1615" s="12">
        <v>0.91205689494868802</v>
      </c>
      <c r="Y1615" s="14">
        <v>617</v>
      </c>
      <c r="Z1615" s="14">
        <v>26</v>
      </c>
      <c r="AA1615" s="12" t="s">
        <v>2367</v>
      </c>
    </row>
    <row r="1616" spans="1:27" ht="14.25" x14ac:dyDescent="0.45">
      <c r="A1616" s="12" t="s">
        <v>794</v>
      </c>
      <c r="B1616" s="12" t="s">
        <v>1980</v>
      </c>
      <c r="C1616" s="12" t="s">
        <v>1972</v>
      </c>
      <c r="D1616" s="12" t="s">
        <v>1982</v>
      </c>
      <c r="E1616" s="20">
        <v>33589</v>
      </c>
      <c r="F1616" s="20">
        <v>44221</v>
      </c>
      <c r="G1616" s="12">
        <v>50</v>
      </c>
      <c r="H1616" s="12">
        <v>11.3333333333333</v>
      </c>
      <c r="I1616" s="13">
        <v>4.4117647058823497</v>
      </c>
      <c r="J1616" s="12" t="s">
        <v>794</v>
      </c>
      <c r="K1616" s="14">
        <v>474</v>
      </c>
      <c r="L1616" s="14">
        <v>860</v>
      </c>
      <c r="M1616" s="14">
        <v>486</v>
      </c>
      <c r="N1616" s="12">
        <v>50</v>
      </c>
      <c r="O1616" s="12" t="s">
        <v>794</v>
      </c>
      <c r="P1616" s="12">
        <v>8.0431757675200506E-3</v>
      </c>
      <c r="Q1616" s="12">
        <v>2.0089090663847502E-2</v>
      </c>
      <c r="R1616" s="12">
        <v>0.171370967741935</v>
      </c>
      <c r="S1616" s="14">
        <v>31</v>
      </c>
      <c r="T1616" s="12">
        <v>1.5571872577724699</v>
      </c>
      <c r="U1616" s="14">
        <v>488</v>
      </c>
      <c r="V1616" s="14">
        <v>1</v>
      </c>
      <c r="W1616" s="12">
        <v>5.4999999999999997E-3</v>
      </c>
      <c r="X1616" s="12">
        <v>1.56268725777247</v>
      </c>
      <c r="Y1616" s="14">
        <v>489</v>
      </c>
      <c r="Z1616" s="14">
        <v>30</v>
      </c>
      <c r="AA1616" s="12" t="s">
        <v>2367</v>
      </c>
    </row>
    <row r="1617" spans="1:27" ht="14.25" x14ac:dyDescent="0.45">
      <c r="A1617" s="12" t="s">
        <v>805</v>
      </c>
      <c r="B1617" s="12" t="s">
        <v>1980</v>
      </c>
      <c r="C1617" s="12" t="s">
        <v>1972</v>
      </c>
      <c r="D1617" s="12" t="s">
        <v>2007</v>
      </c>
      <c r="E1617" s="20">
        <v>32312</v>
      </c>
      <c r="F1617" s="20">
        <v>44274</v>
      </c>
      <c r="G1617" s="12">
        <v>3.02</v>
      </c>
      <c r="H1617" s="12">
        <v>9.56666666666667</v>
      </c>
      <c r="I1617" s="13">
        <v>0.31567944250871099</v>
      </c>
      <c r="J1617" s="12" t="s">
        <v>805</v>
      </c>
      <c r="K1617" s="14">
        <v>1213</v>
      </c>
      <c r="L1617" s="14">
        <v>1036</v>
      </c>
      <c r="M1617" s="14">
        <v>1219</v>
      </c>
      <c r="N1617" s="12">
        <v>3.02</v>
      </c>
      <c r="O1617" s="12" t="s">
        <v>805</v>
      </c>
      <c r="P1617" s="12">
        <v>4.85807816358211E-4</v>
      </c>
      <c r="Q1617" s="12">
        <v>1.4374549333546001E-3</v>
      </c>
      <c r="R1617" s="12">
        <v>0.14465725806451599</v>
      </c>
      <c r="S1617" s="14">
        <v>34</v>
      </c>
      <c r="T1617" s="12">
        <v>0.108058726448096</v>
      </c>
      <c r="U1617" s="14">
        <v>1268</v>
      </c>
      <c r="V1617" s="14">
        <v>2</v>
      </c>
      <c r="W1617" s="12">
        <v>5.5999999999999999E-3</v>
      </c>
      <c r="X1617" s="12">
        <v>0.11365872644809601</v>
      </c>
      <c r="Y1617" s="14">
        <v>1268</v>
      </c>
      <c r="Z1617" s="14">
        <v>34</v>
      </c>
      <c r="AA1617" s="12" t="s">
        <v>2367</v>
      </c>
    </row>
    <row r="1618" spans="1:27" ht="14.25" x14ac:dyDescent="0.45">
      <c r="A1618" s="12" t="s">
        <v>830</v>
      </c>
      <c r="B1618" s="12" t="s">
        <v>1980</v>
      </c>
      <c r="C1618" s="12" t="s">
        <v>1972</v>
      </c>
      <c r="D1618" s="12" t="s">
        <v>1982</v>
      </c>
      <c r="E1618" s="20">
        <v>32322</v>
      </c>
      <c r="F1618" s="20">
        <v>43745</v>
      </c>
      <c r="G1618" s="12">
        <v>4.5599999999999996</v>
      </c>
      <c r="H1618" s="12">
        <v>27.2</v>
      </c>
      <c r="I1618" s="13">
        <v>0.16764705882352901</v>
      </c>
      <c r="J1618" s="12" t="s">
        <v>830</v>
      </c>
      <c r="K1618" s="14">
        <v>1383</v>
      </c>
      <c r="L1618" s="14">
        <v>307</v>
      </c>
      <c r="M1618" s="14">
        <v>1067</v>
      </c>
      <c r="N1618" s="12">
        <v>4.5599999999999996</v>
      </c>
      <c r="O1618" s="12" t="s">
        <v>830</v>
      </c>
      <c r="P1618" s="12">
        <v>7.3353762999782803E-4</v>
      </c>
      <c r="Q1618" s="12">
        <v>7.6338544522620399E-4</v>
      </c>
      <c r="R1618" s="12">
        <v>0.41129032258064502</v>
      </c>
      <c r="S1618" s="14">
        <v>34</v>
      </c>
      <c r="T1618" s="12">
        <v>7.5219251451556293E-2</v>
      </c>
      <c r="U1618" s="14">
        <v>1404</v>
      </c>
      <c r="V1618" s="14">
        <v>1</v>
      </c>
      <c r="W1618" s="12">
        <v>5.4999999999999997E-3</v>
      </c>
      <c r="X1618" s="12">
        <v>8.0719251451556298E-2</v>
      </c>
      <c r="Y1618" s="14">
        <v>1404</v>
      </c>
      <c r="Z1618" s="14">
        <v>34</v>
      </c>
      <c r="AA1618" s="12" t="s">
        <v>2367</v>
      </c>
    </row>
    <row r="1619" spans="1:27" ht="14.25" x14ac:dyDescent="0.45">
      <c r="A1619" s="12" t="s">
        <v>855</v>
      </c>
      <c r="B1619" s="12" t="s">
        <v>1980</v>
      </c>
      <c r="C1619" s="12" t="s">
        <v>1972</v>
      </c>
      <c r="D1619" s="12" t="s">
        <v>1974</v>
      </c>
      <c r="E1619" s="20">
        <v>32644</v>
      </c>
      <c r="F1619" s="20">
        <v>43767</v>
      </c>
      <c r="G1619" s="12">
        <v>0.75</v>
      </c>
      <c r="H1619" s="12">
        <v>26.466666666666701</v>
      </c>
      <c r="I1619" s="13">
        <v>2.8337531486146102E-2</v>
      </c>
      <c r="J1619" s="12" t="s">
        <v>855</v>
      </c>
      <c r="K1619" s="14">
        <v>1661</v>
      </c>
      <c r="L1619" s="14">
        <v>347</v>
      </c>
      <c r="M1619" s="14">
        <v>1613</v>
      </c>
      <c r="N1619" s="12">
        <v>0.75</v>
      </c>
      <c r="O1619" s="12" t="s">
        <v>855</v>
      </c>
      <c r="P1619" s="12">
        <v>1.20647636512801E-4</v>
      </c>
      <c r="Q1619" s="12">
        <v>1.2903572088869301E-4</v>
      </c>
      <c r="R1619" s="12">
        <v>0.40020161290322598</v>
      </c>
      <c r="S1619" s="14">
        <v>33</v>
      </c>
      <c r="T1619" s="12">
        <v>1.25890189247733E-2</v>
      </c>
      <c r="U1619" s="14">
        <v>1737</v>
      </c>
      <c r="V1619" s="14">
        <v>2</v>
      </c>
      <c r="W1619" s="12">
        <v>5.5999999999999999E-3</v>
      </c>
      <c r="X1619" s="12">
        <v>1.8189018924773301E-2</v>
      </c>
      <c r="Y1619" s="14">
        <v>1735</v>
      </c>
      <c r="Z1619" s="14">
        <v>33</v>
      </c>
      <c r="AA1619" s="12" t="s">
        <v>2367</v>
      </c>
    </row>
    <row r="1620" spans="1:27" ht="14.25" x14ac:dyDescent="0.45">
      <c r="A1620" s="12" t="s">
        <v>872</v>
      </c>
      <c r="B1620" s="12" t="s">
        <v>1980</v>
      </c>
      <c r="C1620" s="12" t="s">
        <v>1972</v>
      </c>
      <c r="D1620" s="12" t="s">
        <v>1974</v>
      </c>
      <c r="E1620" s="20">
        <v>33074</v>
      </c>
      <c r="F1620" s="20">
        <v>44279</v>
      </c>
      <c r="G1620" s="12">
        <v>2</v>
      </c>
      <c r="H1620" s="12">
        <v>9.4</v>
      </c>
      <c r="I1620" s="13">
        <v>0.21276595744680901</v>
      </c>
      <c r="J1620" s="12" t="s">
        <v>872</v>
      </c>
      <c r="K1620" s="14">
        <v>1332</v>
      </c>
      <c r="L1620" s="14">
        <v>1056</v>
      </c>
      <c r="M1620" s="14">
        <v>1359</v>
      </c>
      <c r="N1620" s="12">
        <v>2</v>
      </c>
      <c r="O1620" s="12" t="s">
        <v>872</v>
      </c>
      <c r="P1620" s="12">
        <v>3.2172703070080199E-4</v>
      </c>
      <c r="Q1620" s="12">
        <v>9.6883557811462901E-4</v>
      </c>
      <c r="R1620" s="12">
        <v>0.14213709677419401</v>
      </c>
      <c r="S1620" s="14">
        <v>32</v>
      </c>
      <c r="T1620" s="12">
        <v>7.2616987283444401E-2</v>
      </c>
      <c r="U1620" s="14">
        <v>1428</v>
      </c>
      <c r="V1620" s="14">
        <v>1</v>
      </c>
      <c r="W1620" s="12">
        <v>5.4999999999999997E-3</v>
      </c>
      <c r="X1620" s="12">
        <v>7.8116987283444406E-2</v>
      </c>
      <c r="Y1620" s="14">
        <v>1428</v>
      </c>
      <c r="Z1620" s="14">
        <v>31</v>
      </c>
      <c r="AA1620" s="12" t="s">
        <v>2367</v>
      </c>
    </row>
    <row r="1621" spans="1:27" ht="14.25" x14ac:dyDescent="0.45">
      <c r="A1621" s="12" t="s">
        <v>902</v>
      </c>
      <c r="B1621" s="12" t="s">
        <v>1980</v>
      </c>
      <c r="C1621" s="12" t="s">
        <v>1972</v>
      </c>
      <c r="D1621" s="12" t="s">
        <v>1973</v>
      </c>
      <c r="E1621" s="20">
        <v>36099</v>
      </c>
      <c r="F1621" s="20">
        <v>44217</v>
      </c>
      <c r="G1621" s="12">
        <v>27.5</v>
      </c>
      <c r="H1621" s="12">
        <v>11.466666666666701</v>
      </c>
      <c r="I1621" s="13">
        <v>2.3982558139534902</v>
      </c>
      <c r="J1621" s="12" t="s">
        <v>902</v>
      </c>
      <c r="K1621" s="14">
        <v>603</v>
      </c>
      <c r="L1621" s="14">
        <v>851</v>
      </c>
      <c r="M1621" s="14">
        <v>593</v>
      </c>
      <c r="N1621" s="12">
        <v>27.5</v>
      </c>
      <c r="O1621" s="12" t="s">
        <v>902</v>
      </c>
      <c r="P1621" s="12">
        <v>4.4237466721360197E-3</v>
      </c>
      <c r="Q1621" s="12">
        <v>1.0920523122498501E-2</v>
      </c>
      <c r="R1621" s="12">
        <v>0.17338709677419401</v>
      </c>
      <c r="S1621" s="14">
        <v>24</v>
      </c>
      <c r="T1621" s="12">
        <v>0.84842319536125599</v>
      </c>
      <c r="U1621" s="14">
        <v>649</v>
      </c>
      <c r="V1621" s="14">
        <v>1</v>
      </c>
      <c r="W1621" s="12">
        <v>5.4999999999999997E-3</v>
      </c>
      <c r="X1621" s="12">
        <v>0.85392319536125605</v>
      </c>
      <c r="Y1621" s="14">
        <v>649</v>
      </c>
      <c r="Z1621" s="14">
        <v>23</v>
      </c>
      <c r="AA1621" s="12" t="s">
        <v>2370</v>
      </c>
    </row>
    <row r="1622" spans="1:27" ht="14.25" x14ac:dyDescent="0.45">
      <c r="A1622" s="12" t="s">
        <v>907</v>
      </c>
      <c r="B1622" s="12" t="s">
        <v>1980</v>
      </c>
      <c r="C1622" s="12" t="s">
        <v>1972</v>
      </c>
      <c r="D1622" s="12" t="s">
        <v>1974</v>
      </c>
      <c r="E1622" s="20">
        <v>22587</v>
      </c>
      <c r="F1622" s="20">
        <v>44102</v>
      </c>
      <c r="G1622" s="12">
        <v>27.5</v>
      </c>
      <c r="H1622" s="12">
        <v>15.3</v>
      </c>
      <c r="I1622" s="13">
        <v>1.7973856209150301</v>
      </c>
      <c r="J1622" s="12" t="s">
        <v>907</v>
      </c>
      <c r="K1622" s="14">
        <v>692</v>
      </c>
      <c r="L1622" s="14">
        <v>493</v>
      </c>
      <c r="M1622" s="14">
        <v>593</v>
      </c>
      <c r="N1622" s="12">
        <v>27.5</v>
      </c>
      <c r="O1622" s="12" t="s">
        <v>907</v>
      </c>
      <c r="P1622" s="12">
        <v>4.4237466721360197E-3</v>
      </c>
      <c r="Q1622" s="12">
        <v>8.1844443445304501E-3</v>
      </c>
      <c r="R1622" s="12">
        <v>0.23135080645161299</v>
      </c>
      <c r="S1622" s="14">
        <v>61</v>
      </c>
      <c r="T1622" s="12">
        <v>0.67741827173825397</v>
      </c>
      <c r="U1622" s="14">
        <v>730</v>
      </c>
      <c r="V1622" s="14">
        <v>1</v>
      </c>
      <c r="W1622" s="12">
        <v>5.4999999999999997E-3</v>
      </c>
      <c r="X1622" s="12">
        <v>0.68291827173825403</v>
      </c>
      <c r="Y1622" s="14">
        <v>730</v>
      </c>
      <c r="Z1622" s="14">
        <v>60</v>
      </c>
      <c r="AA1622" s="12" t="s">
        <v>2371</v>
      </c>
    </row>
    <row r="1623" spans="1:27" ht="14.25" x14ac:dyDescent="0.45">
      <c r="A1623" s="12" t="s">
        <v>926</v>
      </c>
      <c r="B1623" s="12" t="s">
        <v>1980</v>
      </c>
      <c r="C1623" s="12" t="s">
        <v>1972</v>
      </c>
      <c r="D1623" s="12" t="s">
        <v>1974</v>
      </c>
      <c r="E1623" s="20">
        <v>34718</v>
      </c>
      <c r="F1623" s="20">
        <v>44272</v>
      </c>
      <c r="G1623" s="12">
        <v>4.38</v>
      </c>
      <c r="H1623" s="12">
        <v>9.6333333333333293</v>
      </c>
      <c r="I1623" s="13">
        <v>0.45467128027681702</v>
      </c>
      <c r="J1623" s="12" t="s">
        <v>926</v>
      </c>
      <c r="K1623" s="14">
        <v>1097</v>
      </c>
      <c r="L1623" s="14">
        <v>1025</v>
      </c>
      <c r="M1623" s="14">
        <v>1077</v>
      </c>
      <c r="N1623" s="12">
        <v>4.38</v>
      </c>
      <c r="O1623" s="12" t="s">
        <v>926</v>
      </c>
      <c r="P1623" s="12">
        <v>7.0458219723475602E-4</v>
      </c>
      <c r="Q1623" s="12">
        <v>2.0703580495918098E-3</v>
      </c>
      <c r="R1623" s="12">
        <v>0.14566532258064499</v>
      </c>
      <c r="S1623" s="14">
        <v>27</v>
      </c>
      <c r="T1623" s="12">
        <v>0.15581921049579101</v>
      </c>
      <c r="U1623" s="14">
        <v>1137</v>
      </c>
      <c r="V1623" s="14">
        <v>1</v>
      </c>
      <c r="W1623" s="12">
        <v>5.4999999999999997E-3</v>
      </c>
      <c r="X1623" s="12">
        <v>0.16131921049579101</v>
      </c>
      <c r="Y1623" s="14">
        <v>1137</v>
      </c>
      <c r="Z1623" s="14">
        <v>27</v>
      </c>
      <c r="AA1623" s="12" t="s">
        <v>2367</v>
      </c>
    </row>
    <row r="1624" spans="1:27" ht="14.25" x14ac:dyDescent="0.45">
      <c r="A1624" s="12" t="s">
        <v>927</v>
      </c>
      <c r="B1624" s="12" t="s">
        <v>1980</v>
      </c>
      <c r="C1624" s="12" t="s">
        <v>1972</v>
      </c>
      <c r="D1624" s="12" t="s">
        <v>1987</v>
      </c>
      <c r="E1624" s="20">
        <v>35308</v>
      </c>
      <c r="F1624" s="20">
        <v>43761</v>
      </c>
      <c r="G1624" s="12">
        <v>6.25</v>
      </c>
      <c r="H1624" s="12">
        <v>26.6666666666667</v>
      </c>
      <c r="I1624" s="13">
        <v>0.234375</v>
      </c>
      <c r="J1624" s="12" t="s">
        <v>927</v>
      </c>
      <c r="K1624" s="14">
        <v>1303</v>
      </c>
      <c r="L1624" s="14">
        <v>340</v>
      </c>
      <c r="M1624" s="14">
        <v>950</v>
      </c>
      <c r="N1624" s="12">
        <v>6.25</v>
      </c>
      <c r="O1624" s="12" t="s">
        <v>927</v>
      </c>
      <c r="P1624" s="12">
        <v>1.00539697094001E-3</v>
      </c>
      <c r="Q1624" s="12">
        <v>1.0672329415169E-3</v>
      </c>
      <c r="R1624" s="12">
        <v>0.40322580645161299</v>
      </c>
      <c r="S1624" s="14">
        <v>26</v>
      </c>
      <c r="T1624" s="12">
        <v>0.104404445255056</v>
      </c>
      <c r="U1624" s="14">
        <v>1280</v>
      </c>
      <c r="V1624" s="14">
        <v>2</v>
      </c>
      <c r="W1624" s="12">
        <v>5.5999999999999999E-3</v>
      </c>
      <c r="X1624" s="12">
        <v>0.110004445255056</v>
      </c>
      <c r="Y1624" s="14">
        <v>1280</v>
      </c>
      <c r="Z1624" s="14">
        <v>25</v>
      </c>
      <c r="AA1624" s="12" t="s">
        <v>2367</v>
      </c>
    </row>
    <row r="1625" spans="1:27" ht="14.25" x14ac:dyDescent="0.45">
      <c r="A1625" s="12" t="s">
        <v>935</v>
      </c>
      <c r="B1625" s="12" t="s">
        <v>1980</v>
      </c>
      <c r="C1625" s="12" t="s">
        <v>1972</v>
      </c>
      <c r="D1625" s="12" t="s">
        <v>2007</v>
      </c>
      <c r="E1625" s="20">
        <v>34440</v>
      </c>
      <c r="F1625" s="20">
        <v>44271</v>
      </c>
      <c r="G1625" s="12">
        <v>1.04</v>
      </c>
      <c r="H1625" s="12">
        <v>9.6666666666666696</v>
      </c>
      <c r="I1625" s="13">
        <v>0.107586206896552</v>
      </c>
      <c r="J1625" s="12" t="s">
        <v>935</v>
      </c>
      <c r="K1625" s="14">
        <v>1471</v>
      </c>
      <c r="L1625" s="14">
        <v>1004</v>
      </c>
      <c r="M1625" s="14">
        <v>1542</v>
      </c>
      <c r="N1625" s="12">
        <v>1.04</v>
      </c>
      <c r="O1625" s="12" t="s">
        <v>935</v>
      </c>
      <c r="P1625" s="12">
        <v>1.6729805596441699E-4</v>
      </c>
      <c r="Q1625" s="12">
        <v>4.8989672129216995E-4</v>
      </c>
      <c r="R1625" s="12">
        <v>0.14616935483870999</v>
      </c>
      <c r="S1625" s="14">
        <v>28</v>
      </c>
      <c r="T1625" s="12">
        <v>3.6892222179426302E-2</v>
      </c>
      <c r="U1625" s="14">
        <v>1570</v>
      </c>
      <c r="V1625" s="14">
        <v>1</v>
      </c>
      <c r="W1625" s="12">
        <v>5.4999999999999997E-3</v>
      </c>
      <c r="X1625" s="12">
        <v>4.23922221794263E-2</v>
      </c>
      <c r="Y1625" s="14">
        <v>1570</v>
      </c>
      <c r="Z1625" s="14">
        <v>28</v>
      </c>
      <c r="AA1625" s="12" t="s">
        <v>2367</v>
      </c>
    </row>
    <row r="1626" spans="1:27" ht="14.25" x14ac:dyDescent="0.45">
      <c r="A1626" s="12" t="s">
        <v>947</v>
      </c>
      <c r="B1626" s="12" t="s">
        <v>1980</v>
      </c>
      <c r="C1626" s="12" t="s">
        <v>1972</v>
      </c>
      <c r="D1626" s="12" t="s">
        <v>1974</v>
      </c>
      <c r="E1626" s="20">
        <v>35985</v>
      </c>
      <c r="F1626" s="20">
        <v>44246</v>
      </c>
      <c r="G1626" s="12">
        <v>6.39</v>
      </c>
      <c r="H1626" s="12">
        <v>10.5</v>
      </c>
      <c r="I1626" s="13">
        <v>0.60857142857142899</v>
      </c>
      <c r="J1626" s="12" t="s">
        <v>947</v>
      </c>
      <c r="K1626" s="14">
        <v>988</v>
      </c>
      <c r="L1626" s="14">
        <v>927</v>
      </c>
      <c r="M1626" s="14">
        <v>945</v>
      </c>
      <c r="N1626" s="12">
        <v>6.39</v>
      </c>
      <c r="O1626" s="12" t="s">
        <v>947</v>
      </c>
      <c r="P1626" s="12">
        <v>1.02791786308906E-3</v>
      </c>
      <c r="Q1626" s="12">
        <v>2.7711465635730198E-3</v>
      </c>
      <c r="R1626" s="12">
        <v>0.15877016129032301</v>
      </c>
      <c r="S1626" s="14">
        <v>24</v>
      </c>
      <c r="T1626" s="12">
        <v>0.21174358008915301</v>
      </c>
      <c r="U1626" s="14">
        <v>1023</v>
      </c>
      <c r="V1626" s="14">
        <v>2</v>
      </c>
      <c r="W1626" s="12">
        <v>5.5999999999999999E-3</v>
      </c>
      <c r="X1626" s="12">
        <v>0.217343580089153</v>
      </c>
      <c r="Y1626" s="14">
        <v>1023</v>
      </c>
      <c r="Z1626" s="14">
        <v>24</v>
      </c>
      <c r="AA1626" s="12" t="s">
        <v>2370</v>
      </c>
    </row>
    <row r="1627" spans="1:27" ht="14.25" x14ac:dyDescent="0.45">
      <c r="A1627" s="12" t="s">
        <v>954</v>
      </c>
      <c r="B1627" s="12" t="s">
        <v>1980</v>
      </c>
      <c r="C1627" s="12" t="s">
        <v>1972</v>
      </c>
      <c r="D1627" s="12" t="s">
        <v>1982</v>
      </c>
      <c r="E1627" s="20">
        <v>33886</v>
      </c>
      <c r="F1627" s="20">
        <v>43815</v>
      </c>
      <c r="G1627" s="12">
        <v>11.45</v>
      </c>
      <c r="H1627" s="12">
        <v>24.866666666666699</v>
      </c>
      <c r="I1627" s="13">
        <v>0.460455764075067</v>
      </c>
      <c r="J1627" s="12" t="s">
        <v>954</v>
      </c>
      <c r="K1627" s="14">
        <v>1091</v>
      </c>
      <c r="L1627" s="14">
        <v>376</v>
      </c>
      <c r="M1627" s="14">
        <v>819</v>
      </c>
      <c r="N1627" s="12">
        <v>11.45</v>
      </c>
      <c r="O1627" s="12" t="s">
        <v>954</v>
      </c>
      <c r="P1627" s="12">
        <v>1.8418872507620901E-3</v>
      </c>
      <c r="Q1627" s="12">
        <v>2.09669785400424E-3</v>
      </c>
      <c r="R1627" s="12">
        <v>0.376008064516129</v>
      </c>
      <c r="S1627" s="14">
        <v>30</v>
      </c>
      <c r="T1627" s="12">
        <v>0.20011438777884299</v>
      </c>
      <c r="U1627" s="14">
        <v>1043</v>
      </c>
      <c r="V1627" s="14">
        <v>8</v>
      </c>
      <c r="W1627" s="12">
        <v>6.1999999999999998E-3</v>
      </c>
      <c r="X1627" s="12">
        <v>0.20631438777884301</v>
      </c>
      <c r="Y1627" s="14">
        <v>1043</v>
      </c>
      <c r="Z1627" s="14">
        <v>29</v>
      </c>
      <c r="AA1627" s="12" t="s">
        <v>2367</v>
      </c>
    </row>
    <row r="1628" spans="1:27" ht="14.25" x14ac:dyDescent="0.45">
      <c r="A1628" s="12" t="s">
        <v>962</v>
      </c>
      <c r="B1628" s="12" t="s">
        <v>1980</v>
      </c>
      <c r="C1628" s="12" t="s">
        <v>1972</v>
      </c>
      <c r="D1628" s="12" t="s">
        <v>1974</v>
      </c>
      <c r="E1628" s="20">
        <v>33178</v>
      </c>
      <c r="F1628" s="20">
        <v>44299</v>
      </c>
      <c r="G1628" s="12">
        <v>2</v>
      </c>
      <c r="H1628" s="12">
        <v>8.7333333333333307</v>
      </c>
      <c r="I1628" s="13">
        <v>0.229007633587786</v>
      </c>
      <c r="J1628" s="12" t="s">
        <v>962</v>
      </c>
      <c r="K1628" s="14">
        <v>1306</v>
      </c>
      <c r="L1628" s="14">
        <v>1164</v>
      </c>
      <c r="M1628" s="14">
        <v>1359</v>
      </c>
      <c r="N1628" s="12">
        <v>2</v>
      </c>
      <c r="O1628" s="12" t="s">
        <v>962</v>
      </c>
      <c r="P1628" s="12">
        <v>3.2172703070080199E-4</v>
      </c>
      <c r="Q1628" s="12">
        <v>1.04279249247452E-3</v>
      </c>
      <c r="R1628" s="12">
        <v>0.132056451612903</v>
      </c>
      <c r="S1628" s="14">
        <v>32</v>
      </c>
      <c r="T1628" s="12">
        <v>7.7239294430937896E-2</v>
      </c>
      <c r="U1628" s="14">
        <v>1386</v>
      </c>
      <c r="V1628" s="14">
        <v>1</v>
      </c>
      <c r="W1628" s="12">
        <v>5.4999999999999997E-3</v>
      </c>
      <c r="X1628" s="12">
        <v>8.2739294430937901E-2</v>
      </c>
      <c r="Y1628" s="14">
        <v>1386</v>
      </c>
      <c r="Z1628" s="14">
        <v>31</v>
      </c>
      <c r="AA1628" s="12" t="s">
        <v>2367</v>
      </c>
    </row>
    <row r="1629" spans="1:27" ht="14.25" x14ac:dyDescent="0.45">
      <c r="A1629" s="12" t="s">
        <v>968</v>
      </c>
      <c r="B1629" s="12" t="s">
        <v>1980</v>
      </c>
      <c r="C1629" s="12" t="s">
        <v>1972</v>
      </c>
      <c r="D1629" s="12" t="s">
        <v>1975</v>
      </c>
      <c r="E1629" s="20">
        <v>34869</v>
      </c>
      <c r="F1629" s="20">
        <v>44151</v>
      </c>
      <c r="G1629" s="12">
        <v>0.03</v>
      </c>
      <c r="H1629" s="12">
        <v>13.6666666666667</v>
      </c>
      <c r="I1629" s="13">
        <v>2.1951219512195098E-3</v>
      </c>
      <c r="J1629" s="12" t="s">
        <v>968</v>
      </c>
      <c r="K1629" s="14">
        <v>1808</v>
      </c>
      <c r="L1629" s="14">
        <v>625</v>
      </c>
      <c r="M1629" s="14">
        <v>1895</v>
      </c>
      <c r="N1629" s="12">
        <v>0.03</v>
      </c>
      <c r="O1629" s="12" t="s">
        <v>968</v>
      </c>
      <c r="P1629" s="12">
        <v>4.8259054605120303E-6</v>
      </c>
      <c r="Q1629" s="12">
        <v>9.9955475498167903E-6</v>
      </c>
      <c r="R1629" s="12">
        <v>0.20665322580645201</v>
      </c>
      <c r="S1629" s="14">
        <v>27</v>
      </c>
      <c r="T1629" s="12">
        <v>8.0569317663275E-4</v>
      </c>
      <c r="U1629" s="14">
        <v>1922</v>
      </c>
      <c r="V1629" s="14">
        <v>1</v>
      </c>
      <c r="W1629" s="12">
        <v>5.4999999999999997E-3</v>
      </c>
      <c r="X1629" s="12">
        <v>6.3056931766327503E-3</v>
      </c>
      <c r="Y1629" s="14">
        <v>1922</v>
      </c>
      <c r="Z1629" s="14">
        <v>27</v>
      </c>
      <c r="AA1629" s="12" t="s">
        <v>2367</v>
      </c>
    </row>
    <row r="1630" spans="1:27" ht="14.25" x14ac:dyDescent="0.45">
      <c r="A1630" s="12" t="s">
        <v>974</v>
      </c>
      <c r="B1630" s="12" t="s">
        <v>1980</v>
      </c>
      <c r="C1630" s="12" t="s">
        <v>1972</v>
      </c>
      <c r="D1630" s="12" t="s">
        <v>1993</v>
      </c>
      <c r="E1630" s="20">
        <v>32296</v>
      </c>
      <c r="F1630" s="20">
        <v>44246</v>
      </c>
      <c r="G1630" s="12">
        <v>2.2000000000000002</v>
      </c>
      <c r="H1630" s="12">
        <v>10.5</v>
      </c>
      <c r="I1630" s="13">
        <v>0.20952380952381</v>
      </c>
      <c r="J1630" s="12" t="s">
        <v>974</v>
      </c>
      <c r="K1630" s="14">
        <v>1336</v>
      </c>
      <c r="L1630" s="14">
        <v>927</v>
      </c>
      <c r="M1630" s="14">
        <v>1321</v>
      </c>
      <c r="N1630" s="12">
        <v>2.2000000000000002</v>
      </c>
      <c r="O1630" s="12" t="s">
        <v>974</v>
      </c>
      <c r="P1630" s="12">
        <v>3.5389973377088202E-4</v>
      </c>
      <c r="Q1630" s="12">
        <v>9.5407236930526403E-4</v>
      </c>
      <c r="R1630" s="12">
        <v>0.15877016129032301</v>
      </c>
      <c r="S1630" s="14">
        <v>34</v>
      </c>
      <c r="T1630" s="12">
        <v>7.2900763097987098E-2</v>
      </c>
      <c r="U1630" s="14">
        <v>1423</v>
      </c>
      <c r="V1630" s="14">
        <v>3</v>
      </c>
      <c r="W1630" s="12">
        <v>5.7000000000000002E-3</v>
      </c>
      <c r="X1630" s="12">
        <v>7.8600763097987095E-2</v>
      </c>
      <c r="Y1630" s="14">
        <v>1422</v>
      </c>
      <c r="Z1630" s="14">
        <v>34</v>
      </c>
      <c r="AA1630" s="12" t="s">
        <v>2367</v>
      </c>
    </row>
    <row r="1631" spans="1:27" ht="14.25" x14ac:dyDescent="0.45">
      <c r="A1631" s="12" t="s">
        <v>978</v>
      </c>
      <c r="B1631" s="12" t="s">
        <v>1980</v>
      </c>
      <c r="C1631" s="12" t="s">
        <v>1972</v>
      </c>
      <c r="D1631" s="12" t="s">
        <v>1974</v>
      </c>
      <c r="E1631" s="20">
        <v>35069</v>
      </c>
      <c r="F1631" s="20">
        <v>44291</v>
      </c>
      <c r="G1631" s="12">
        <v>5.23</v>
      </c>
      <c r="H1631" s="12">
        <v>9</v>
      </c>
      <c r="I1631" s="13">
        <v>0.58111111111111102</v>
      </c>
      <c r="J1631" s="12" t="s">
        <v>978</v>
      </c>
      <c r="K1631" s="14">
        <v>1004</v>
      </c>
      <c r="L1631" s="14">
        <v>1137</v>
      </c>
      <c r="M1631" s="14">
        <v>1021</v>
      </c>
      <c r="N1631" s="12">
        <v>5.23</v>
      </c>
      <c r="O1631" s="12" t="s">
        <v>978</v>
      </c>
      <c r="P1631" s="12">
        <v>8.4131618528259704E-4</v>
      </c>
      <c r="Q1631" s="12">
        <v>2.6461052606261901E-3</v>
      </c>
      <c r="R1631" s="12">
        <v>0.13608870967741901</v>
      </c>
      <c r="S1631" s="14">
        <v>26</v>
      </c>
      <c r="T1631" s="12">
        <v>0.196930935737234</v>
      </c>
      <c r="U1631" s="14">
        <v>1057</v>
      </c>
      <c r="V1631" s="14">
        <v>4</v>
      </c>
      <c r="W1631" s="12">
        <v>5.7999999999999996E-3</v>
      </c>
      <c r="X1631" s="12">
        <v>0.202730935737234</v>
      </c>
      <c r="Y1631" s="14">
        <v>1057</v>
      </c>
      <c r="Z1631" s="14">
        <v>26</v>
      </c>
      <c r="AA1631" s="12" t="s">
        <v>2367</v>
      </c>
    </row>
    <row r="1632" spans="1:27" ht="14.25" x14ac:dyDescent="0.45">
      <c r="A1632" s="12" t="s">
        <v>989</v>
      </c>
      <c r="B1632" s="12" t="s">
        <v>1980</v>
      </c>
      <c r="C1632" s="12" t="s">
        <v>1972</v>
      </c>
      <c r="D1632" s="12" t="s">
        <v>1993</v>
      </c>
      <c r="E1632" s="20">
        <v>34934</v>
      </c>
      <c r="F1632" s="20">
        <v>43745</v>
      </c>
      <c r="G1632" s="12">
        <v>0.55000000000000004</v>
      </c>
      <c r="H1632" s="12">
        <v>27.2</v>
      </c>
      <c r="I1632" s="13">
        <v>2.0220588235294101E-2</v>
      </c>
      <c r="J1632" s="12" t="s">
        <v>989</v>
      </c>
      <c r="K1632" s="14">
        <v>1685</v>
      </c>
      <c r="L1632" s="14">
        <v>307</v>
      </c>
      <c r="M1632" s="14">
        <v>1667</v>
      </c>
      <c r="N1632" s="12">
        <v>0.55000000000000004</v>
      </c>
      <c r="O1632" s="12" t="s">
        <v>989</v>
      </c>
      <c r="P1632" s="12">
        <v>8.8474933442720505E-5</v>
      </c>
      <c r="Q1632" s="12">
        <v>9.2074998875967494E-5</v>
      </c>
      <c r="R1632" s="12">
        <v>0.41129032258064502</v>
      </c>
      <c r="S1632" s="14">
        <v>27</v>
      </c>
      <c r="T1632" s="12">
        <v>9.0724974338499895E-3</v>
      </c>
      <c r="U1632" s="14">
        <v>1768</v>
      </c>
      <c r="V1632" s="14">
        <v>1</v>
      </c>
      <c r="W1632" s="12">
        <v>5.4999999999999997E-3</v>
      </c>
      <c r="X1632" s="12">
        <v>1.457249743385E-2</v>
      </c>
      <c r="Y1632" s="14">
        <v>1768</v>
      </c>
      <c r="Z1632" s="14">
        <v>26</v>
      </c>
      <c r="AA1632" s="12" t="s">
        <v>2367</v>
      </c>
    </row>
    <row r="1633" spans="1:27" ht="14.25" x14ac:dyDescent="0.45">
      <c r="A1633" s="12" t="s">
        <v>1005</v>
      </c>
      <c r="B1633" s="12" t="s">
        <v>1980</v>
      </c>
      <c r="C1633" s="12" t="s">
        <v>1972</v>
      </c>
      <c r="D1633" s="12" t="s">
        <v>2012</v>
      </c>
      <c r="E1633" s="20">
        <v>33080</v>
      </c>
      <c r="F1633" s="20">
        <v>44271</v>
      </c>
      <c r="G1633" s="12">
        <v>33.43</v>
      </c>
      <c r="H1633" s="12">
        <v>9.6666666666666696</v>
      </c>
      <c r="I1633" s="13">
        <v>3.45827586206897</v>
      </c>
      <c r="J1633" s="12" t="s">
        <v>1005</v>
      </c>
      <c r="K1633" s="14">
        <v>527</v>
      </c>
      <c r="L1633" s="14">
        <v>1004</v>
      </c>
      <c r="M1633" s="14">
        <v>551</v>
      </c>
      <c r="N1633" s="12">
        <v>33.43</v>
      </c>
      <c r="O1633" s="12" t="s">
        <v>1005</v>
      </c>
      <c r="P1633" s="12">
        <v>5.3776673181638998E-3</v>
      </c>
      <c r="Q1633" s="12">
        <v>1.5747353262304999E-2</v>
      </c>
      <c r="R1633" s="12">
        <v>0.14616935483870999</v>
      </c>
      <c r="S1633" s="14">
        <v>32</v>
      </c>
      <c r="T1633" s="12">
        <v>1.18587210332521</v>
      </c>
      <c r="U1633" s="14">
        <v>538</v>
      </c>
      <c r="V1633" s="14">
        <v>6</v>
      </c>
      <c r="W1633" s="12">
        <v>6.0000000000000001E-3</v>
      </c>
      <c r="X1633" s="12">
        <v>1.19187210332521</v>
      </c>
      <c r="Y1633" s="14">
        <v>538</v>
      </c>
      <c r="Z1633" s="14">
        <v>31</v>
      </c>
      <c r="AA1633" s="12" t="s">
        <v>2367</v>
      </c>
    </row>
    <row r="1634" spans="1:27" ht="14.25" x14ac:dyDescent="0.45">
      <c r="A1634" s="12" t="s">
        <v>1171</v>
      </c>
      <c r="B1634" s="12" t="s">
        <v>1980</v>
      </c>
      <c r="C1634" s="12" t="s">
        <v>1972</v>
      </c>
      <c r="D1634" s="12" t="s">
        <v>1995</v>
      </c>
      <c r="E1634" s="20">
        <v>34920</v>
      </c>
      <c r="F1634" s="20">
        <v>43614</v>
      </c>
      <c r="G1634" s="12">
        <v>3.21</v>
      </c>
      <c r="H1634" s="12">
        <v>31.566666666666698</v>
      </c>
      <c r="I1634" s="13">
        <v>0.10168954593453</v>
      </c>
      <c r="J1634" s="12" t="s">
        <v>1171</v>
      </c>
      <c r="K1634" s="14">
        <v>1491</v>
      </c>
      <c r="L1634" s="14">
        <v>251</v>
      </c>
      <c r="M1634" s="14">
        <v>1201</v>
      </c>
      <c r="N1634" s="12">
        <v>3.21</v>
      </c>
      <c r="O1634" s="12" t="s">
        <v>1171</v>
      </c>
      <c r="P1634" s="12">
        <v>5.1637188427478703E-4</v>
      </c>
      <c r="Q1634" s="12">
        <v>4.6304611511136499E-4</v>
      </c>
      <c r="R1634" s="12">
        <v>0.47731854838709697</v>
      </c>
      <c r="S1634" s="14">
        <v>27</v>
      </c>
      <c r="T1634" s="12">
        <v>4.8304327854764802E-2</v>
      </c>
      <c r="U1634" s="14">
        <v>1528</v>
      </c>
      <c r="V1634" s="14">
        <v>2</v>
      </c>
      <c r="W1634" s="12">
        <v>5.5999999999999999E-3</v>
      </c>
      <c r="X1634" s="12">
        <v>5.3904327854764802E-2</v>
      </c>
      <c r="Y1634" s="14">
        <v>1526</v>
      </c>
      <c r="Z1634" s="14">
        <v>26</v>
      </c>
      <c r="AA1634" s="12" t="s">
        <v>2367</v>
      </c>
    </row>
    <row r="1635" spans="1:27" ht="14.25" x14ac:dyDescent="0.45">
      <c r="A1635" s="12" t="s">
        <v>1223</v>
      </c>
      <c r="B1635" s="12" t="s">
        <v>1980</v>
      </c>
      <c r="C1635" s="12" t="s">
        <v>1972</v>
      </c>
      <c r="D1635" s="12" t="s">
        <v>1978</v>
      </c>
      <c r="E1635" s="20">
        <v>32406</v>
      </c>
      <c r="F1635" s="20">
        <v>44267</v>
      </c>
      <c r="G1635" s="12">
        <v>3</v>
      </c>
      <c r="H1635" s="12">
        <v>9.8000000000000007</v>
      </c>
      <c r="I1635" s="13">
        <v>0.30612244897959201</v>
      </c>
      <c r="J1635" s="12" t="s">
        <v>1223</v>
      </c>
      <c r="K1635" s="14">
        <v>1222</v>
      </c>
      <c r="L1635" s="14">
        <v>989</v>
      </c>
      <c r="M1635" s="14">
        <v>1221</v>
      </c>
      <c r="N1635" s="12">
        <v>3</v>
      </c>
      <c r="O1635" s="12" t="s">
        <v>1223</v>
      </c>
      <c r="P1635" s="12">
        <v>4.8259054605120298E-4</v>
      </c>
      <c r="Q1635" s="12">
        <v>1.3939369032057399E-3</v>
      </c>
      <c r="R1635" s="12">
        <v>0.148185483870968</v>
      </c>
      <c r="S1635" s="14">
        <v>34</v>
      </c>
      <c r="T1635" s="12">
        <v>0.105218201927279</v>
      </c>
      <c r="U1635" s="14">
        <v>1276</v>
      </c>
      <c r="V1635" s="14">
        <v>1</v>
      </c>
      <c r="W1635" s="12">
        <v>5.4999999999999997E-3</v>
      </c>
      <c r="X1635" s="12">
        <v>0.11071820192727901</v>
      </c>
      <c r="Y1635" s="14">
        <v>1276</v>
      </c>
      <c r="Z1635" s="14">
        <v>33</v>
      </c>
      <c r="AA1635" s="12" t="s">
        <v>2367</v>
      </c>
    </row>
    <row r="1636" spans="1:27" ht="14.25" x14ac:dyDescent="0.45">
      <c r="A1636" s="12" t="s">
        <v>1233</v>
      </c>
      <c r="B1636" s="12" t="s">
        <v>1980</v>
      </c>
      <c r="C1636" s="12" t="s">
        <v>1972</v>
      </c>
      <c r="D1636" s="12" t="s">
        <v>1974</v>
      </c>
      <c r="E1636" s="20">
        <v>32251</v>
      </c>
      <c r="F1636" s="20">
        <v>43633</v>
      </c>
      <c r="G1636" s="12">
        <v>3.07</v>
      </c>
      <c r="H1636" s="12">
        <v>30.933333333333302</v>
      </c>
      <c r="I1636" s="13">
        <v>9.92456896551724E-2</v>
      </c>
      <c r="J1636" s="12" t="s">
        <v>1233</v>
      </c>
      <c r="K1636" s="14">
        <v>1498</v>
      </c>
      <c r="L1636" s="14">
        <v>254</v>
      </c>
      <c r="M1636" s="14">
        <v>1214</v>
      </c>
      <c r="N1636" s="12">
        <v>3.07</v>
      </c>
      <c r="O1636" s="12" t="s">
        <v>1233</v>
      </c>
      <c r="P1636" s="12">
        <v>4.9385099212573096E-4</v>
      </c>
      <c r="Q1636" s="12">
        <v>4.5191794902853401E-4</v>
      </c>
      <c r="R1636" s="12">
        <v>0.467741935483871</v>
      </c>
      <c r="S1636" s="14">
        <v>34</v>
      </c>
      <c r="T1636" s="12">
        <v>4.6764284018998299E-2</v>
      </c>
      <c r="U1636" s="14">
        <v>1533</v>
      </c>
      <c r="V1636" s="14">
        <v>2</v>
      </c>
      <c r="W1636" s="12">
        <v>5.5999999999999999E-3</v>
      </c>
      <c r="X1636" s="12">
        <v>5.23642840189983E-2</v>
      </c>
      <c r="Y1636" s="14">
        <v>1533</v>
      </c>
      <c r="Z1636" s="14">
        <v>34</v>
      </c>
      <c r="AA1636" s="12" t="s">
        <v>2367</v>
      </c>
    </row>
    <row r="1637" spans="1:27" ht="14.25" x14ac:dyDescent="0.45">
      <c r="A1637" s="12" t="s">
        <v>1297</v>
      </c>
      <c r="B1637" s="12" t="s">
        <v>1980</v>
      </c>
      <c r="C1637" s="12" t="s">
        <v>1972</v>
      </c>
      <c r="D1637" s="12" t="s">
        <v>2241</v>
      </c>
      <c r="E1637" s="20">
        <v>31387</v>
      </c>
      <c r="F1637" s="20">
        <v>44280</v>
      </c>
      <c r="G1637" s="12">
        <v>0.03</v>
      </c>
      <c r="H1637" s="12">
        <v>9.3666666666666707</v>
      </c>
      <c r="I1637" s="13">
        <v>3.2028469750889701E-3</v>
      </c>
      <c r="J1637" s="12" t="s">
        <v>1297</v>
      </c>
      <c r="K1637" s="14">
        <v>1793</v>
      </c>
      <c r="L1637" s="14">
        <v>1063</v>
      </c>
      <c r="M1637" s="14">
        <v>1895</v>
      </c>
      <c r="N1637" s="12">
        <v>0.03</v>
      </c>
      <c r="O1637" s="12" t="s">
        <v>1297</v>
      </c>
      <c r="P1637" s="12">
        <v>4.8259054605120303E-6</v>
      </c>
      <c r="Q1637" s="12">
        <v>1.45842508733982E-5</v>
      </c>
      <c r="R1637" s="12">
        <v>0.141633064516129</v>
      </c>
      <c r="S1637" s="14">
        <v>37</v>
      </c>
      <c r="T1637" s="12">
        <v>1.0924871343565899E-3</v>
      </c>
      <c r="U1637" s="14">
        <v>1903</v>
      </c>
      <c r="V1637" s="14">
        <v>2</v>
      </c>
      <c r="W1637" s="12">
        <v>5.5999999999999999E-3</v>
      </c>
      <c r="X1637" s="12">
        <v>6.6924871343565897E-3</v>
      </c>
      <c r="Y1637" s="14">
        <v>1901</v>
      </c>
      <c r="Z1637" s="14">
        <v>36</v>
      </c>
      <c r="AA1637" s="12" t="s">
        <v>2369</v>
      </c>
    </row>
    <row r="1638" spans="1:27" ht="14.25" x14ac:dyDescent="0.45">
      <c r="A1638" s="12" t="s">
        <v>1305</v>
      </c>
      <c r="B1638" s="12" t="s">
        <v>1980</v>
      </c>
      <c r="C1638" s="12" t="s">
        <v>1972</v>
      </c>
      <c r="D1638" s="12" t="s">
        <v>1993</v>
      </c>
      <c r="E1638" s="20">
        <v>36017</v>
      </c>
      <c r="F1638" s="20">
        <v>44126</v>
      </c>
      <c r="G1638" s="12">
        <v>4.96</v>
      </c>
      <c r="H1638" s="12">
        <v>14.5</v>
      </c>
      <c r="I1638" s="13">
        <v>0.34206896551724097</v>
      </c>
      <c r="J1638" s="12" t="s">
        <v>1305</v>
      </c>
      <c r="K1638" s="14">
        <v>1194</v>
      </c>
      <c r="L1638" s="14">
        <v>568</v>
      </c>
      <c r="M1638" s="14">
        <v>1039</v>
      </c>
      <c r="N1638" s="12">
        <v>4.96</v>
      </c>
      <c r="O1638" s="12" t="s">
        <v>1305</v>
      </c>
      <c r="P1638" s="12">
        <v>7.9788303613798897E-4</v>
      </c>
      <c r="Q1638" s="12">
        <v>1.5576203446212599E-3</v>
      </c>
      <c r="R1638" s="12">
        <v>0.219254032258065</v>
      </c>
      <c r="S1638" s="14">
        <v>24</v>
      </c>
      <c r="T1638" s="12">
        <v>0.127271885394003</v>
      </c>
      <c r="U1638" s="14">
        <v>1207</v>
      </c>
      <c r="V1638" s="14">
        <v>2</v>
      </c>
      <c r="W1638" s="12">
        <v>5.5999999999999999E-3</v>
      </c>
      <c r="X1638" s="12">
        <v>0.13287188539400299</v>
      </c>
      <c r="Y1638" s="14">
        <v>1208</v>
      </c>
      <c r="Z1638" s="14">
        <v>23</v>
      </c>
      <c r="AA1638" s="12" t="s">
        <v>2370</v>
      </c>
    </row>
    <row r="1639" spans="1:27" ht="14.25" x14ac:dyDescent="0.45">
      <c r="A1639" s="12" t="s">
        <v>1359</v>
      </c>
      <c r="B1639" s="12" t="s">
        <v>1980</v>
      </c>
      <c r="C1639" s="12" t="s">
        <v>1972</v>
      </c>
      <c r="D1639" s="12" t="s">
        <v>1993</v>
      </c>
      <c r="E1639" s="20">
        <v>34924</v>
      </c>
      <c r="F1639" s="20">
        <v>44306</v>
      </c>
      <c r="G1639" s="12">
        <v>1.1200000000000001</v>
      </c>
      <c r="H1639" s="12">
        <v>8.5</v>
      </c>
      <c r="I1639" s="13">
        <v>0.13176470588235301</v>
      </c>
      <c r="J1639" s="12" t="s">
        <v>1359</v>
      </c>
      <c r="K1639" s="14">
        <v>1439</v>
      </c>
      <c r="L1639" s="14">
        <v>1204</v>
      </c>
      <c r="M1639" s="14">
        <v>1527</v>
      </c>
      <c r="N1639" s="12">
        <v>1.1200000000000001</v>
      </c>
      <c r="O1639" s="12" t="s">
        <v>1359</v>
      </c>
      <c r="P1639" s="12">
        <v>1.8016713719244901E-4</v>
      </c>
      <c r="Q1639" s="12">
        <v>5.9999417449357797E-4</v>
      </c>
      <c r="R1639" s="12">
        <v>0.12852822580645201</v>
      </c>
      <c r="S1639" s="14">
        <v>27</v>
      </c>
      <c r="T1639" s="12">
        <v>4.4255903550565398E-2</v>
      </c>
      <c r="U1639" s="14">
        <v>1540</v>
      </c>
      <c r="V1639" s="14">
        <v>1</v>
      </c>
      <c r="W1639" s="12">
        <v>5.4999999999999997E-3</v>
      </c>
      <c r="X1639" s="12">
        <v>4.9755903550565403E-2</v>
      </c>
      <c r="Y1639" s="14">
        <v>1540</v>
      </c>
      <c r="Z1639" s="14">
        <v>26</v>
      </c>
      <c r="AA1639" s="12" t="s">
        <v>2367</v>
      </c>
    </row>
    <row r="1640" spans="1:27" ht="14.25" x14ac:dyDescent="0.45">
      <c r="A1640" s="12" t="s">
        <v>1365</v>
      </c>
      <c r="B1640" s="12" t="s">
        <v>1980</v>
      </c>
      <c r="C1640" s="12" t="s">
        <v>1972</v>
      </c>
      <c r="D1640" s="12" t="s">
        <v>1982</v>
      </c>
      <c r="E1640" s="20">
        <v>35160</v>
      </c>
      <c r="F1640" s="20">
        <v>43742</v>
      </c>
      <c r="G1640" s="12">
        <v>3.21</v>
      </c>
      <c r="H1640" s="12">
        <v>27.3</v>
      </c>
      <c r="I1640" s="13">
        <v>0.117582417582418</v>
      </c>
      <c r="J1640" s="12" t="s">
        <v>1365</v>
      </c>
      <c r="K1640" s="14">
        <v>1454</v>
      </c>
      <c r="L1640" s="14">
        <v>304</v>
      </c>
      <c r="M1640" s="14">
        <v>1201</v>
      </c>
      <c r="N1640" s="12">
        <v>3.21</v>
      </c>
      <c r="O1640" s="12" t="s">
        <v>1365</v>
      </c>
      <c r="P1640" s="12">
        <v>5.1637188427478703E-4</v>
      </c>
      <c r="Q1640" s="12">
        <v>5.3541473871851302E-4</v>
      </c>
      <c r="R1640" s="12">
        <v>0.41280241935483902</v>
      </c>
      <c r="S1640" s="14">
        <v>26</v>
      </c>
      <c r="T1640" s="12">
        <v>5.2827366830211601E-2</v>
      </c>
      <c r="U1640" s="14">
        <v>1507</v>
      </c>
      <c r="V1640" s="14">
        <v>2</v>
      </c>
      <c r="W1640" s="12">
        <v>5.5999999999999999E-3</v>
      </c>
      <c r="X1640" s="12">
        <v>5.8427366830211602E-2</v>
      </c>
      <c r="Y1640" s="14">
        <v>1507</v>
      </c>
      <c r="Z1640" s="14">
        <v>26</v>
      </c>
      <c r="AA1640" s="12" t="s">
        <v>2367</v>
      </c>
    </row>
    <row r="1641" spans="1:27" ht="14.25" x14ac:dyDescent="0.45">
      <c r="A1641" s="12" t="s">
        <v>1409</v>
      </c>
      <c r="B1641" s="12" t="s">
        <v>1980</v>
      </c>
      <c r="C1641" s="12" t="s">
        <v>1972</v>
      </c>
      <c r="D1641" s="12" t="s">
        <v>1974</v>
      </c>
      <c r="E1641" s="20">
        <v>34297</v>
      </c>
      <c r="F1641" s="20">
        <v>44361</v>
      </c>
      <c r="G1641" s="12">
        <v>5.49</v>
      </c>
      <c r="H1641" s="12">
        <v>6.6666666666666696</v>
      </c>
      <c r="I1641" s="13">
        <v>0.82350000000000001</v>
      </c>
      <c r="J1641" s="12" t="s">
        <v>1409</v>
      </c>
      <c r="K1641" s="14">
        <v>885</v>
      </c>
      <c r="L1641" s="14">
        <v>1492</v>
      </c>
      <c r="M1641" s="14">
        <v>1000</v>
      </c>
      <c r="N1641" s="12">
        <v>5.49</v>
      </c>
      <c r="O1641" s="12" t="s">
        <v>1409</v>
      </c>
      <c r="P1641" s="12">
        <v>8.8314069927370104E-4</v>
      </c>
      <c r="Q1641" s="12">
        <v>3.7498296633137699E-3</v>
      </c>
      <c r="R1641" s="12">
        <v>0.100806451612903</v>
      </c>
      <c r="S1641" s="14">
        <v>29</v>
      </c>
      <c r="T1641" s="12">
        <v>0.26748213017987399</v>
      </c>
      <c r="U1641" s="14">
        <v>952</v>
      </c>
      <c r="V1641" s="14">
        <v>1</v>
      </c>
      <c r="W1641" s="12">
        <v>5.4999999999999997E-3</v>
      </c>
      <c r="X1641" s="12">
        <v>0.27298213017987399</v>
      </c>
      <c r="Y1641" s="14">
        <v>952</v>
      </c>
      <c r="Z1641" s="14">
        <v>28</v>
      </c>
      <c r="AA1641" s="12" t="s">
        <v>2367</v>
      </c>
    </row>
    <row r="1642" spans="1:27" ht="14.25" x14ac:dyDescent="0.45">
      <c r="A1642" s="12" t="s">
        <v>1414</v>
      </c>
      <c r="B1642" s="12" t="s">
        <v>1980</v>
      </c>
      <c r="C1642" s="12" t="s">
        <v>1972</v>
      </c>
      <c r="D1642" s="12" t="s">
        <v>1975</v>
      </c>
      <c r="E1642" s="20">
        <v>33550</v>
      </c>
      <c r="F1642" s="20">
        <v>43503</v>
      </c>
      <c r="G1642" s="12">
        <v>0.05</v>
      </c>
      <c r="H1642" s="12">
        <v>35.266666666666701</v>
      </c>
      <c r="I1642" s="13">
        <v>1.41776937618147E-3</v>
      </c>
      <c r="J1642" s="12" t="s">
        <v>1414</v>
      </c>
      <c r="K1642" s="14">
        <v>1819</v>
      </c>
      <c r="L1642" s="14">
        <v>225</v>
      </c>
      <c r="M1642" s="14">
        <v>1878</v>
      </c>
      <c r="N1642" s="12">
        <v>0.05</v>
      </c>
      <c r="O1642" s="12" t="s">
        <v>1414</v>
      </c>
      <c r="P1642" s="12">
        <v>8.0431757675200496E-6</v>
      </c>
      <c r="Q1642" s="12">
        <v>6.4558514420681804E-6</v>
      </c>
      <c r="R1642" s="12">
        <v>0.53326612903225801</v>
      </c>
      <c r="S1642" s="14">
        <v>31</v>
      </c>
      <c r="T1642" s="12">
        <v>7.0510980641126295E-4</v>
      </c>
      <c r="U1642" s="14">
        <v>1929</v>
      </c>
      <c r="V1642" s="14">
        <v>1</v>
      </c>
      <c r="W1642" s="12">
        <v>5.4999999999999997E-3</v>
      </c>
      <c r="X1642" s="12">
        <v>6.2051098064112601E-3</v>
      </c>
      <c r="Y1642" s="14">
        <v>1929</v>
      </c>
      <c r="Z1642" s="14">
        <v>30</v>
      </c>
      <c r="AA1642" s="12" t="s">
        <v>2367</v>
      </c>
    </row>
    <row r="1643" spans="1:27" ht="14.25" x14ac:dyDescent="0.45">
      <c r="A1643" s="12" t="s">
        <v>1435</v>
      </c>
      <c r="B1643" s="12" t="s">
        <v>1980</v>
      </c>
      <c r="C1643" s="12" t="s">
        <v>1972</v>
      </c>
      <c r="D1643" s="12" t="s">
        <v>1982</v>
      </c>
      <c r="E1643" s="20">
        <v>35374</v>
      </c>
      <c r="F1643" s="20">
        <v>44271</v>
      </c>
      <c r="G1643" s="12">
        <v>4.8</v>
      </c>
      <c r="H1643" s="12">
        <v>9.6666666666666696</v>
      </c>
      <c r="I1643" s="13">
        <v>0.49655172413793103</v>
      </c>
      <c r="J1643" s="12" t="s">
        <v>1435</v>
      </c>
      <c r="K1643" s="14">
        <v>1053</v>
      </c>
      <c r="L1643" s="14">
        <v>1004</v>
      </c>
      <c r="M1643" s="14">
        <v>1046</v>
      </c>
      <c r="N1643" s="12">
        <v>4.8</v>
      </c>
      <c r="O1643" s="12" t="s">
        <v>1435</v>
      </c>
      <c r="P1643" s="12">
        <v>7.7214487368192401E-4</v>
      </c>
      <c r="Q1643" s="12">
        <v>2.26106179057925E-3</v>
      </c>
      <c r="R1643" s="12">
        <v>0.14616935483870999</v>
      </c>
      <c r="S1643" s="14">
        <v>26</v>
      </c>
      <c r="T1643" s="12">
        <v>0.170271794674275</v>
      </c>
      <c r="U1643" s="14">
        <v>1106</v>
      </c>
      <c r="V1643" s="14">
        <v>2</v>
      </c>
      <c r="W1643" s="12">
        <v>5.5999999999999999E-3</v>
      </c>
      <c r="X1643" s="12">
        <v>0.17587179467427499</v>
      </c>
      <c r="Y1643" s="14">
        <v>1106</v>
      </c>
      <c r="Z1643" s="14">
        <v>25</v>
      </c>
      <c r="AA1643" s="12" t="s">
        <v>2367</v>
      </c>
    </row>
    <row r="1644" spans="1:27" ht="14.25" x14ac:dyDescent="0.45">
      <c r="A1644" s="12" t="s">
        <v>1461</v>
      </c>
      <c r="B1644" s="12" t="s">
        <v>1980</v>
      </c>
      <c r="C1644" s="12" t="s">
        <v>1972</v>
      </c>
      <c r="D1644" s="12" t="s">
        <v>1974</v>
      </c>
      <c r="E1644" s="20">
        <v>34058</v>
      </c>
      <c r="F1644" s="20">
        <v>44211</v>
      </c>
      <c r="G1644" s="12">
        <v>3</v>
      </c>
      <c r="H1644" s="12">
        <v>11.6666666666667</v>
      </c>
      <c r="I1644" s="13">
        <v>0.25714285714285701</v>
      </c>
      <c r="J1644" s="12" t="s">
        <v>1461</v>
      </c>
      <c r="K1644" s="14">
        <v>1268</v>
      </c>
      <c r="L1644" s="14">
        <v>823</v>
      </c>
      <c r="M1644" s="14">
        <v>1221</v>
      </c>
      <c r="N1644" s="12">
        <v>3</v>
      </c>
      <c r="O1644" s="12" t="s">
        <v>1461</v>
      </c>
      <c r="P1644" s="12">
        <v>4.8259054605120298E-4</v>
      </c>
      <c r="Q1644" s="12">
        <v>1.1709069986928201E-3</v>
      </c>
      <c r="R1644" s="12">
        <v>0.17641129032258099</v>
      </c>
      <c r="S1644" s="14">
        <v>29</v>
      </c>
      <c r="T1644" s="12">
        <v>9.1278832895221595E-2</v>
      </c>
      <c r="U1644" s="14">
        <v>1312</v>
      </c>
      <c r="V1644" s="14">
        <v>1</v>
      </c>
      <c r="W1644" s="12">
        <v>5.4999999999999997E-3</v>
      </c>
      <c r="X1644" s="12">
        <v>9.67788328952216E-2</v>
      </c>
      <c r="Y1644" s="14">
        <v>1312</v>
      </c>
      <c r="Z1644" s="14">
        <v>29</v>
      </c>
      <c r="AA1644" s="12" t="s">
        <v>2367</v>
      </c>
    </row>
    <row r="1645" spans="1:27" ht="14.25" x14ac:dyDescent="0.45">
      <c r="A1645" s="12" t="s">
        <v>1614</v>
      </c>
      <c r="B1645" s="12" t="s">
        <v>1980</v>
      </c>
      <c r="C1645" s="12" t="s">
        <v>1972</v>
      </c>
      <c r="D1645" s="12" t="s">
        <v>2007</v>
      </c>
      <c r="E1645" s="20">
        <v>34027</v>
      </c>
      <c r="F1645" s="20">
        <v>43742</v>
      </c>
      <c r="G1645" s="12">
        <v>58.58</v>
      </c>
      <c r="H1645" s="12">
        <v>27.3</v>
      </c>
      <c r="I1645" s="13">
        <v>2.1457875457875502</v>
      </c>
      <c r="J1645" s="12" t="s">
        <v>1614</v>
      </c>
      <c r="K1645" s="14">
        <v>640</v>
      </c>
      <c r="L1645" s="14">
        <v>304</v>
      </c>
      <c r="M1645" s="14">
        <v>457</v>
      </c>
      <c r="N1645" s="12">
        <v>58.58</v>
      </c>
      <c r="O1645" s="12" t="s">
        <v>1614</v>
      </c>
      <c r="P1645" s="12">
        <v>9.4233847292264795E-3</v>
      </c>
      <c r="Q1645" s="12">
        <v>9.7709019919409706E-3</v>
      </c>
      <c r="R1645" s="12">
        <v>0.41280241935483902</v>
      </c>
      <c r="S1645" s="14">
        <v>29</v>
      </c>
      <c r="T1645" s="12">
        <v>0.96405830184230401</v>
      </c>
      <c r="U1645" s="14">
        <v>580</v>
      </c>
      <c r="V1645" s="14">
        <v>2</v>
      </c>
      <c r="W1645" s="12">
        <v>5.5999999999999999E-3</v>
      </c>
      <c r="X1645" s="12">
        <v>0.96965830184230395</v>
      </c>
      <c r="Y1645" s="14">
        <v>580</v>
      </c>
      <c r="Z1645" s="14">
        <v>29</v>
      </c>
      <c r="AA1645" s="12" t="s">
        <v>2367</v>
      </c>
    </row>
    <row r="1646" spans="1:27" ht="14.25" x14ac:dyDescent="0.45">
      <c r="A1646" s="12" t="s">
        <v>1623</v>
      </c>
      <c r="B1646" s="12" t="s">
        <v>1980</v>
      </c>
      <c r="C1646" s="12" t="s">
        <v>1972</v>
      </c>
      <c r="D1646" s="12" t="s">
        <v>1974</v>
      </c>
      <c r="E1646" s="20">
        <v>34731</v>
      </c>
      <c r="F1646" s="20">
        <v>44088</v>
      </c>
      <c r="G1646" s="12">
        <v>16.43</v>
      </c>
      <c r="H1646" s="12">
        <v>15.766666666666699</v>
      </c>
      <c r="I1646" s="13">
        <v>1.04207188160677</v>
      </c>
      <c r="J1646" s="12" t="s">
        <v>1623</v>
      </c>
      <c r="K1646" s="14">
        <v>808</v>
      </c>
      <c r="L1646" s="14">
        <v>487</v>
      </c>
      <c r="M1646" s="14">
        <v>752</v>
      </c>
      <c r="N1646" s="12">
        <v>16.43</v>
      </c>
      <c r="O1646" s="12" t="s">
        <v>1623</v>
      </c>
      <c r="P1646" s="12">
        <v>2.6429875572070898E-3</v>
      </c>
      <c r="Q1646" s="12">
        <v>4.7451026751114001E-3</v>
      </c>
      <c r="R1646" s="12">
        <v>0.23840725806451599</v>
      </c>
      <c r="S1646" s="14">
        <v>27</v>
      </c>
      <c r="T1646" s="12">
        <v>0.39568095058972802</v>
      </c>
      <c r="U1646" s="14">
        <v>834</v>
      </c>
      <c r="V1646" s="14">
        <v>6</v>
      </c>
      <c r="W1646" s="12">
        <v>6.0000000000000001E-3</v>
      </c>
      <c r="X1646" s="12">
        <v>0.40168095058972803</v>
      </c>
      <c r="Y1646" s="14">
        <v>834</v>
      </c>
      <c r="Z1646" s="14">
        <v>27</v>
      </c>
      <c r="AA1646" s="12" t="s">
        <v>2367</v>
      </c>
    </row>
    <row r="1647" spans="1:27" ht="14.25" x14ac:dyDescent="0.45">
      <c r="A1647" s="12" t="s">
        <v>1701</v>
      </c>
      <c r="B1647" s="12" t="s">
        <v>1980</v>
      </c>
      <c r="C1647" s="12" t="s">
        <v>1972</v>
      </c>
      <c r="D1647" s="12" t="s">
        <v>1997</v>
      </c>
      <c r="E1647" s="20">
        <v>32659</v>
      </c>
      <c r="F1647" s="20">
        <v>44246</v>
      </c>
      <c r="G1647" s="12">
        <v>0.2</v>
      </c>
      <c r="H1647" s="12">
        <v>10.5</v>
      </c>
      <c r="I1647" s="13">
        <v>1.9047619047619001E-2</v>
      </c>
      <c r="J1647" s="12" t="s">
        <v>1701</v>
      </c>
      <c r="K1647" s="14">
        <v>1691</v>
      </c>
      <c r="L1647" s="14">
        <v>927</v>
      </c>
      <c r="M1647" s="14">
        <v>1780</v>
      </c>
      <c r="N1647" s="12">
        <v>0.2</v>
      </c>
      <c r="O1647" s="12" t="s">
        <v>1701</v>
      </c>
      <c r="P1647" s="12">
        <v>3.2172703070080199E-5</v>
      </c>
      <c r="Q1647" s="12">
        <v>8.6733851755023999E-5</v>
      </c>
      <c r="R1647" s="12">
        <v>0.15877016129032301</v>
      </c>
      <c r="S1647" s="14">
        <v>33</v>
      </c>
      <c r="T1647" s="12">
        <v>6.6273420998169998E-3</v>
      </c>
      <c r="U1647" s="14">
        <v>1796</v>
      </c>
      <c r="V1647" s="14">
        <v>1</v>
      </c>
      <c r="W1647" s="12">
        <v>5.4999999999999997E-3</v>
      </c>
      <c r="X1647" s="12">
        <v>1.2127342099816999E-2</v>
      </c>
      <c r="Y1647" s="14">
        <v>1797</v>
      </c>
      <c r="Z1647" s="14">
        <v>33</v>
      </c>
      <c r="AA1647" s="12" t="s">
        <v>2367</v>
      </c>
    </row>
    <row r="1648" spans="1:27" ht="14.25" x14ac:dyDescent="0.45">
      <c r="A1648" s="12" t="s">
        <v>1732</v>
      </c>
      <c r="B1648" s="12" t="s">
        <v>1980</v>
      </c>
      <c r="C1648" s="12" t="s">
        <v>1972</v>
      </c>
      <c r="D1648" s="12" t="s">
        <v>1982</v>
      </c>
      <c r="E1648" s="20">
        <v>35705</v>
      </c>
      <c r="F1648" s="20">
        <v>44403</v>
      </c>
      <c r="G1648" s="12">
        <v>3.31</v>
      </c>
      <c r="H1648" s="12">
        <v>5.2666666666666702</v>
      </c>
      <c r="I1648" s="13">
        <v>0.62848101265822798</v>
      </c>
      <c r="J1648" s="12" t="s">
        <v>1732</v>
      </c>
      <c r="K1648" s="14">
        <v>976</v>
      </c>
      <c r="L1648" s="14">
        <v>1692</v>
      </c>
      <c r="M1648" s="14">
        <v>1191</v>
      </c>
      <c r="N1648" s="12">
        <v>3.31</v>
      </c>
      <c r="O1648" s="12" t="s">
        <v>1732</v>
      </c>
      <c r="P1648" s="12">
        <v>5.3245823580982705E-4</v>
      </c>
      <c r="Q1648" s="12">
        <v>2.8618053965941701E-3</v>
      </c>
      <c r="R1648" s="12">
        <v>7.9637096774193505E-2</v>
      </c>
      <c r="S1648" s="14">
        <v>25</v>
      </c>
      <c r="T1648" s="12">
        <v>0.198830021130004</v>
      </c>
      <c r="U1648" s="14">
        <v>1049</v>
      </c>
      <c r="V1648" s="14">
        <v>2</v>
      </c>
      <c r="W1648" s="12">
        <v>5.5999999999999999E-3</v>
      </c>
      <c r="X1648" s="12">
        <v>0.204430021130004</v>
      </c>
      <c r="Y1648" s="14">
        <v>1048</v>
      </c>
      <c r="Z1648" s="14">
        <v>24</v>
      </c>
      <c r="AA1648" s="12" t="s">
        <v>2370</v>
      </c>
    </row>
    <row r="1649" spans="1:27" ht="14.25" x14ac:dyDescent="0.45">
      <c r="A1649" s="12" t="s">
        <v>1746</v>
      </c>
      <c r="B1649" s="12" t="s">
        <v>1980</v>
      </c>
      <c r="C1649" s="12" t="s">
        <v>1972</v>
      </c>
      <c r="D1649" s="12" t="s">
        <v>1982</v>
      </c>
      <c r="E1649" s="20">
        <v>34944</v>
      </c>
      <c r="F1649" s="20">
        <v>44425</v>
      </c>
      <c r="G1649" s="12">
        <v>2.19</v>
      </c>
      <c r="H1649" s="12">
        <v>4.5333333333333297</v>
      </c>
      <c r="I1649" s="13">
        <v>0.48308823529411798</v>
      </c>
      <c r="J1649" s="12" t="s">
        <v>1746</v>
      </c>
      <c r="K1649" s="14">
        <v>1067</v>
      </c>
      <c r="L1649" s="14">
        <v>1833</v>
      </c>
      <c r="M1649" s="14">
        <v>1325</v>
      </c>
      <c r="N1649" s="12">
        <v>2.19</v>
      </c>
      <c r="O1649" s="12" t="s">
        <v>1746</v>
      </c>
      <c r="P1649" s="12">
        <v>3.5229109861737801E-4</v>
      </c>
      <c r="Q1649" s="12">
        <v>2.1997554276913002E-3</v>
      </c>
      <c r="R1649" s="12">
        <v>6.8548387096774202E-2</v>
      </c>
      <c r="S1649" s="14">
        <v>27</v>
      </c>
      <c r="T1649" s="12">
        <v>0.150695630428858</v>
      </c>
      <c r="U1649" s="14">
        <v>1158</v>
      </c>
      <c r="V1649" s="14">
        <v>1</v>
      </c>
      <c r="W1649" s="12">
        <v>5.4999999999999997E-3</v>
      </c>
      <c r="X1649" s="12">
        <v>0.15619563042885801</v>
      </c>
      <c r="Y1649" s="14">
        <v>1158</v>
      </c>
      <c r="Z1649" s="14">
        <v>26</v>
      </c>
      <c r="AA1649" s="12" t="s">
        <v>2367</v>
      </c>
    </row>
    <row r="1650" spans="1:27" ht="14.25" x14ac:dyDescent="0.45">
      <c r="A1650" s="12" t="s">
        <v>1753</v>
      </c>
      <c r="B1650" s="12" t="s">
        <v>1980</v>
      </c>
      <c r="C1650" s="12" t="s">
        <v>1972</v>
      </c>
      <c r="D1650" s="12" t="s">
        <v>1975</v>
      </c>
      <c r="E1650" s="20">
        <v>36400</v>
      </c>
      <c r="F1650" s="20">
        <v>44433</v>
      </c>
      <c r="G1650" s="12">
        <v>4.2300000000000004</v>
      </c>
      <c r="H1650" s="12">
        <v>4.2666666666666702</v>
      </c>
      <c r="I1650" s="13">
        <v>0.99140625000000004</v>
      </c>
      <c r="J1650" s="12" t="s">
        <v>1753</v>
      </c>
      <c r="K1650" s="14">
        <v>822</v>
      </c>
      <c r="L1650" s="14">
        <v>1848</v>
      </c>
      <c r="M1650" s="14">
        <v>1094</v>
      </c>
      <c r="N1650" s="12">
        <v>4.2300000000000004</v>
      </c>
      <c r="O1650" s="12" t="s">
        <v>1753</v>
      </c>
      <c r="P1650" s="12">
        <v>6.8045266993219599E-4</v>
      </c>
      <c r="Q1650" s="12">
        <v>4.51439534261647E-3</v>
      </c>
      <c r="R1650" s="12">
        <v>6.4516129032258104E-2</v>
      </c>
      <c r="S1650" s="14">
        <v>23</v>
      </c>
      <c r="T1650" s="12">
        <v>0.30766668403598701</v>
      </c>
      <c r="U1650" s="14">
        <v>908</v>
      </c>
      <c r="V1650" s="14">
        <v>1</v>
      </c>
      <c r="W1650" s="12">
        <v>5.4999999999999997E-3</v>
      </c>
      <c r="X1650" s="12">
        <v>0.31316668403598702</v>
      </c>
      <c r="Y1650" s="14">
        <v>908</v>
      </c>
      <c r="Z1650" s="14">
        <v>22</v>
      </c>
      <c r="AA1650" s="12" t="s">
        <v>2370</v>
      </c>
    </row>
    <row r="1651" spans="1:27" ht="14.25" x14ac:dyDescent="0.45">
      <c r="A1651" s="12" t="s">
        <v>1788</v>
      </c>
      <c r="B1651" s="12" t="s">
        <v>1980</v>
      </c>
      <c r="C1651" s="12" t="s">
        <v>1972</v>
      </c>
      <c r="D1651" s="12" t="s">
        <v>1982</v>
      </c>
      <c r="E1651" s="20">
        <v>35672</v>
      </c>
      <c r="F1651" s="20">
        <v>43763</v>
      </c>
      <c r="G1651" s="12">
        <v>12.44</v>
      </c>
      <c r="H1651" s="12">
        <v>26.6</v>
      </c>
      <c r="I1651" s="13">
        <v>0.46766917293233101</v>
      </c>
      <c r="J1651" s="12" t="s">
        <v>1788</v>
      </c>
      <c r="K1651" s="14">
        <v>1082</v>
      </c>
      <c r="L1651" s="14">
        <v>345</v>
      </c>
      <c r="M1651" s="14">
        <v>802</v>
      </c>
      <c r="N1651" s="12">
        <v>12.44</v>
      </c>
      <c r="O1651" s="12" t="s">
        <v>1788</v>
      </c>
      <c r="P1651" s="12">
        <v>2.0011421309589902E-3</v>
      </c>
      <c r="Q1651" s="12">
        <v>2.1295443075641401E-3</v>
      </c>
      <c r="R1651" s="12">
        <v>0.40221774193548399</v>
      </c>
      <c r="S1651" s="14">
        <v>25</v>
      </c>
      <c r="T1651" s="12">
        <v>0.20813934913372101</v>
      </c>
      <c r="U1651" s="14">
        <v>1033</v>
      </c>
      <c r="V1651" s="14">
        <v>2</v>
      </c>
      <c r="W1651" s="12">
        <v>5.5999999999999999E-3</v>
      </c>
      <c r="X1651" s="12">
        <v>0.213739349133721</v>
      </c>
      <c r="Y1651" s="14">
        <v>1033</v>
      </c>
      <c r="Z1651" s="14">
        <v>24</v>
      </c>
      <c r="AA1651" s="12" t="s">
        <v>2370</v>
      </c>
    </row>
    <row r="1652" spans="1:27" ht="14.25" x14ac:dyDescent="0.45">
      <c r="A1652" s="12" t="s">
        <v>1805</v>
      </c>
      <c r="B1652" s="12" t="s">
        <v>1980</v>
      </c>
      <c r="C1652" s="12" t="s">
        <v>1972</v>
      </c>
      <c r="D1652" s="12" t="s">
        <v>1982</v>
      </c>
      <c r="E1652" s="20">
        <v>35473</v>
      </c>
      <c r="F1652" s="20">
        <v>42916</v>
      </c>
      <c r="G1652" s="12">
        <v>2</v>
      </c>
      <c r="H1652" s="12">
        <v>54.8333333333333</v>
      </c>
      <c r="I1652" s="13">
        <v>3.64741641337386E-2</v>
      </c>
      <c r="J1652" s="12" t="s">
        <v>1805</v>
      </c>
      <c r="K1652" s="14">
        <v>1637</v>
      </c>
      <c r="L1652" s="14">
        <v>36</v>
      </c>
      <c r="M1652" s="14">
        <v>1359</v>
      </c>
      <c r="N1652" s="12">
        <v>2</v>
      </c>
      <c r="O1652" s="12" t="s">
        <v>1805</v>
      </c>
      <c r="P1652" s="12">
        <v>3.2172703070080199E-4</v>
      </c>
      <c r="Q1652" s="12">
        <v>1.66086099105365E-4</v>
      </c>
      <c r="R1652" s="12">
        <v>0.829133064516129</v>
      </c>
      <c r="S1652" s="14">
        <v>25</v>
      </c>
      <c r="T1652" s="12">
        <v>2.2445144845365399E-2</v>
      </c>
      <c r="U1652" s="14">
        <v>1670</v>
      </c>
      <c r="V1652" s="14">
        <v>1</v>
      </c>
      <c r="W1652" s="12">
        <v>5.4999999999999997E-3</v>
      </c>
      <c r="X1652" s="12">
        <v>2.7945144845365401E-2</v>
      </c>
      <c r="Y1652" s="14">
        <v>1670</v>
      </c>
      <c r="Z1652" s="14">
        <v>25</v>
      </c>
      <c r="AA1652" s="12" t="s">
        <v>2367</v>
      </c>
    </row>
    <row r="1653" spans="1:27" ht="14.25" x14ac:dyDescent="0.45">
      <c r="A1653" s="12" t="s">
        <v>1810</v>
      </c>
      <c r="B1653" s="12" t="s">
        <v>1980</v>
      </c>
      <c r="C1653" s="12" t="s">
        <v>1972</v>
      </c>
      <c r="D1653" s="12" t="s">
        <v>1982</v>
      </c>
      <c r="E1653" s="20">
        <v>34202</v>
      </c>
      <c r="F1653" s="20">
        <v>44204</v>
      </c>
      <c r="G1653" s="12">
        <v>6.4</v>
      </c>
      <c r="H1653" s="12">
        <v>11.9</v>
      </c>
      <c r="I1653" s="13">
        <v>0.53781512605042003</v>
      </c>
      <c r="J1653" s="12" t="s">
        <v>1810</v>
      </c>
      <c r="K1653" s="14">
        <v>1026</v>
      </c>
      <c r="L1653" s="14">
        <v>793</v>
      </c>
      <c r="M1653" s="14">
        <v>944</v>
      </c>
      <c r="N1653" s="12">
        <v>6.4</v>
      </c>
      <c r="O1653" s="12" t="s">
        <v>1810</v>
      </c>
      <c r="P1653" s="12">
        <v>1.02952649824257E-3</v>
      </c>
      <c r="Q1653" s="12">
        <v>2.4489558142595002E-3</v>
      </c>
      <c r="R1653" s="12">
        <v>0.179939516129032</v>
      </c>
      <c r="S1653" s="14">
        <v>29</v>
      </c>
      <c r="T1653" s="12">
        <v>0.19166698207531499</v>
      </c>
      <c r="U1653" s="14">
        <v>1067</v>
      </c>
      <c r="V1653" s="14">
        <v>2</v>
      </c>
      <c r="W1653" s="12">
        <v>5.5999999999999999E-3</v>
      </c>
      <c r="X1653" s="12">
        <v>0.19726698207531501</v>
      </c>
      <c r="Y1653" s="14">
        <v>1067</v>
      </c>
      <c r="Z1653" s="14">
        <v>28</v>
      </c>
      <c r="AA1653" s="12" t="s">
        <v>2367</v>
      </c>
    </row>
    <row r="1654" spans="1:27" ht="14.25" x14ac:dyDescent="0.45">
      <c r="A1654" s="12" t="s">
        <v>1867</v>
      </c>
      <c r="B1654" s="12" t="s">
        <v>1980</v>
      </c>
      <c r="C1654" s="12" t="s">
        <v>1972</v>
      </c>
      <c r="D1654" s="12" t="s">
        <v>1974</v>
      </c>
      <c r="E1654" s="20">
        <v>35310</v>
      </c>
      <c r="F1654" s="20">
        <v>44126</v>
      </c>
      <c r="G1654" s="12">
        <v>4.0599999999999996</v>
      </c>
      <c r="H1654" s="12">
        <v>14.5</v>
      </c>
      <c r="I1654" s="13">
        <v>0.28000000000000003</v>
      </c>
      <c r="J1654" s="12" t="s">
        <v>1867</v>
      </c>
      <c r="K1654" s="14">
        <v>1242</v>
      </c>
      <c r="L1654" s="14">
        <v>568</v>
      </c>
      <c r="M1654" s="14">
        <v>1115</v>
      </c>
      <c r="N1654" s="12">
        <v>4.0599999999999996</v>
      </c>
      <c r="O1654" s="12" t="s">
        <v>1867</v>
      </c>
      <c r="P1654" s="12">
        <v>6.5310587232262805E-4</v>
      </c>
      <c r="Q1654" s="12">
        <v>1.27498762079885E-3</v>
      </c>
      <c r="R1654" s="12">
        <v>0.219254032258065</v>
      </c>
      <c r="S1654" s="14">
        <v>26</v>
      </c>
      <c r="T1654" s="12">
        <v>0.104178196512027</v>
      </c>
      <c r="U1654" s="14">
        <v>1281</v>
      </c>
      <c r="V1654" s="14">
        <v>1</v>
      </c>
      <c r="W1654" s="12">
        <v>5.4999999999999997E-3</v>
      </c>
      <c r="X1654" s="12">
        <v>0.109678196512027</v>
      </c>
      <c r="Y1654" s="14">
        <v>1281</v>
      </c>
      <c r="Z1654" s="14">
        <v>25</v>
      </c>
      <c r="AA1654" s="12" t="s">
        <v>2367</v>
      </c>
    </row>
    <row r="1655" spans="1:27" ht="14.25" x14ac:dyDescent="0.45">
      <c r="A1655" s="12" t="s">
        <v>1963</v>
      </c>
      <c r="B1655" s="12" t="s">
        <v>1980</v>
      </c>
      <c r="C1655" s="12" t="s">
        <v>1972</v>
      </c>
      <c r="D1655" s="12" t="s">
        <v>2072</v>
      </c>
      <c r="E1655" s="20">
        <v>36200</v>
      </c>
      <c r="F1655" s="20">
        <v>44539</v>
      </c>
      <c r="G1655" s="12">
        <v>12.3</v>
      </c>
      <c r="H1655" s="12">
        <v>0.73333333333333295</v>
      </c>
      <c r="I1655" s="13">
        <v>16.772727272727298</v>
      </c>
      <c r="J1655" s="12" t="s">
        <v>1963</v>
      </c>
      <c r="K1655" s="14">
        <v>163</v>
      </c>
      <c r="L1655" s="14">
        <v>1952</v>
      </c>
      <c r="M1655" s="14">
        <v>805</v>
      </c>
      <c r="N1655" s="12">
        <v>12.3</v>
      </c>
      <c r="O1655" s="12" t="s">
        <v>1963</v>
      </c>
      <c r="P1655" s="12">
        <v>1.97862123880993E-3</v>
      </c>
      <c r="Q1655" s="12">
        <v>7.6375070142009199E-2</v>
      </c>
      <c r="R1655" s="12">
        <v>1.1088709677419401E-2</v>
      </c>
      <c r="S1655" s="14">
        <v>23</v>
      </c>
      <c r="T1655" s="12">
        <v>4.8476401803309503</v>
      </c>
      <c r="U1655" s="14">
        <v>269</v>
      </c>
      <c r="V1655" s="14">
        <v>2</v>
      </c>
      <c r="W1655" s="12">
        <v>5.5999999999999999E-3</v>
      </c>
      <c r="X1655" s="12">
        <v>4.8532401803309497</v>
      </c>
      <c r="Y1655" s="14">
        <v>269</v>
      </c>
      <c r="Z1655" s="14">
        <v>23</v>
      </c>
      <c r="AA1655" s="12" t="s">
        <v>2370</v>
      </c>
    </row>
    <row r="1656" spans="1:27" ht="14.25" x14ac:dyDescent="0.45">
      <c r="A1656" s="12" t="s">
        <v>211</v>
      </c>
      <c r="B1656" s="12" t="s">
        <v>2368</v>
      </c>
      <c r="C1656" s="12" t="s">
        <v>2368</v>
      </c>
      <c r="D1656" s="12" t="s">
        <v>2368</v>
      </c>
      <c r="E1656" s="20">
        <v>1</v>
      </c>
      <c r="F1656" s="20">
        <v>43873</v>
      </c>
      <c r="G1656" s="12">
        <v>2.23</v>
      </c>
      <c r="H1656" s="12">
        <v>22.933333333333302</v>
      </c>
      <c r="I1656" s="13">
        <v>9.7238372093023301E-2</v>
      </c>
      <c r="J1656" s="12" t="s">
        <v>211</v>
      </c>
      <c r="K1656" s="14">
        <v>1502</v>
      </c>
      <c r="L1656" s="14">
        <v>410</v>
      </c>
      <c r="M1656" s="14">
        <v>1317</v>
      </c>
      <c r="N1656" s="12">
        <v>2.23</v>
      </c>
      <c r="O1656" s="12" t="s">
        <v>211</v>
      </c>
      <c r="P1656" s="12">
        <v>3.5872563923139401E-4</v>
      </c>
      <c r="Q1656" s="12">
        <v>4.4277757387584701E-4</v>
      </c>
      <c r="R1656" s="12">
        <v>0.34677419354838701</v>
      </c>
      <c r="S1656" s="14">
        <v>122</v>
      </c>
      <c r="T1656" s="12">
        <v>4.1125809838417703E-2</v>
      </c>
      <c r="U1656" s="14">
        <v>1555</v>
      </c>
      <c r="V1656" s="14">
        <v>9</v>
      </c>
      <c r="W1656" s="12">
        <v>6.3E-3</v>
      </c>
      <c r="X1656" s="12">
        <v>4.7425809838417703E-2</v>
      </c>
      <c r="Y1656" s="14">
        <v>1551</v>
      </c>
      <c r="Z1656" s="14">
        <v>122</v>
      </c>
      <c r="AA1656" s="12" t="s">
        <v>2372</v>
      </c>
    </row>
    <row r="1657" spans="1:27" ht="14.25" x14ac:dyDescent="0.45">
      <c r="A1657" s="12" t="s">
        <v>222</v>
      </c>
      <c r="B1657" s="12" t="s">
        <v>2368</v>
      </c>
      <c r="C1657" s="12" t="s">
        <v>2368</v>
      </c>
      <c r="D1657" s="12" t="s">
        <v>2368</v>
      </c>
      <c r="E1657" s="20">
        <v>1</v>
      </c>
      <c r="F1657" s="20">
        <v>44194</v>
      </c>
      <c r="G1657" s="12">
        <v>66.63</v>
      </c>
      <c r="H1657" s="12">
        <v>12.233333333333301</v>
      </c>
      <c r="I1657" s="13">
        <v>5.4465940054495903</v>
      </c>
      <c r="J1657" s="12" t="s">
        <v>222</v>
      </c>
      <c r="K1657" s="14">
        <v>424</v>
      </c>
      <c r="L1657" s="14">
        <v>745</v>
      </c>
      <c r="M1657" s="14">
        <v>434</v>
      </c>
      <c r="N1657" s="12">
        <v>66.63</v>
      </c>
      <c r="O1657" s="12" t="s">
        <v>222</v>
      </c>
      <c r="P1657" s="12">
        <v>1.07183360277972E-2</v>
      </c>
      <c r="Q1657" s="12">
        <v>2.4801214044519501E-2</v>
      </c>
      <c r="R1657" s="12">
        <v>0.18497983870967699</v>
      </c>
      <c r="S1657" s="14">
        <v>122</v>
      </c>
      <c r="T1657" s="12">
        <v>1.95201347882487</v>
      </c>
      <c r="U1657" s="14">
        <v>442</v>
      </c>
      <c r="V1657" s="14">
        <v>5</v>
      </c>
      <c r="W1657" s="12">
        <v>5.8999999999999999E-3</v>
      </c>
      <c r="X1657" s="12">
        <v>1.95791347882487</v>
      </c>
      <c r="Y1657" s="14">
        <v>442</v>
      </c>
      <c r="Z1657" s="14">
        <v>122</v>
      </c>
      <c r="AA1657" s="12" t="s">
        <v>2372</v>
      </c>
    </row>
    <row r="1658" spans="1:27" ht="14.25" x14ac:dyDescent="0.45">
      <c r="A1658" s="12" t="s">
        <v>226</v>
      </c>
      <c r="B1658" s="12" t="s">
        <v>2368</v>
      </c>
      <c r="C1658" s="12" t="s">
        <v>2368</v>
      </c>
      <c r="D1658" s="12" t="s">
        <v>2368</v>
      </c>
      <c r="E1658" s="20">
        <v>1</v>
      </c>
      <c r="F1658" s="20">
        <v>43767</v>
      </c>
      <c r="G1658" s="12">
        <v>913.08</v>
      </c>
      <c r="H1658" s="12">
        <v>26.466666666666701</v>
      </c>
      <c r="I1658" s="13">
        <v>34.499244332493703</v>
      </c>
      <c r="J1658" s="12" t="s">
        <v>226</v>
      </c>
      <c r="K1658" s="14">
        <v>68</v>
      </c>
      <c r="L1658" s="14">
        <v>347</v>
      </c>
      <c r="M1658" s="14">
        <v>59</v>
      </c>
      <c r="N1658" s="12">
        <v>913.08</v>
      </c>
      <c r="O1658" s="12" t="s">
        <v>226</v>
      </c>
      <c r="P1658" s="12">
        <v>0.14688125859614401</v>
      </c>
      <c r="Q1658" s="12">
        <v>0.15709324803873001</v>
      </c>
      <c r="R1658" s="12">
        <v>0.40020161290322598</v>
      </c>
      <c r="S1658" s="14">
        <v>122</v>
      </c>
      <c r="T1658" s="12">
        <v>15.326375199776001</v>
      </c>
      <c r="U1658" s="14">
        <v>65</v>
      </c>
      <c r="V1658" s="14">
        <v>11</v>
      </c>
      <c r="W1658" s="12">
        <v>6.4999999999999997E-3</v>
      </c>
      <c r="X1658" s="12">
        <v>15.332875199776</v>
      </c>
      <c r="Y1658" s="14">
        <v>65</v>
      </c>
      <c r="Z1658" s="14">
        <v>122</v>
      </c>
      <c r="AA1658" s="12" t="s">
        <v>2372</v>
      </c>
    </row>
    <row r="1659" spans="1:27" ht="14.25" x14ac:dyDescent="0.45">
      <c r="A1659" s="12" t="s">
        <v>247</v>
      </c>
      <c r="B1659" s="12" t="s">
        <v>2368</v>
      </c>
      <c r="C1659" s="12" t="s">
        <v>2368</v>
      </c>
      <c r="D1659" s="12" t="s">
        <v>2368</v>
      </c>
      <c r="E1659" s="20">
        <v>1</v>
      </c>
      <c r="F1659" s="20">
        <v>44200</v>
      </c>
      <c r="G1659" s="12">
        <v>0.8</v>
      </c>
      <c r="H1659" s="12">
        <v>12.033333333333299</v>
      </c>
      <c r="I1659" s="13">
        <v>6.6481994459833799E-2</v>
      </c>
      <c r="J1659" s="12" t="s">
        <v>247</v>
      </c>
      <c r="K1659" s="14">
        <v>1570</v>
      </c>
      <c r="L1659" s="14">
        <v>767</v>
      </c>
      <c r="M1659" s="14">
        <v>1596</v>
      </c>
      <c r="N1659" s="12">
        <v>0.8</v>
      </c>
      <c r="O1659" s="12" t="s">
        <v>247</v>
      </c>
      <c r="P1659" s="12">
        <v>1.2869081228032101E-4</v>
      </c>
      <c r="Q1659" s="12">
        <v>3.0272757122252098E-4</v>
      </c>
      <c r="R1659" s="12">
        <v>0.18195564516129001</v>
      </c>
      <c r="S1659" s="14">
        <v>122</v>
      </c>
      <c r="T1659" s="12">
        <v>2.3746378661919601E-2</v>
      </c>
      <c r="U1659" s="14">
        <v>1658</v>
      </c>
      <c r="V1659" s="14">
        <v>1</v>
      </c>
      <c r="W1659" s="12">
        <v>5.4999999999999997E-3</v>
      </c>
      <c r="X1659" s="12">
        <v>2.9246378661919599E-2</v>
      </c>
      <c r="Y1659" s="14">
        <v>1658</v>
      </c>
      <c r="Z1659" s="14">
        <v>122</v>
      </c>
      <c r="AA1659" s="12" t="s">
        <v>2372</v>
      </c>
    </row>
    <row r="1660" spans="1:27" ht="14.25" x14ac:dyDescent="0.45">
      <c r="A1660" s="12" t="s">
        <v>273</v>
      </c>
      <c r="B1660" s="12" t="s">
        <v>2368</v>
      </c>
      <c r="C1660" s="12" t="s">
        <v>2368</v>
      </c>
      <c r="D1660" s="12" t="s">
        <v>2368</v>
      </c>
      <c r="E1660" s="20">
        <v>1</v>
      </c>
      <c r="F1660" s="20">
        <v>44069</v>
      </c>
      <c r="G1660" s="12">
        <v>297</v>
      </c>
      <c r="H1660" s="12">
        <v>16.399999999999999</v>
      </c>
      <c r="I1660" s="13">
        <v>18.109756097561</v>
      </c>
      <c r="J1660" s="12" t="s">
        <v>273</v>
      </c>
      <c r="K1660" s="14">
        <v>151</v>
      </c>
      <c r="L1660" s="14">
        <v>481</v>
      </c>
      <c r="M1660" s="14">
        <v>226</v>
      </c>
      <c r="N1660" s="12">
        <v>297</v>
      </c>
      <c r="O1660" s="12" t="s">
        <v>273</v>
      </c>
      <c r="P1660" s="12">
        <v>4.7776464059069101E-2</v>
      </c>
      <c r="Q1660" s="12">
        <v>8.2463267285988504E-2</v>
      </c>
      <c r="R1660" s="12">
        <v>0.24798387096774199</v>
      </c>
      <c r="S1660" s="14">
        <v>122</v>
      </c>
      <c r="T1660" s="12">
        <v>6.9455716075893701</v>
      </c>
      <c r="U1660" s="14">
        <v>189</v>
      </c>
      <c r="V1660" s="14">
        <v>16</v>
      </c>
      <c r="W1660" s="12">
        <v>6.8999999999999999E-3</v>
      </c>
      <c r="X1660" s="12">
        <v>6.95247160758937</v>
      </c>
      <c r="Y1660" s="14">
        <v>189</v>
      </c>
      <c r="Z1660" s="14">
        <v>122</v>
      </c>
      <c r="AA1660" s="12" t="s">
        <v>2372</v>
      </c>
    </row>
    <row r="1661" spans="1:27" ht="14.25" x14ac:dyDescent="0.45">
      <c r="A1661" s="12" t="s">
        <v>291</v>
      </c>
      <c r="B1661" s="12" t="s">
        <v>2368</v>
      </c>
      <c r="C1661" s="12" t="s">
        <v>2368</v>
      </c>
      <c r="D1661" s="12" t="s">
        <v>2368</v>
      </c>
      <c r="E1661" s="20">
        <v>1</v>
      </c>
      <c r="F1661" s="20">
        <v>44221</v>
      </c>
      <c r="G1661" s="12">
        <v>26.67</v>
      </c>
      <c r="H1661" s="12">
        <v>11.3333333333333</v>
      </c>
      <c r="I1661" s="13">
        <v>2.35323529411765</v>
      </c>
      <c r="J1661" s="12" t="s">
        <v>291</v>
      </c>
      <c r="K1661" s="14">
        <v>612</v>
      </c>
      <c r="L1661" s="14">
        <v>860</v>
      </c>
      <c r="M1661" s="14">
        <v>674</v>
      </c>
      <c r="N1661" s="12">
        <v>26.67</v>
      </c>
      <c r="O1661" s="12" t="s">
        <v>291</v>
      </c>
      <c r="P1661" s="12">
        <v>4.2902299543951901E-3</v>
      </c>
      <c r="Q1661" s="12">
        <v>1.07155209600962E-2</v>
      </c>
      <c r="R1661" s="12">
        <v>0.171370967741935</v>
      </c>
      <c r="S1661" s="14">
        <v>122</v>
      </c>
      <c r="T1661" s="12">
        <v>0.830603683295835</v>
      </c>
      <c r="U1661" s="14">
        <v>655</v>
      </c>
      <c r="V1661" s="14">
        <v>4</v>
      </c>
      <c r="W1661" s="12">
        <v>5.7999999999999996E-3</v>
      </c>
      <c r="X1661" s="12">
        <v>0.83640368329583503</v>
      </c>
      <c r="Y1661" s="14">
        <v>656</v>
      </c>
      <c r="Z1661" s="14">
        <v>122</v>
      </c>
      <c r="AA1661" s="12" t="s">
        <v>2372</v>
      </c>
    </row>
    <row r="1662" spans="1:27" ht="14.25" x14ac:dyDescent="0.45">
      <c r="A1662" s="12" t="s">
        <v>335</v>
      </c>
      <c r="B1662" s="12" t="s">
        <v>2368</v>
      </c>
      <c r="C1662" s="12" t="s">
        <v>2368</v>
      </c>
      <c r="D1662" s="12" t="s">
        <v>2368</v>
      </c>
      <c r="E1662" s="20">
        <v>1</v>
      </c>
      <c r="F1662" s="20">
        <v>44200</v>
      </c>
      <c r="G1662" s="12">
        <v>0.02</v>
      </c>
      <c r="H1662" s="12">
        <v>12.033333333333299</v>
      </c>
      <c r="I1662" s="13">
        <v>1.66204986149585E-3</v>
      </c>
      <c r="J1662" s="12" t="s">
        <v>335</v>
      </c>
      <c r="K1662" s="14">
        <v>1816</v>
      </c>
      <c r="L1662" s="14">
        <v>767</v>
      </c>
      <c r="M1662" s="14">
        <v>1922</v>
      </c>
      <c r="N1662" s="12">
        <v>0.02</v>
      </c>
      <c r="O1662" s="12" t="s">
        <v>335</v>
      </c>
      <c r="P1662" s="12">
        <v>3.2172703070080202E-6</v>
      </c>
      <c r="Q1662" s="12">
        <v>7.5681892805630303E-6</v>
      </c>
      <c r="R1662" s="12">
        <v>0.18195564516129001</v>
      </c>
      <c r="S1662" s="14">
        <v>122</v>
      </c>
      <c r="T1662" s="12">
        <v>5.9365946654798998E-4</v>
      </c>
      <c r="U1662" s="14">
        <v>1931</v>
      </c>
      <c r="V1662" s="14">
        <v>1</v>
      </c>
      <c r="W1662" s="12">
        <v>5.4999999999999997E-3</v>
      </c>
      <c r="X1662" s="12">
        <v>6.0936594665479899E-3</v>
      </c>
      <c r="Y1662" s="14">
        <v>1931</v>
      </c>
      <c r="Z1662" s="14">
        <v>122</v>
      </c>
      <c r="AA1662" s="12" t="s">
        <v>2372</v>
      </c>
    </row>
    <row r="1663" spans="1:27" ht="14.25" x14ac:dyDescent="0.45">
      <c r="A1663" s="12" t="s">
        <v>338</v>
      </c>
      <c r="B1663" s="12" t="s">
        <v>2368</v>
      </c>
      <c r="C1663" s="12" t="s">
        <v>2368</v>
      </c>
      <c r="D1663" s="12" t="s">
        <v>2368</v>
      </c>
      <c r="E1663" s="20">
        <v>1</v>
      </c>
      <c r="F1663" s="20">
        <v>44218</v>
      </c>
      <c r="G1663" s="12">
        <v>32.020000000000003</v>
      </c>
      <c r="H1663" s="12">
        <v>11.4333333333333</v>
      </c>
      <c r="I1663" s="13">
        <v>2.8005830903790101</v>
      </c>
      <c r="J1663" s="12" t="s">
        <v>338</v>
      </c>
      <c r="K1663" s="14">
        <v>570</v>
      </c>
      <c r="L1663" s="14">
        <v>855</v>
      </c>
      <c r="M1663" s="14">
        <v>556</v>
      </c>
      <c r="N1663" s="12">
        <v>32.020000000000003</v>
      </c>
      <c r="O1663" s="12" t="s">
        <v>338</v>
      </c>
      <c r="P1663" s="12">
        <v>5.1508497615198401E-3</v>
      </c>
      <c r="Q1663" s="12">
        <v>1.27525313258994E-2</v>
      </c>
      <c r="R1663" s="12">
        <v>0.172883064516129</v>
      </c>
      <c r="S1663" s="14">
        <v>122</v>
      </c>
      <c r="T1663" s="12">
        <v>0.99019007392570602</v>
      </c>
      <c r="U1663" s="14">
        <v>573</v>
      </c>
      <c r="V1663" s="14">
        <v>3</v>
      </c>
      <c r="W1663" s="12">
        <v>5.7000000000000002E-3</v>
      </c>
      <c r="X1663" s="12">
        <v>0.99589007392570605</v>
      </c>
      <c r="Y1663" s="14">
        <v>573</v>
      </c>
      <c r="Z1663" s="14">
        <v>122</v>
      </c>
      <c r="AA1663" s="12" t="s">
        <v>2372</v>
      </c>
    </row>
    <row r="1664" spans="1:27" ht="14.25" x14ac:dyDescent="0.45">
      <c r="A1664" s="12" t="s">
        <v>395</v>
      </c>
      <c r="B1664" s="12" t="s">
        <v>2368</v>
      </c>
      <c r="C1664" s="12" t="s">
        <v>2368</v>
      </c>
      <c r="D1664" s="12" t="s">
        <v>2368</v>
      </c>
      <c r="E1664" s="20">
        <v>1</v>
      </c>
      <c r="F1664" s="20">
        <v>43286</v>
      </c>
      <c r="G1664" s="12">
        <v>497.88</v>
      </c>
      <c r="H1664" s="12">
        <v>42.5</v>
      </c>
      <c r="I1664" s="13">
        <v>11.714823529411801</v>
      </c>
      <c r="J1664" s="12" t="s">
        <v>395</v>
      </c>
      <c r="K1664" s="14">
        <v>250</v>
      </c>
      <c r="L1664" s="14">
        <v>116</v>
      </c>
      <c r="M1664" s="14">
        <v>146</v>
      </c>
      <c r="N1664" s="12">
        <v>497.88</v>
      </c>
      <c r="O1664" s="12" t="s">
        <v>395</v>
      </c>
      <c r="P1664" s="12">
        <v>8.0090727022657598E-2</v>
      </c>
      <c r="Q1664" s="12">
        <v>5.3343767785153998E-2</v>
      </c>
      <c r="R1664" s="12">
        <v>0.64264112903225801</v>
      </c>
      <c r="S1664" s="14">
        <v>122</v>
      </c>
      <c r="T1664" s="12">
        <v>6.3373877499217901</v>
      </c>
      <c r="U1664" s="14">
        <v>209</v>
      </c>
      <c r="V1664" s="14">
        <v>8</v>
      </c>
      <c r="W1664" s="12">
        <v>6.1999999999999998E-3</v>
      </c>
      <c r="X1664" s="12">
        <v>6.3435877499217899</v>
      </c>
      <c r="Y1664" s="14">
        <v>209</v>
      </c>
      <c r="Z1664" s="14">
        <v>122</v>
      </c>
      <c r="AA1664" s="12" t="s">
        <v>2372</v>
      </c>
    </row>
    <row r="1665" spans="1:27" ht="14.25" x14ac:dyDescent="0.45">
      <c r="A1665" s="12" t="s">
        <v>456</v>
      </c>
      <c r="B1665" s="12" t="s">
        <v>2368</v>
      </c>
      <c r="C1665" s="12" t="s">
        <v>2368</v>
      </c>
      <c r="D1665" s="12" t="s">
        <v>2368</v>
      </c>
      <c r="E1665" s="20">
        <v>1</v>
      </c>
      <c r="F1665" s="20">
        <v>43403</v>
      </c>
      <c r="G1665" s="12">
        <v>843.55</v>
      </c>
      <c r="H1665" s="12">
        <v>38.6</v>
      </c>
      <c r="I1665" s="13">
        <v>21.853626943005199</v>
      </c>
      <c r="J1665" s="12" t="s">
        <v>456</v>
      </c>
      <c r="K1665" s="14">
        <v>123</v>
      </c>
      <c r="L1665" s="14">
        <v>208</v>
      </c>
      <c r="M1665" s="14">
        <v>69</v>
      </c>
      <c r="N1665" s="12">
        <v>843.55</v>
      </c>
      <c r="O1665" s="12" t="s">
        <v>456</v>
      </c>
      <c r="P1665" s="12">
        <v>0.13569641837383101</v>
      </c>
      <c r="Q1665" s="12">
        <v>9.9511085078170997E-2</v>
      </c>
      <c r="R1665" s="12">
        <v>0.58366935483870996</v>
      </c>
      <c r="S1665" s="14">
        <v>122</v>
      </c>
      <c r="T1665" s="12">
        <v>11.308058506404301</v>
      </c>
      <c r="U1665" s="14">
        <v>95</v>
      </c>
      <c r="V1665" s="14">
        <v>24</v>
      </c>
      <c r="W1665" s="12">
        <v>7.4000000000000003E-3</v>
      </c>
      <c r="X1665" s="12">
        <v>11.315458506404299</v>
      </c>
      <c r="Y1665" s="14">
        <v>95</v>
      </c>
      <c r="Z1665" s="14">
        <v>122</v>
      </c>
      <c r="AA1665" s="12" t="s">
        <v>2372</v>
      </c>
    </row>
    <row r="1666" spans="1:27" ht="14.25" x14ac:dyDescent="0.45">
      <c r="A1666" s="12" t="s">
        <v>462</v>
      </c>
      <c r="B1666" s="12" t="s">
        <v>2368</v>
      </c>
      <c r="C1666" s="12" t="s">
        <v>2368</v>
      </c>
      <c r="D1666" s="12" t="s">
        <v>2368</v>
      </c>
      <c r="E1666" s="20">
        <v>1</v>
      </c>
      <c r="F1666" s="20">
        <v>44130</v>
      </c>
      <c r="G1666" s="12">
        <v>0.18</v>
      </c>
      <c r="H1666" s="12">
        <v>14.366666666666699</v>
      </c>
      <c r="I1666" s="13">
        <v>1.2529002320185599E-2</v>
      </c>
      <c r="J1666" s="12" t="s">
        <v>462</v>
      </c>
      <c r="K1666" s="14">
        <v>1724</v>
      </c>
      <c r="L1666" s="14">
        <v>577</v>
      </c>
      <c r="M1666" s="14">
        <v>1788</v>
      </c>
      <c r="N1666" s="12">
        <v>0.18</v>
      </c>
      <c r="O1666" s="12" t="s">
        <v>462</v>
      </c>
      <c r="P1666" s="12">
        <v>2.89554327630722E-5</v>
      </c>
      <c r="Q1666" s="12">
        <v>5.70511530685598E-5</v>
      </c>
      <c r="R1666" s="12">
        <v>0.21723790322580599</v>
      </c>
      <c r="S1666" s="14">
        <v>122</v>
      </c>
      <c r="T1666" s="12">
        <v>4.6515257954001998E-3</v>
      </c>
      <c r="U1666" s="14">
        <v>1826</v>
      </c>
      <c r="V1666" s="14">
        <v>1</v>
      </c>
      <c r="W1666" s="12">
        <v>5.4999999999999997E-3</v>
      </c>
      <c r="X1666" s="12">
        <v>1.01515257954002E-2</v>
      </c>
      <c r="Y1666" s="14">
        <v>1826</v>
      </c>
      <c r="Z1666" s="14">
        <v>122</v>
      </c>
      <c r="AA1666" s="12" t="s">
        <v>2372</v>
      </c>
    </row>
    <row r="1667" spans="1:27" ht="14.25" x14ac:dyDescent="0.45">
      <c r="A1667" s="12" t="s">
        <v>490</v>
      </c>
      <c r="B1667" s="12" t="s">
        <v>2368</v>
      </c>
      <c r="C1667" s="12" t="s">
        <v>2368</v>
      </c>
      <c r="D1667" s="12" t="s">
        <v>2368</v>
      </c>
      <c r="E1667" s="20">
        <v>1</v>
      </c>
      <c r="F1667" s="20">
        <v>44186</v>
      </c>
      <c r="G1667" s="12">
        <v>11.91</v>
      </c>
      <c r="H1667" s="12">
        <v>12.5</v>
      </c>
      <c r="I1667" s="13">
        <v>0.95279999999999998</v>
      </c>
      <c r="J1667" s="12" t="s">
        <v>490</v>
      </c>
      <c r="K1667" s="14">
        <v>836</v>
      </c>
      <c r="L1667" s="14">
        <v>723</v>
      </c>
      <c r="M1667" s="14">
        <v>810</v>
      </c>
      <c r="N1667" s="12">
        <v>11.91</v>
      </c>
      <c r="O1667" s="12" t="s">
        <v>490</v>
      </c>
      <c r="P1667" s="12">
        <v>1.91588446782327E-3</v>
      </c>
      <c r="Q1667" s="12">
        <v>4.3386007324898099E-3</v>
      </c>
      <c r="R1667" s="12">
        <v>0.18901209677419401</v>
      </c>
      <c r="S1667" s="14">
        <v>122</v>
      </c>
      <c r="T1667" s="12">
        <v>0.34300821332398601</v>
      </c>
      <c r="U1667" s="14">
        <v>877</v>
      </c>
      <c r="V1667" s="14">
        <v>1</v>
      </c>
      <c r="W1667" s="12">
        <v>5.4999999999999997E-3</v>
      </c>
      <c r="X1667" s="12">
        <v>0.34850821332398602</v>
      </c>
      <c r="Y1667" s="14">
        <v>877</v>
      </c>
      <c r="Z1667" s="14">
        <v>122</v>
      </c>
      <c r="AA1667" s="12" t="s">
        <v>2372</v>
      </c>
    </row>
    <row r="1668" spans="1:27" ht="14.25" x14ac:dyDescent="0.45">
      <c r="A1668" s="12" t="s">
        <v>498</v>
      </c>
      <c r="B1668" s="12" t="s">
        <v>2368</v>
      </c>
      <c r="C1668" s="12" t="s">
        <v>2368</v>
      </c>
      <c r="D1668" s="12" t="s">
        <v>2368</v>
      </c>
      <c r="E1668" s="20">
        <v>1</v>
      </c>
      <c r="F1668" s="20">
        <v>44194</v>
      </c>
      <c r="G1668" s="12">
        <v>0.02</v>
      </c>
      <c r="H1668" s="12">
        <v>12.233333333333301</v>
      </c>
      <c r="I1668" s="13">
        <v>1.6348773841961899E-3</v>
      </c>
      <c r="J1668" s="12" t="s">
        <v>498</v>
      </c>
      <c r="K1668" s="14">
        <v>1817</v>
      </c>
      <c r="L1668" s="14">
        <v>745</v>
      </c>
      <c r="M1668" s="14">
        <v>1922</v>
      </c>
      <c r="N1668" s="12">
        <v>0.02</v>
      </c>
      <c r="O1668" s="12" t="s">
        <v>498</v>
      </c>
      <c r="P1668" s="12">
        <v>3.2172703070080202E-6</v>
      </c>
      <c r="Q1668" s="12">
        <v>7.44445866562195E-6</v>
      </c>
      <c r="R1668" s="12">
        <v>0.18497983870967699</v>
      </c>
      <c r="S1668" s="14">
        <v>122</v>
      </c>
      <c r="T1668" s="12">
        <v>5.8592630311417304E-4</v>
      </c>
      <c r="U1668" s="14">
        <v>1932</v>
      </c>
      <c r="V1668" s="14">
        <v>1</v>
      </c>
      <c r="W1668" s="12">
        <v>5.4999999999999997E-3</v>
      </c>
      <c r="X1668" s="12">
        <v>6.0859263031141702E-3</v>
      </c>
      <c r="Y1668" s="14">
        <v>1932</v>
      </c>
      <c r="Z1668" s="14">
        <v>122</v>
      </c>
      <c r="AA1668" s="12" t="s">
        <v>2372</v>
      </c>
    </row>
    <row r="1669" spans="1:27" ht="14.25" x14ac:dyDescent="0.45">
      <c r="A1669" s="12" t="s">
        <v>499</v>
      </c>
      <c r="B1669" s="12" t="s">
        <v>2368</v>
      </c>
      <c r="C1669" s="12" t="s">
        <v>2368</v>
      </c>
      <c r="D1669" s="12" t="s">
        <v>2368</v>
      </c>
      <c r="E1669" s="20">
        <v>1</v>
      </c>
      <c r="F1669" s="20">
        <v>44186</v>
      </c>
      <c r="G1669" s="12">
        <v>0.12</v>
      </c>
      <c r="H1669" s="12">
        <v>12.5</v>
      </c>
      <c r="I1669" s="13">
        <v>9.5999999999999992E-3</v>
      </c>
      <c r="J1669" s="12" t="s">
        <v>499</v>
      </c>
      <c r="K1669" s="14">
        <v>1748</v>
      </c>
      <c r="L1669" s="14">
        <v>723</v>
      </c>
      <c r="M1669" s="14">
        <v>1818</v>
      </c>
      <c r="N1669" s="12">
        <v>0.12</v>
      </c>
      <c r="O1669" s="12" t="s">
        <v>499</v>
      </c>
      <c r="P1669" s="12">
        <v>1.9303621842048101E-5</v>
      </c>
      <c r="Q1669" s="12">
        <v>4.3713861284532097E-5</v>
      </c>
      <c r="R1669" s="12">
        <v>0.18901209677419401</v>
      </c>
      <c r="S1669" s="14">
        <v>122</v>
      </c>
      <c r="T1669" s="12">
        <v>3.45600214936006E-3</v>
      </c>
      <c r="U1669" s="14">
        <v>1849</v>
      </c>
      <c r="V1669" s="14">
        <v>1</v>
      </c>
      <c r="W1669" s="12">
        <v>5.4999999999999997E-3</v>
      </c>
      <c r="X1669" s="12">
        <v>8.9560021493600601E-3</v>
      </c>
      <c r="Y1669" s="14">
        <v>1849</v>
      </c>
      <c r="Z1669" s="14">
        <v>122</v>
      </c>
      <c r="AA1669" s="12" t="s">
        <v>2372</v>
      </c>
    </row>
    <row r="1670" spans="1:27" ht="14.25" x14ac:dyDescent="0.45">
      <c r="A1670" s="12" t="s">
        <v>536</v>
      </c>
      <c r="B1670" s="12" t="s">
        <v>2368</v>
      </c>
      <c r="C1670" s="12" t="s">
        <v>2368</v>
      </c>
      <c r="D1670" s="12" t="s">
        <v>2368</v>
      </c>
      <c r="E1670" s="20">
        <v>1</v>
      </c>
      <c r="F1670" s="20">
        <v>43312</v>
      </c>
      <c r="G1670" s="12">
        <v>438.36</v>
      </c>
      <c r="H1670" s="12">
        <v>41.633333333333297</v>
      </c>
      <c r="I1670" s="13">
        <v>10.529063250600499</v>
      </c>
      <c r="J1670" s="12" t="s">
        <v>536</v>
      </c>
      <c r="K1670" s="14">
        <v>278</v>
      </c>
      <c r="L1670" s="14">
        <v>136</v>
      </c>
      <c r="M1670" s="14">
        <v>165</v>
      </c>
      <c r="N1670" s="12">
        <v>438.36</v>
      </c>
      <c r="O1670" s="12" t="s">
        <v>536</v>
      </c>
      <c r="P1670" s="12">
        <v>7.0516130589001705E-2</v>
      </c>
      <c r="Q1670" s="12">
        <v>4.7944376082584797E-2</v>
      </c>
      <c r="R1670" s="12">
        <v>0.62953629032258096</v>
      </c>
      <c r="S1670" s="14">
        <v>122</v>
      </c>
      <c r="T1670" s="12">
        <v>5.6408784022491103</v>
      </c>
      <c r="U1670" s="14">
        <v>233</v>
      </c>
      <c r="V1670" s="14">
        <v>54</v>
      </c>
      <c r="W1670" s="12">
        <v>8.6999999999999994E-3</v>
      </c>
      <c r="X1670" s="12">
        <v>5.6495784022491096</v>
      </c>
      <c r="Y1670" s="14">
        <v>233</v>
      </c>
      <c r="Z1670" s="14">
        <v>122</v>
      </c>
      <c r="AA1670" s="12" t="s">
        <v>2372</v>
      </c>
    </row>
    <row r="1671" spans="1:27" ht="14.25" x14ac:dyDescent="0.45">
      <c r="A1671" s="12" t="s">
        <v>576</v>
      </c>
      <c r="B1671" s="12" t="s">
        <v>2368</v>
      </c>
      <c r="C1671" s="12" t="s">
        <v>2368</v>
      </c>
      <c r="D1671" s="12" t="s">
        <v>2368</v>
      </c>
      <c r="E1671" s="20">
        <v>1</v>
      </c>
      <c r="F1671" s="20">
        <v>44222</v>
      </c>
      <c r="G1671" s="12">
        <v>0.24</v>
      </c>
      <c r="H1671" s="12">
        <v>11.3</v>
      </c>
      <c r="I1671" s="13">
        <v>2.12389380530973E-2</v>
      </c>
      <c r="J1671" s="12" t="s">
        <v>576</v>
      </c>
      <c r="K1671" s="14">
        <v>1681</v>
      </c>
      <c r="L1671" s="14">
        <v>879</v>
      </c>
      <c r="M1671" s="14">
        <v>1761</v>
      </c>
      <c r="N1671" s="12">
        <v>0.24</v>
      </c>
      <c r="O1671" s="12" t="s">
        <v>576</v>
      </c>
      <c r="P1671" s="12">
        <v>3.8607243684096202E-5</v>
      </c>
      <c r="Q1671" s="12">
        <v>9.6712082487902798E-5</v>
      </c>
      <c r="R1671" s="12">
        <v>0.170866935483871</v>
      </c>
      <c r="S1671" s="14">
        <v>122</v>
      </c>
      <c r="T1671" s="12">
        <v>7.4922767936475296E-3</v>
      </c>
      <c r="U1671" s="14">
        <v>1784</v>
      </c>
      <c r="V1671" s="14">
        <v>1</v>
      </c>
      <c r="W1671" s="12">
        <v>5.4999999999999997E-3</v>
      </c>
      <c r="X1671" s="12">
        <v>1.2992276793647501E-2</v>
      </c>
      <c r="Y1671" s="14">
        <v>1784</v>
      </c>
      <c r="Z1671" s="14">
        <v>122</v>
      </c>
      <c r="AA1671" s="12" t="s">
        <v>2372</v>
      </c>
    </row>
    <row r="1672" spans="1:27" ht="14.25" x14ac:dyDescent="0.45">
      <c r="A1672" s="12" t="s">
        <v>578</v>
      </c>
      <c r="B1672" s="12" t="s">
        <v>2368</v>
      </c>
      <c r="C1672" s="12" t="s">
        <v>2368</v>
      </c>
      <c r="D1672" s="12" t="s">
        <v>2368</v>
      </c>
      <c r="E1672" s="20">
        <v>1</v>
      </c>
      <c r="F1672" s="20">
        <v>44169</v>
      </c>
      <c r="G1672" s="12">
        <v>12.77</v>
      </c>
      <c r="H1672" s="12">
        <v>13.0666666666667</v>
      </c>
      <c r="I1672" s="13">
        <v>0.97729591836734697</v>
      </c>
      <c r="J1672" s="12" t="s">
        <v>578</v>
      </c>
      <c r="K1672" s="14">
        <v>828</v>
      </c>
      <c r="L1672" s="14">
        <v>668</v>
      </c>
      <c r="M1672" s="14">
        <v>794</v>
      </c>
      <c r="N1672" s="12">
        <v>12.77</v>
      </c>
      <c r="O1672" s="12" t="s">
        <v>578</v>
      </c>
      <c r="P1672" s="12">
        <v>2.0542270910246202E-3</v>
      </c>
      <c r="Q1672" s="12">
        <v>4.4501435634843297E-3</v>
      </c>
      <c r="R1672" s="12">
        <v>0.19758064516129001</v>
      </c>
      <c r="S1672" s="14">
        <v>122</v>
      </c>
      <c r="T1672" s="12">
        <v>0.35516748863119402</v>
      </c>
      <c r="U1672" s="14">
        <v>867</v>
      </c>
      <c r="V1672" s="14">
        <v>2</v>
      </c>
      <c r="W1672" s="12">
        <v>5.5999999999999999E-3</v>
      </c>
      <c r="X1672" s="12">
        <v>0.36076748863119401</v>
      </c>
      <c r="Y1672" s="14">
        <v>867</v>
      </c>
      <c r="Z1672" s="14">
        <v>122</v>
      </c>
      <c r="AA1672" s="12" t="s">
        <v>2372</v>
      </c>
    </row>
    <row r="1673" spans="1:27" ht="14.25" x14ac:dyDescent="0.45">
      <c r="A1673" s="12" t="s">
        <v>586</v>
      </c>
      <c r="B1673" s="12" t="s">
        <v>2368</v>
      </c>
      <c r="C1673" s="12" t="s">
        <v>2368</v>
      </c>
      <c r="D1673" s="12" t="s">
        <v>2368</v>
      </c>
      <c r="E1673" s="20">
        <v>1</v>
      </c>
      <c r="F1673" s="20">
        <v>44109</v>
      </c>
      <c r="G1673" s="12">
        <v>238.86</v>
      </c>
      <c r="H1673" s="12">
        <v>15.0666666666667</v>
      </c>
      <c r="I1673" s="13">
        <v>15.8535398230088</v>
      </c>
      <c r="J1673" s="12" t="s">
        <v>586</v>
      </c>
      <c r="K1673" s="14">
        <v>178</v>
      </c>
      <c r="L1673" s="14">
        <v>501</v>
      </c>
      <c r="M1673" s="14">
        <v>263</v>
      </c>
      <c r="N1673" s="12">
        <v>238.86</v>
      </c>
      <c r="O1673" s="12" t="s">
        <v>586</v>
      </c>
      <c r="P1673" s="12">
        <v>3.8423859276596799E-2</v>
      </c>
      <c r="Q1673" s="12">
        <v>7.2189525072063998E-2</v>
      </c>
      <c r="R1673" s="12">
        <v>0.227822580645161</v>
      </c>
      <c r="S1673" s="14">
        <v>122</v>
      </c>
      <c r="T1673" s="12">
        <v>5.9527400398763799</v>
      </c>
      <c r="U1673" s="14">
        <v>223</v>
      </c>
      <c r="V1673" s="14">
        <v>7</v>
      </c>
      <c r="W1673" s="12">
        <v>6.1000000000000004E-3</v>
      </c>
      <c r="X1673" s="12">
        <v>5.9588400398763799</v>
      </c>
      <c r="Y1673" s="14">
        <v>223</v>
      </c>
      <c r="Z1673" s="14">
        <v>122</v>
      </c>
      <c r="AA1673" s="12" t="s">
        <v>2372</v>
      </c>
    </row>
    <row r="1674" spans="1:27" ht="14.25" x14ac:dyDescent="0.45">
      <c r="A1674" s="12" t="s">
        <v>620</v>
      </c>
      <c r="B1674" s="12" t="s">
        <v>2368</v>
      </c>
      <c r="C1674" s="12" t="s">
        <v>2368</v>
      </c>
      <c r="D1674" s="12" t="s">
        <v>2368</v>
      </c>
      <c r="E1674" s="20">
        <v>1</v>
      </c>
      <c r="F1674" s="20">
        <v>44113</v>
      </c>
      <c r="G1674" s="12">
        <v>247.85</v>
      </c>
      <c r="H1674" s="12">
        <v>14.9333333333333</v>
      </c>
      <c r="I1674" s="13">
        <v>16.597098214285701</v>
      </c>
      <c r="J1674" s="12" t="s">
        <v>620</v>
      </c>
      <c r="K1674" s="14">
        <v>165</v>
      </c>
      <c r="L1674" s="14">
        <v>528</v>
      </c>
      <c r="M1674" s="14">
        <v>257</v>
      </c>
      <c r="N1674" s="12">
        <v>247.85</v>
      </c>
      <c r="O1674" s="12" t="s">
        <v>620</v>
      </c>
      <c r="P1674" s="12">
        <v>3.9870022279596899E-2</v>
      </c>
      <c r="Q1674" s="12">
        <v>7.5575338444275095E-2</v>
      </c>
      <c r="R1674" s="12">
        <v>0.225806451612903</v>
      </c>
      <c r="S1674" s="14">
        <v>122</v>
      </c>
      <c r="T1674" s="12">
        <v>6.2185844882520804</v>
      </c>
      <c r="U1674" s="14">
        <v>212</v>
      </c>
      <c r="V1674" s="14">
        <v>32</v>
      </c>
      <c r="W1674" s="12">
        <v>7.7999999999999996E-3</v>
      </c>
      <c r="X1674" s="12">
        <v>6.22638448825208</v>
      </c>
      <c r="Y1674" s="14">
        <v>212</v>
      </c>
      <c r="Z1674" s="14">
        <v>122</v>
      </c>
      <c r="AA1674" s="12" t="s">
        <v>2372</v>
      </c>
    </row>
    <row r="1675" spans="1:27" ht="14.25" x14ac:dyDescent="0.45">
      <c r="A1675" s="12" t="s">
        <v>679</v>
      </c>
      <c r="B1675" s="12" t="s">
        <v>2368</v>
      </c>
      <c r="C1675" s="12" t="s">
        <v>2368</v>
      </c>
      <c r="D1675" s="12" t="s">
        <v>2368</v>
      </c>
      <c r="E1675" s="20">
        <v>1</v>
      </c>
      <c r="F1675" s="20">
        <v>44246</v>
      </c>
      <c r="G1675" s="12">
        <v>27.65</v>
      </c>
      <c r="H1675" s="12">
        <v>10.5</v>
      </c>
      <c r="I1675" s="13">
        <v>2.6333333333333302</v>
      </c>
      <c r="J1675" s="12" t="s">
        <v>679</v>
      </c>
      <c r="K1675" s="14">
        <v>580</v>
      </c>
      <c r="L1675" s="14">
        <v>927</v>
      </c>
      <c r="M1675" s="14">
        <v>592</v>
      </c>
      <c r="N1675" s="12">
        <v>27.65</v>
      </c>
      <c r="O1675" s="12" t="s">
        <v>679</v>
      </c>
      <c r="P1675" s="12">
        <v>4.4478761994385897E-3</v>
      </c>
      <c r="Q1675" s="12">
        <v>1.1990955005132101E-2</v>
      </c>
      <c r="R1675" s="12">
        <v>0.15877016129032301</v>
      </c>
      <c r="S1675" s="14">
        <v>122</v>
      </c>
      <c r="T1675" s="12">
        <v>0.91623004529970098</v>
      </c>
      <c r="U1675" s="14">
        <v>591</v>
      </c>
      <c r="V1675" s="14">
        <v>2</v>
      </c>
      <c r="W1675" s="12">
        <v>5.5999999999999999E-3</v>
      </c>
      <c r="X1675" s="12">
        <v>0.92183004529970103</v>
      </c>
      <c r="Y1675" s="14">
        <v>591</v>
      </c>
      <c r="Z1675" s="14">
        <v>122</v>
      </c>
      <c r="AA1675" s="12" t="s">
        <v>2372</v>
      </c>
    </row>
    <row r="1676" spans="1:27" ht="14.25" x14ac:dyDescent="0.45">
      <c r="A1676" s="12" t="s">
        <v>680</v>
      </c>
      <c r="B1676" s="12" t="s">
        <v>2368</v>
      </c>
      <c r="C1676" s="12" t="s">
        <v>2368</v>
      </c>
      <c r="D1676" s="12" t="s">
        <v>2368</v>
      </c>
      <c r="E1676" s="20">
        <v>1</v>
      </c>
      <c r="F1676" s="20">
        <v>44246</v>
      </c>
      <c r="G1676" s="12">
        <v>27.5</v>
      </c>
      <c r="H1676" s="12">
        <v>10.5</v>
      </c>
      <c r="I1676" s="13">
        <v>2.61904761904762</v>
      </c>
      <c r="J1676" s="12" t="s">
        <v>680</v>
      </c>
      <c r="K1676" s="14">
        <v>584</v>
      </c>
      <c r="L1676" s="14">
        <v>927</v>
      </c>
      <c r="M1676" s="14">
        <v>593</v>
      </c>
      <c r="N1676" s="12">
        <v>27.5</v>
      </c>
      <c r="O1676" s="12" t="s">
        <v>680</v>
      </c>
      <c r="P1676" s="12">
        <v>4.4237466721360197E-3</v>
      </c>
      <c r="Q1676" s="12">
        <v>1.19259046163158E-2</v>
      </c>
      <c r="R1676" s="12">
        <v>0.15877016129032301</v>
      </c>
      <c r="S1676" s="14">
        <v>122</v>
      </c>
      <c r="T1676" s="12">
        <v>0.911259538724838</v>
      </c>
      <c r="U1676" s="14">
        <v>593</v>
      </c>
      <c r="V1676" s="14">
        <v>1</v>
      </c>
      <c r="W1676" s="12">
        <v>5.4999999999999997E-3</v>
      </c>
      <c r="X1676" s="12">
        <v>0.91675953872483795</v>
      </c>
      <c r="Y1676" s="14">
        <v>593</v>
      </c>
      <c r="Z1676" s="14">
        <v>122</v>
      </c>
      <c r="AA1676" s="12" t="s">
        <v>2372</v>
      </c>
    </row>
    <row r="1677" spans="1:27" ht="14.25" x14ac:dyDescent="0.45">
      <c r="A1677" s="12" t="s">
        <v>690</v>
      </c>
      <c r="B1677" s="12" t="s">
        <v>2368</v>
      </c>
      <c r="C1677" s="12" t="s">
        <v>2368</v>
      </c>
      <c r="D1677" s="12" t="s">
        <v>2368</v>
      </c>
      <c r="E1677" s="20">
        <v>1</v>
      </c>
      <c r="F1677" s="20">
        <v>44246</v>
      </c>
      <c r="G1677" s="12">
        <v>27.5</v>
      </c>
      <c r="H1677" s="12">
        <v>10.5</v>
      </c>
      <c r="I1677" s="13">
        <v>2.61904761904762</v>
      </c>
      <c r="J1677" s="12" t="s">
        <v>690</v>
      </c>
      <c r="K1677" s="14">
        <v>584</v>
      </c>
      <c r="L1677" s="14">
        <v>927</v>
      </c>
      <c r="M1677" s="14">
        <v>593</v>
      </c>
      <c r="N1677" s="12">
        <v>27.5</v>
      </c>
      <c r="O1677" s="12" t="s">
        <v>690</v>
      </c>
      <c r="P1677" s="12">
        <v>4.4237466721360197E-3</v>
      </c>
      <c r="Q1677" s="12">
        <v>1.19259046163158E-2</v>
      </c>
      <c r="R1677" s="12">
        <v>0.15877016129032301</v>
      </c>
      <c r="S1677" s="14">
        <v>122</v>
      </c>
      <c r="T1677" s="12">
        <v>0.911259538724838</v>
      </c>
      <c r="U1677" s="14">
        <v>593</v>
      </c>
      <c r="V1677" s="14">
        <v>1</v>
      </c>
      <c r="W1677" s="12">
        <v>5.4999999999999997E-3</v>
      </c>
      <c r="X1677" s="12">
        <v>0.91675953872483795</v>
      </c>
      <c r="Y1677" s="14">
        <v>593</v>
      </c>
      <c r="Z1677" s="14">
        <v>122</v>
      </c>
      <c r="AA1677" s="12" t="s">
        <v>2372</v>
      </c>
    </row>
    <row r="1678" spans="1:27" ht="14.25" x14ac:dyDescent="0.45">
      <c r="A1678" s="12" t="s">
        <v>697</v>
      </c>
      <c r="B1678" s="12" t="s">
        <v>2368</v>
      </c>
      <c r="C1678" s="12" t="s">
        <v>2368</v>
      </c>
      <c r="D1678" s="12" t="s">
        <v>2368</v>
      </c>
      <c r="E1678" s="20">
        <v>1</v>
      </c>
      <c r="F1678" s="20">
        <v>44207</v>
      </c>
      <c r="G1678" s="12">
        <v>99.9</v>
      </c>
      <c r="H1678" s="12">
        <v>11.8</v>
      </c>
      <c r="I1678" s="13">
        <v>8.4661016949152508</v>
      </c>
      <c r="J1678" s="12" t="s">
        <v>697</v>
      </c>
      <c r="K1678" s="14">
        <v>337</v>
      </c>
      <c r="L1678" s="14">
        <v>798</v>
      </c>
      <c r="M1678" s="14">
        <v>383</v>
      </c>
      <c r="N1678" s="12">
        <v>99.9</v>
      </c>
      <c r="O1678" s="12" t="s">
        <v>697</v>
      </c>
      <c r="P1678" s="12">
        <v>1.60702651835051E-2</v>
      </c>
      <c r="Q1678" s="12">
        <v>3.8550624490861198E-2</v>
      </c>
      <c r="R1678" s="12">
        <v>0.178427419354839</v>
      </c>
      <c r="S1678" s="14">
        <v>122</v>
      </c>
      <c r="T1678" s="12">
        <v>3.0120489750602601</v>
      </c>
      <c r="U1678" s="14">
        <v>374</v>
      </c>
      <c r="V1678" s="14">
        <v>4</v>
      </c>
      <c r="W1678" s="12">
        <v>5.7999999999999996E-3</v>
      </c>
      <c r="X1678" s="12">
        <v>3.01784897506026</v>
      </c>
      <c r="Y1678" s="14">
        <v>374</v>
      </c>
      <c r="Z1678" s="14">
        <v>122</v>
      </c>
      <c r="AA1678" s="12" t="s">
        <v>2372</v>
      </c>
    </row>
    <row r="1679" spans="1:27" ht="14.25" x14ac:dyDescent="0.45">
      <c r="A1679" s="12" t="s">
        <v>710</v>
      </c>
      <c r="B1679" s="12" t="s">
        <v>2368</v>
      </c>
      <c r="C1679" s="12" t="s">
        <v>2368</v>
      </c>
      <c r="D1679" s="12" t="s">
        <v>2368</v>
      </c>
      <c r="E1679" s="20">
        <v>1</v>
      </c>
      <c r="F1679" s="20">
        <v>44182</v>
      </c>
      <c r="G1679" s="12">
        <v>27.5</v>
      </c>
      <c r="H1679" s="12">
        <v>12.633333333333301</v>
      </c>
      <c r="I1679" s="13">
        <v>2.1767810026385201</v>
      </c>
      <c r="J1679" s="12" t="s">
        <v>710</v>
      </c>
      <c r="K1679" s="14">
        <v>631</v>
      </c>
      <c r="L1679" s="14">
        <v>714</v>
      </c>
      <c r="M1679" s="14">
        <v>593</v>
      </c>
      <c r="N1679" s="12">
        <v>27.5</v>
      </c>
      <c r="O1679" s="12" t="s">
        <v>710</v>
      </c>
      <c r="P1679" s="12">
        <v>4.4237466721360197E-3</v>
      </c>
      <c r="Q1679" s="12">
        <v>9.9120315412651108E-3</v>
      </c>
      <c r="R1679" s="12">
        <v>0.19102822580645201</v>
      </c>
      <c r="S1679" s="14">
        <v>122</v>
      </c>
      <c r="T1679" s="12">
        <v>0.78539247153417002</v>
      </c>
      <c r="U1679" s="14">
        <v>682</v>
      </c>
      <c r="V1679" s="14">
        <v>1</v>
      </c>
      <c r="W1679" s="12">
        <v>5.4999999999999997E-3</v>
      </c>
      <c r="X1679" s="12">
        <v>0.79089247153416997</v>
      </c>
      <c r="Y1679" s="14">
        <v>682</v>
      </c>
      <c r="Z1679" s="14">
        <v>122</v>
      </c>
      <c r="AA1679" s="12" t="s">
        <v>2372</v>
      </c>
    </row>
    <row r="1680" spans="1:27" ht="14.25" x14ac:dyDescent="0.45">
      <c r="A1680" s="12" t="s">
        <v>726</v>
      </c>
      <c r="B1680" s="12" t="s">
        <v>2368</v>
      </c>
      <c r="C1680" s="12" t="s">
        <v>2368</v>
      </c>
      <c r="D1680" s="12" t="s">
        <v>2368</v>
      </c>
      <c r="E1680" s="20">
        <v>1</v>
      </c>
      <c r="F1680" s="20">
        <v>43750</v>
      </c>
      <c r="G1680" s="12">
        <v>94.03</v>
      </c>
      <c r="H1680" s="12">
        <v>27.033333333333299</v>
      </c>
      <c r="I1680" s="13">
        <v>3.4782983970406902</v>
      </c>
      <c r="J1680" s="12" t="s">
        <v>726</v>
      </c>
      <c r="K1680" s="14">
        <v>522</v>
      </c>
      <c r="L1680" s="14">
        <v>323</v>
      </c>
      <c r="M1680" s="14">
        <v>392</v>
      </c>
      <c r="N1680" s="12">
        <v>94.03</v>
      </c>
      <c r="O1680" s="12" t="s">
        <v>726</v>
      </c>
      <c r="P1680" s="12">
        <v>1.51259963483982E-2</v>
      </c>
      <c r="Q1680" s="12">
        <v>1.5838526420254899E-2</v>
      </c>
      <c r="R1680" s="12">
        <v>0.40877016129032301</v>
      </c>
      <c r="S1680" s="14">
        <v>122</v>
      </c>
      <c r="T1680" s="12">
        <v>1.5571327643308599</v>
      </c>
      <c r="U1680" s="14">
        <v>489</v>
      </c>
      <c r="V1680" s="14">
        <v>28</v>
      </c>
      <c r="W1680" s="12">
        <v>7.6E-3</v>
      </c>
      <c r="X1680" s="12">
        <v>1.5647327643308599</v>
      </c>
      <c r="Y1680" s="14">
        <v>488</v>
      </c>
      <c r="Z1680" s="14">
        <v>122</v>
      </c>
      <c r="AA1680" s="12" t="s">
        <v>2372</v>
      </c>
    </row>
    <row r="1681" spans="1:27" ht="14.25" x14ac:dyDescent="0.45">
      <c r="A1681" s="12" t="s">
        <v>745</v>
      </c>
      <c r="B1681" s="12" t="s">
        <v>2368</v>
      </c>
      <c r="C1681" s="12" t="s">
        <v>2368</v>
      </c>
      <c r="D1681" s="12" t="s">
        <v>2368</v>
      </c>
      <c r="E1681" s="20">
        <v>1</v>
      </c>
      <c r="F1681" s="20">
        <v>44195</v>
      </c>
      <c r="G1681" s="12">
        <v>27.5</v>
      </c>
      <c r="H1681" s="12">
        <v>12.2</v>
      </c>
      <c r="I1681" s="13">
        <v>2.2540983606557399</v>
      </c>
      <c r="J1681" s="12" t="s">
        <v>745</v>
      </c>
      <c r="K1681" s="14">
        <v>622</v>
      </c>
      <c r="L1681" s="14">
        <v>761</v>
      </c>
      <c r="M1681" s="14">
        <v>593</v>
      </c>
      <c r="N1681" s="12">
        <v>27.5</v>
      </c>
      <c r="O1681" s="12" t="s">
        <v>745</v>
      </c>
      <c r="P1681" s="12">
        <v>4.4237466721360197E-3</v>
      </c>
      <c r="Q1681" s="12">
        <v>1.02640982353538E-2</v>
      </c>
      <c r="R1681" s="12">
        <v>0.18447580645161299</v>
      </c>
      <c r="S1681" s="14">
        <v>122</v>
      </c>
      <c r="T1681" s="12">
        <v>0.807396639914711</v>
      </c>
      <c r="U1681" s="14">
        <v>665</v>
      </c>
      <c r="V1681" s="14">
        <v>1</v>
      </c>
      <c r="W1681" s="12">
        <v>5.4999999999999997E-3</v>
      </c>
      <c r="X1681" s="12">
        <v>0.81289663991471095</v>
      </c>
      <c r="Y1681" s="14">
        <v>665</v>
      </c>
      <c r="Z1681" s="14">
        <v>122</v>
      </c>
      <c r="AA1681" s="12" t="s">
        <v>2372</v>
      </c>
    </row>
    <row r="1682" spans="1:27" ht="14.25" x14ac:dyDescent="0.45">
      <c r="A1682" s="12" t="s">
        <v>761</v>
      </c>
      <c r="B1682" s="12" t="s">
        <v>2368</v>
      </c>
      <c r="C1682" s="12" t="s">
        <v>2368</v>
      </c>
      <c r="D1682" s="12" t="s">
        <v>2368</v>
      </c>
      <c r="E1682" s="20">
        <v>1</v>
      </c>
      <c r="F1682" s="20">
        <v>44180</v>
      </c>
      <c r="G1682" s="12">
        <v>27.5</v>
      </c>
      <c r="H1682" s="12">
        <v>12.7</v>
      </c>
      <c r="I1682" s="13">
        <v>2.1653543307086598</v>
      </c>
      <c r="J1682" s="12" t="s">
        <v>761</v>
      </c>
      <c r="K1682" s="14">
        <v>636</v>
      </c>
      <c r="L1682" s="14">
        <v>704</v>
      </c>
      <c r="M1682" s="14">
        <v>593</v>
      </c>
      <c r="N1682" s="12">
        <v>27.5</v>
      </c>
      <c r="O1682" s="12" t="s">
        <v>761</v>
      </c>
      <c r="P1682" s="12">
        <v>4.4237466721360197E-3</v>
      </c>
      <c r="Q1682" s="12">
        <v>9.8599998796311695E-3</v>
      </c>
      <c r="R1682" s="12">
        <v>0.19203629032258099</v>
      </c>
      <c r="S1682" s="14">
        <v>122</v>
      </c>
      <c r="T1682" s="12">
        <v>0.78214049268204899</v>
      </c>
      <c r="U1682" s="14">
        <v>687</v>
      </c>
      <c r="V1682" s="14">
        <v>1</v>
      </c>
      <c r="W1682" s="12">
        <v>5.4999999999999997E-3</v>
      </c>
      <c r="X1682" s="12">
        <v>0.78764049268204905</v>
      </c>
      <c r="Y1682" s="14">
        <v>687</v>
      </c>
      <c r="Z1682" s="14">
        <v>122</v>
      </c>
      <c r="AA1682" s="12" t="s">
        <v>2372</v>
      </c>
    </row>
    <row r="1683" spans="1:27" ht="14.25" x14ac:dyDescent="0.45">
      <c r="A1683" s="12" t="s">
        <v>765</v>
      </c>
      <c r="B1683" s="12" t="s">
        <v>2368</v>
      </c>
      <c r="C1683" s="12" t="s">
        <v>2368</v>
      </c>
      <c r="D1683" s="12" t="s">
        <v>2368</v>
      </c>
      <c r="E1683" s="20">
        <v>1</v>
      </c>
      <c r="F1683" s="20">
        <v>44222</v>
      </c>
      <c r="G1683" s="12">
        <v>36.229999999999997</v>
      </c>
      <c r="H1683" s="12">
        <v>11.3</v>
      </c>
      <c r="I1683" s="13">
        <v>3.2061946902654901</v>
      </c>
      <c r="J1683" s="12" t="s">
        <v>765</v>
      </c>
      <c r="K1683" s="14">
        <v>541</v>
      </c>
      <c r="L1683" s="14">
        <v>879</v>
      </c>
      <c r="M1683" s="14">
        <v>539</v>
      </c>
      <c r="N1683" s="12">
        <v>36.229999999999997</v>
      </c>
      <c r="O1683" s="12" t="s">
        <v>765</v>
      </c>
      <c r="P1683" s="12">
        <v>5.8280851611450298E-3</v>
      </c>
      <c r="Q1683" s="12">
        <v>1.4599494785569701E-2</v>
      </c>
      <c r="R1683" s="12">
        <v>0.170866935483871</v>
      </c>
      <c r="S1683" s="14">
        <v>122</v>
      </c>
      <c r="T1683" s="12">
        <v>1.1310216176410399</v>
      </c>
      <c r="U1683" s="14">
        <v>544</v>
      </c>
      <c r="V1683" s="14">
        <v>4</v>
      </c>
      <c r="W1683" s="12">
        <v>5.7999999999999996E-3</v>
      </c>
      <c r="X1683" s="12">
        <v>1.1368216176410399</v>
      </c>
      <c r="Y1683" s="14">
        <v>544</v>
      </c>
      <c r="Z1683" s="14">
        <v>122</v>
      </c>
      <c r="AA1683" s="12" t="s">
        <v>2372</v>
      </c>
    </row>
    <row r="1684" spans="1:27" ht="14.25" x14ac:dyDescent="0.45">
      <c r="A1684" s="12" t="s">
        <v>766</v>
      </c>
      <c r="B1684" s="12" t="s">
        <v>2368</v>
      </c>
      <c r="C1684" s="12" t="s">
        <v>2368</v>
      </c>
      <c r="D1684" s="12" t="s">
        <v>2368</v>
      </c>
      <c r="E1684" s="20">
        <v>1</v>
      </c>
      <c r="F1684" s="20">
        <v>44246</v>
      </c>
      <c r="G1684" s="12">
        <v>27.5</v>
      </c>
      <c r="H1684" s="12">
        <v>10.5</v>
      </c>
      <c r="I1684" s="13">
        <v>2.61904761904762</v>
      </c>
      <c r="J1684" s="12" t="s">
        <v>766</v>
      </c>
      <c r="K1684" s="14">
        <v>584</v>
      </c>
      <c r="L1684" s="14">
        <v>927</v>
      </c>
      <c r="M1684" s="14">
        <v>593</v>
      </c>
      <c r="N1684" s="12">
        <v>27.5</v>
      </c>
      <c r="O1684" s="12" t="s">
        <v>766</v>
      </c>
      <c r="P1684" s="12">
        <v>4.4237466721360197E-3</v>
      </c>
      <c r="Q1684" s="12">
        <v>1.19259046163158E-2</v>
      </c>
      <c r="R1684" s="12">
        <v>0.15877016129032301</v>
      </c>
      <c r="S1684" s="14">
        <v>122</v>
      </c>
      <c r="T1684" s="12">
        <v>0.911259538724838</v>
      </c>
      <c r="U1684" s="14">
        <v>593</v>
      </c>
      <c r="V1684" s="14">
        <v>1</v>
      </c>
      <c r="W1684" s="12">
        <v>5.4999999999999997E-3</v>
      </c>
      <c r="X1684" s="12">
        <v>0.91675953872483795</v>
      </c>
      <c r="Y1684" s="14">
        <v>593</v>
      </c>
      <c r="Z1684" s="14">
        <v>122</v>
      </c>
      <c r="AA1684" s="12" t="s">
        <v>2372</v>
      </c>
    </row>
    <row r="1685" spans="1:27" ht="14.25" x14ac:dyDescent="0.45">
      <c r="A1685" s="12" t="s">
        <v>779</v>
      </c>
      <c r="B1685" s="12" t="s">
        <v>2368</v>
      </c>
      <c r="C1685" s="12" t="s">
        <v>2368</v>
      </c>
      <c r="D1685" s="12" t="s">
        <v>2368</v>
      </c>
      <c r="E1685" s="20">
        <v>1</v>
      </c>
      <c r="F1685" s="20">
        <v>44085</v>
      </c>
      <c r="G1685" s="12">
        <v>28.62</v>
      </c>
      <c r="H1685" s="12">
        <v>15.866666666666699</v>
      </c>
      <c r="I1685" s="13">
        <v>1.80378151260504</v>
      </c>
      <c r="J1685" s="12" t="s">
        <v>779</v>
      </c>
      <c r="K1685" s="14">
        <v>689</v>
      </c>
      <c r="L1685" s="14">
        <v>485</v>
      </c>
      <c r="M1685" s="14">
        <v>583</v>
      </c>
      <c r="N1685" s="12">
        <v>28.62</v>
      </c>
      <c r="O1685" s="12" t="s">
        <v>779</v>
      </c>
      <c r="P1685" s="12">
        <v>4.60391380932847E-3</v>
      </c>
      <c r="Q1685" s="12">
        <v>8.2135682114187793E-3</v>
      </c>
      <c r="R1685" s="12">
        <v>0.23991935483870999</v>
      </c>
      <c r="S1685" s="14">
        <v>122</v>
      </c>
      <c r="T1685" s="12">
        <v>0.68599478106349099</v>
      </c>
      <c r="U1685" s="14">
        <v>721</v>
      </c>
      <c r="V1685" s="14">
        <v>2</v>
      </c>
      <c r="W1685" s="12">
        <v>5.5999999999999999E-3</v>
      </c>
      <c r="X1685" s="12">
        <v>0.69159478106349104</v>
      </c>
      <c r="Y1685" s="14">
        <v>721</v>
      </c>
      <c r="Z1685" s="14">
        <v>122</v>
      </c>
      <c r="AA1685" s="12" t="s">
        <v>2372</v>
      </c>
    </row>
    <row r="1686" spans="1:27" ht="14.25" x14ac:dyDescent="0.45">
      <c r="A1686" s="12" t="s">
        <v>798</v>
      </c>
      <c r="B1686" s="12" t="s">
        <v>2368</v>
      </c>
      <c r="C1686" s="12" t="s">
        <v>2368</v>
      </c>
      <c r="D1686" s="12" t="s">
        <v>2368</v>
      </c>
      <c r="E1686" s="20">
        <v>1</v>
      </c>
      <c r="F1686" s="20">
        <v>44280</v>
      </c>
      <c r="G1686" s="12">
        <v>2.0099999999999998</v>
      </c>
      <c r="H1686" s="12">
        <v>9.3666666666666707</v>
      </c>
      <c r="I1686" s="13">
        <v>0.21459074733096101</v>
      </c>
      <c r="J1686" s="12" t="s">
        <v>798</v>
      </c>
      <c r="K1686" s="14">
        <v>1329</v>
      </c>
      <c r="L1686" s="14">
        <v>1063</v>
      </c>
      <c r="M1686" s="14">
        <v>1357</v>
      </c>
      <c r="N1686" s="12">
        <v>2.0099999999999998</v>
      </c>
      <c r="O1686" s="12" t="s">
        <v>798</v>
      </c>
      <c r="P1686" s="12">
        <v>3.23335665854306E-4</v>
      </c>
      <c r="Q1686" s="12">
        <v>9.7714480851767696E-4</v>
      </c>
      <c r="R1686" s="12">
        <v>0.141633064516129</v>
      </c>
      <c r="S1686" s="14">
        <v>122</v>
      </c>
      <c r="T1686" s="12">
        <v>7.3196638001891204E-2</v>
      </c>
      <c r="U1686" s="14">
        <v>1421</v>
      </c>
      <c r="V1686" s="14">
        <v>1</v>
      </c>
      <c r="W1686" s="12">
        <v>5.4999999999999997E-3</v>
      </c>
      <c r="X1686" s="12">
        <v>7.8696638001891306E-2</v>
      </c>
      <c r="Y1686" s="14">
        <v>1421</v>
      </c>
      <c r="Z1686" s="14">
        <v>122</v>
      </c>
      <c r="AA1686" s="12" t="s">
        <v>2372</v>
      </c>
    </row>
    <row r="1687" spans="1:27" ht="14.25" x14ac:dyDescent="0.45">
      <c r="A1687" s="12" t="s">
        <v>803</v>
      </c>
      <c r="B1687" s="12" t="s">
        <v>2368</v>
      </c>
      <c r="C1687" s="12" t="s">
        <v>2368</v>
      </c>
      <c r="D1687" s="12" t="s">
        <v>2368</v>
      </c>
      <c r="E1687" s="20">
        <v>1</v>
      </c>
      <c r="F1687" s="20">
        <v>44307</v>
      </c>
      <c r="G1687" s="12">
        <v>2</v>
      </c>
      <c r="H1687" s="12">
        <v>8.4666666666666703</v>
      </c>
      <c r="I1687" s="13">
        <v>0.23622047244094499</v>
      </c>
      <c r="J1687" s="12" t="s">
        <v>803</v>
      </c>
      <c r="K1687" s="14">
        <v>1295</v>
      </c>
      <c r="L1687" s="14">
        <v>1215</v>
      </c>
      <c r="M1687" s="14">
        <v>1359</v>
      </c>
      <c r="N1687" s="12">
        <v>2</v>
      </c>
      <c r="O1687" s="12" t="s">
        <v>803</v>
      </c>
      <c r="P1687" s="12">
        <v>3.2172703070080199E-4</v>
      </c>
      <c r="Q1687" s="12">
        <v>1.0756363505052199E-3</v>
      </c>
      <c r="R1687" s="12">
        <v>0.12802419354838701</v>
      </c>
      <c r="S1687" s="14">
        <v>122</v>
      </c>
      <c r="T1687" s="12">
        <v>7.9292035557856202E-2</v>
      </c>
      <c r="U1687" s="14">
        <v>1359</v>
      </c>
      <c r="V1687" s="14">
        <v>1</v>
      </c>
      <c r="W1687" s="12">
        <v>5.4999999999999997E-3</v>
      </c>
      <c r="X1687" s="12">
        <v>8.4792035557856194E-2</v>
      </c>
      <c r="Y1687" s="14">
        <v>1359</v>
      </c>
      <c r="Z1687" s="14">
        <v>122</v>
      </c>
      <c r="AA1687" s="12" t="s">
        <v>2372</v>
      </c>
    </row>
    <row r="1688" spans="1:27" ht="14.25" x14ac:dyDescent="0.45">
      <c r="A1688" s="12" t="s">
        <v>816</v>
      </c>
      <c r="B1688" s="12" t="s">
        <v>2368</v>
      </c>
      <c r="C1688" s="12" t="s">
        <v>2368</v>
      </c>
      <c r="D1688" s="12" t="s">
        <v>2368</v>
      </c>
      <c r="E1688" s="20">
        <v>1</v>
      </c>
      <c r="F1688" s="20">
        <v>44285</v>
      </c>
      <c r="G1688" s="12">
        <v>4.6100000000000003</v>
      </c>
      <c r="H1688" s="12">
        <v>9.1999999999999993</v>
      </c>
      <c r="I1688" s="13">
        <v>0.50108695652173896</v>
      </c>
      <c r="J1688" s="12" t="s">
        <v>816</v>
      </c>
      <c r="K1688" s="14">
        <v>1049</v>
      </c>
      <c r="L1688" s="14">
        <v>1105</v>
      </c>
      <c r="M1688" s="14">
        <v>1059</v>
      </c>
      <c r="N1688" s="12">
        <v>4.6100000000000003</v>
      </c>
      <c r="O1688" s="12" t="s">
        <v>816</v>
      </c>
      <c r="P1688" s="12">
        <v>7.4158080576534804E-4</v>
      </c>
      <c r="Q1688" s="12">
        <v>2.28171309467497E-3</v>
      </c>
      <c r="R1688" s="12">
        <v>0.13911290322580599</v>
      </c>
      <c r="S1688" s="14">
        <v>122</v>
      </c>
      <c r="T1688" s="12">
        <v>0.17041634863338601</v>
      </c>
      <c r="U1688" s="14">
        <v>1105</v>
      </c>
      <c r="V1688" s="14">
        <v>1</v>
      </c>
      <c r="W1688" s="12">
        <v>5.4999999999999997E-3</v>
      </c>
      <c r="X1688" s="12">
        <v>0.17591634863338601</v>
      </c>
      <c r="Y1688" s="14">
        <v>1105</v>
      </c>
      <c r="Z1688" s="14">
        <v>122</v>
      </c>
      <c r="AA1688" s="12" t="s">
        <v>2372</v>
      </c>
    </row>
    <row r="1689" spans="1:27" ht="14.25" x14ac:dyDescent="0.45">
      <c r="A1689" s="12" t="s">
        <v>829</v>
      </c>
      <c r="B1689" s="12" t="s">
        <v>2368</v>
      </c>
      <c r="C1689" s="12" t="s">
        <v>2368</v>
      </c>
      <c r="D1689" s="12" t="s">
        <v>2368</v>
      </c>
      <c r="E1689" s="20">
        <v>1</v>
      </c>
      <c r="F1689" s="20">
        <v>44279</v>
      </c>
      <c r="G1689" s="12">
        <v>2.46</v>
      </c>
      <c r="H1689" s="12">
        <v>9.4</v>
      </c>
      <c r="I1689" s="13">
        <v>0.26170212765957401</v>
      </c>
      <c r="J1689" s="12" t="s">
        <v>829</v>
      </c>
      <c r="K1689" s="14">
        <v>1263</v>
      </c>
      <c r="L1689" s="14">
        <v>1056</v>
      </c>
      <c r="M1689" s="14">
        <v>1282</v>
      </c>
      <c r="N1689" s="12">
        <v>2.46</v>
      </c>
      <c r="O1689" s="12" t="s">
        <v>829</v>
      </c>
      <c r="P1689" s="12">
        <v>3.9572424776198602E-4</v>
      </c>
      <c r="Q1689" s="12">
        <v>1.1916677610809901E-3</v>
      </c>
      <c r="R1689" s="12">
        <v>0.14213709677419401</v>
      </c>
      <c r="S1689" s="14">
        <v>122</v>
      </c>
      <c r="T1689" s="12">
        <v>8.9318894358636602E-2</v>
      </c>
      <c r="U1689" s="14">
        <v>1320</v>
      </c>
      <c r="V1689" s="14">
        <v>1</v>
      </c>
      <c r="W1689" s="12">
        <v>5.4999999999999997E-3</v>
      </c>
      <c r="X1689" s="12">
        <v>9.4818894358636593E-2</v>
      </c>
      <c r="Y1689" s="14">
        <v>1320</v>
      </c>
      <c r="Z1689" s="14">
        <v>122</v>
      </c>
      <c r="AA1689" s="12" t="s">
        <v>2372</v>
      </c>
    </row>
    <row r="1690" spans="1:27" ht="14.25" x14ac:dyDescent="0.45">
      <c r="A1690" s="12" t="s">
        <v>838</v>
      </c>
      <c r="B1690" s="12" t="s">
        <v>2368</v>
      </c>
      <c r="C1690" s="12" t="s">
        <v>2368</v>
      </c>
      <c r="D1690" s="12" t="s">
        <v>2368</v>
      </c>
      <c r="E1690" s="20">
        <v>1</v>
      </c>
      <c r="F1690" s="20">
        <v>44218</v>
      </c>
      <c r="G1690" s="12">
        <v>11.42</v>
      </c>
      <c r="H1690" s="12">
        <v>11.4333333333333</v>
      </c>
      <c r="I1690" s="13">
        <v>0.998833819241982</v>
      </c>
      <c r="J1690" s="12" t="s">
        <v>838</v>
      </c>
      <c r="K1690" s="14">
        <v>820</v>
      </c>
      <c r="L1690" s="14">
        <v>855</v>
      </c>
      <c r="M1690" s="14">
        <v>820</v>
      </c>
      <c r="N1690" s="12">
        <v>11.42</v>
      </c>
      <c r="O1690" s="12" t="s">
        <v>838</v>
      </c>
      <c r="P1690" s="12">
        <v>1.8370613453015799E-3</v>
      </c>
      <c r="Q1690" s="12">
        <v>4.5482169813170197E-3</v>
      </c>
      <c r="R1690" s="12">
        <v>0.172883064516129</v>
      </c>
      <c r="S1690" s="14">
        <v>122</v>
      </c>
      <c r="T1690" s="12">
        <v>0.353153361781123</v>
      </c>
      <c r="U1690" s="14">
        <v>868</v>
      </c>
      <c r="V1690" s="14">
        <v>6</v>
      </c>
      <c r="W1690" s="12">
        <v>6.0000000000000001E-3</v>
      </c>
      <c r="X1690" s="12">
        <v>0.359153361781123</v>
      </c>
      <c r="Y1690" s="14">
        <v>868</v>
      </c>
      <c r="Z1690" s="14">
        <v>122</v>
      </c>
      <c r="AA1690" s="12" t="s">
        <v>2372</v>
      </c>
    </row>
    <row r="1691" spans="1:27" ht="14.25" x14ac:dyDescent="0.45">
      <c r="A1691" s="12" t="s">
        <v>853</v>
      </c>
      <c r="B1691" s="12" t="s">
        <v>2368</v>
      </c>
      <c r="C1691" s="12" t="s">
        <v>2368</v>
      </c>
      <c r="D1691" s="12" t="s">
        <v>2368</v>
      </c>
      <c r="E1691" s="20">
        <v>1</v>
      </c>
      <c r="F1691" s="20">
        <v>44307</v>
      </c>
      <c r="G1691" s="12">
        <v>583.64</v>
      </c>
      <c r="H1691" s="12">
        <v>8.4666666666666703</v>
      </c>
      <c r="I1691" s="13">
        <v>68.933858267716502</v>
      </c>
      <c r="J1691" s="12" t="s">
        <v>853</v>
      </c>
      <c r="K1691" s="14">
        <v>34</v>
      </c>
      <c r="L1691" s="14">
        <v>1215</v>
      </c>
      <c r="M1691" s="14">
        <v>124</v>
      </c>
      <c r="N1691" s="12">
        <v>583.64</v>
      </c>
      <c r="O1691" s="12" t="s">
        <v>853</v>
      </c>
      <c r="P1691" s="12">
        <v>9.3886382099108004E-2</v>
      </c>
      <c r="Q1691" s="12">
        <v>0.313892199804433</v>
      </c>
      <c r="R1691" s="12">
        <v>0.12802419354838701</v>
      </c>
      <c r="S1691" s="14">
        <v>122</v>
      </c>
      <c r="T1691" s="12">
        <v>23.1390018164936</v>
      </c>
      <c r="U1691" s="14">
        <v>44</v>
      </c>
      <c r="V1691" s="14">
        <v>8</v>
      </c>
      <c r="W1691" s="12">
        <v>6.1999999999999998E-3</v>
      </c>
      <c r="X1691" s="12">
        <v>23.1452018164936</v>
      </c>
      <c r="Y1691" s="14">
        <v>44</v>
      </c>
      <c r="Z1691" s="14">
        <v>122</v>
      </c>
      <c r="AA1691" s="12" t="s">
        <v>2372</v>
      </c>
    </row>
    <row r="1692" spans="1:27" ht="14.25" x14ac:dyDescent="0.45">
      <c r="A1692" s="12" t="s">
        <v>854</v>
      </c>
      <c r="B1692" s="12" t="s">
        <v>2368</v>
      </c>
      <c r="C1692" s="12" t="s">
        <v>2368</v>
      </c>
      <c r="D1692" s="12" t="s">
        <v>2368</v>
      </c>
      <c r="E1692" s="20">
        <v>1</v>
      </c>
      <c r="F1692" s="20">
        <v>44299</v>
      </c>
      <c r="G1692" s="12">
        <v>2</v>
      </c>
      <c r="H1692" s="12">
        <v>8.7333333333333307</v>
      </c>
      <c r="I1692" s="13">
        <v>0.229007633587786</v>
      </c>
      <c r="J1692" s="12" t="s">
        <v>854</v>
      </c>
      <c r="K1692" s="14">
        <v>1306</v>
      </c>
      <c r="L1692" s="14">
        <v>1164</v>
      </c>
      <c r="M1692" s="14">
        <v>1359</v>
      </c>
      <c r="N1692" s="12">
        <v>2</v>
      </c>
      <c r="O1692" s="12" t="s">
        <v>854</v>
      </c>
      <c r="P1692" s="12">
        <v>3.2172703070080199E-4</v>
      </c>
      <c r="Q1692" s="12">
        <v>1.04279249247452E-3</v>
      </c>
      <c r="R1692" s="12">
        <v>0.132056451612903</v>
      </c>
      <c r="S1692" s="14">
        <v>122</v>
      </c>
      <c r="T1692" s="12">
        <v>7.7239294430937896E-2</v>
      </c>
      <c r="U1692" s="14">
        <v>1386</v>
      </c>
      <c r="V1692" s="14">
        <v>1</v>
      </c>
      <c r="W1692" s="12">
        <v>5.4999999999999997E-3</v>
      </c>
      <c r="X1692" s="12">
        <v>8.2739294430937901E-2</v>
      </c>
      <c r="Y1692" s="14">
        <v>1386</v>
      </c>
      <c r="Z1692" s="14">
        <v>122</v>
      </c>
      <c r="AA1692" s="12" t="s">
        <v>2372</v>
      </c>
    </row>
    <row r="1693" spans="1:27" ht="14.25" x14ac:dyDescent="0.45">
      <c r="A1693" s="12" t="s">
        <v>857</v>
      </c>
      <c r="B1693" s="12" t="s">
        <v>2368</v>
      </c>
      <c r="C1693" s="12" t="s">
        <v>2368</v>
      </c>
      <c r="D1693" s="12" t="s">
        <v>2368</v>
      </c>
      <c r="E1693" s="20">
        <v>1</v>
      </c>
      <c r="F1693" s="20">
        <v>43882</v>
      </c>
      <c r="G1693" s="12">
        <v>2.2999999999999998</v>
      </c>
      <c r="H1693" s="12">
        <v>22.633333333333301</v>
      </c>
      <c r="I1693" s="13">
        <v>0.101620029455081</v>
      </c>
      <c r="J1693" s="12" t="s">
        <v>857</v>
      </c>
      <c r="K1693" s="14">
        <v>1492</v>
      </c>
      <c r="L1693" s="14">
        <v>416</v>
      </c>
      <c r="M1693" s="14">
        <v>1305</v>
      </c>
      <c r="N1693" s="12">
        <v>2.2999999999999998</v>
      </c>
      <c r="O1693" s="12" t="s">
        <v>857</v>
      </c>
      <c r="P1693" s="12">
        <v>3.6998608530592199E-4</v>
      </c>
      <c r="Q1693" s="12">
        <v>4.6272956993015401E-4</v>
      </c>
      <c r="R1693" s="12">
        <v>0.34223790322580599</v>
      </c>
      <c r="S1693" s="14">
        <v>122</v>
      </c>
      <c r="T1693" s="12">
        <v>4.2795076319606697E-2</v>
      </c>
      <c r="U1693" s="14">
        <v>1548</v>
      </c>
      <c r="V1693" s="14">
        <v>1</v>
      </c>
      <c r="W1693" s="12">
        <v>5.4999999999999997E-3</v>
      </c>
      <c r="X1693" s="12">
        <v>4.8295076319606701E-2</v>
      </c>
      <c r="Y1693" s="14">
        <v>1549</v>
      </c>
      <c r="Z1693" s="14">
        <v>122</v>
      </c>
      <c r="AA1693" s="12" t="s">
        <v>2372</v>
      </c>
    </row>
    <row r="1694" spans="1:27" ht="14.25" x14ac:dyDescent="0.45">
      <c r="A1694" s="12" t="s">
        <v>880</v>
      </c>
      <c r="B1694" s="12" t="s">
        <v>2368</v>
      </c>
      <c r="C1694" s="12" t="s">
        <v>2368</v>
      </c>
      <c r="D1694" s="12" t="s">
        <v>2368</v>
      </c>
      <c r="E1694" s="20">
        <v>1</v>
      </c>
      <c r="F1694" s="20">
        <v>44305</v>
      </c>
      <c r="G1694" s="12">
        <v>2</v>
      </c>
      <c r="H1694" s="12">
        <v>8.5333333333333297</v>
      </c>
      <c r="I1694" s="13">
        <v>0.234375</v>
      </c>
      <c r="J1694" s="12" t="s">
        <v>880</v>
      </c>
      <c r="K1694" s="14">
        <v>1303</v>
      </c>
      <c r="L1694" s="14">
        <v>1193</v>
      </c>
      <c r="M1694" s="14">
        <v>1359</v>
      </c>
      <c r="N1694" s="12">
        <v>2</v>
      </c>
      <c r="O1694" s="12" t="s">
        <v>880</v>
      </c>
      <c r="P1694" s="12">
        <v>3.2172703070080199E-4</v>
      </c>
      <c r="Q1694" s="12">
        <v>1.0672329415169E-3</v>
      </c>
      <c r="R1694" s="12">
        <v>0.12903225806451599</v>
      </c>
      <c r="S1694" s="14">
        <v>122</v>
      </c>
      <c r="T1694" s="12">
        <v>7.8766822496086103E-2</v>
      </c>
      <c r="U1694" s="14">
        <v>1370</v>
      </c>
      <c r="V1694" s="14">
        <v>1</v>
      </c>
      <c r="W1694" s="12">
        <v>5.4999999999999997E-3</v>
      </c>
      <c r="X1694" s="12">
        <v>8.4266822496086094E-2</v>
      </c>
      <c r="Y1694" s="14">
        <v>1370</v>
      </c>
      <c r="Z1694" s="14">
        <v>122</v>
      </c>
      <c r="AA1694" s="12" t="s">
        <v>2372</v>
      </c>
    </row>
    <row r="1695" spans="1:27" ht="14.25" x14ac:dyDescent="0.45">
      <c r="A1695" s="12" t="s">
        <v>882</v>
      </c>
      <c r="B1695" s="12" t="s">
        <v>2368</v>
      </c>
      <c r="C1695" s="12" t="s">
        <v>2368</v>
      </c>
      <c r="D1695" s="12" t="s">
        <v>2368</v>
      </c>
      <c r="E1695" s="20">
        <v>1</v>
      </c>
      <c r="F1695" s="20">
        <v>44274</v>
      </c>
      <c r="G1695" s="12">
        <v>0.83</v>
      </c>
      <c r="H1695" s="12">
        <v>9.56666666666667</v>
      </c>
      <c r="I1695" s="13">
        <v>8.6759581881533099E-2</v>
      </c>
      <c r="J1695" s="12" t="s">
        <v>882</v>
      </c>
      <c r="K1695" s="14">
        <v>1530</v>
      </c>
      <c r="L1695" s="14">
        <v>1036</v>
      </c>
      <c r="M1695" s="14">
        <v>1593</v>
      </c>
      <c r="N1695" s="12">
        <v>0.83</v>
      </c>
      <c r="O1695" s="12" t="s">
        <v>882</v>
      </c>
      <c r="P1695" s="12">
        <v>1.3351671774083299E-4</v>
      </c>
      <c r="Q1695" s="12">
        <v>3.9506211744513999E-4</v>
      </c>
      <c r="R1695" s="12">
        <v>0.14465725806451599</v>
      </c>
      <c r="S1695" s="14">
        <v>122</v>
      </c>
      <c r="T1695" s="12">
        <v>2.9698259255602499E-2</v>
      </c>
      <c r="U1695" s="14">
        <v>1621</v>
      </c>
      <c r="V1695" s="14">
        <v>2</v>
      </c>
      <c r="W1695" s="12">
        <v>5.5999999999999999E-3</v>
      </c>
      <c r="X1695" s="12">
        <v>3.5298259255602503E-2</v>
      </c>
      <c r="Y1695" s="14">
        <v>1622</v>
      </c>
      <c r="Z1695" s="14">
        <v>122</v>
      </c>
      <c r="AA1695" s="12" t="s">
        <v>2372</v>
      </c>
    </row>
    <row r="1696" spans="1:27" ht="14.25" x14ac:dyDescent="0.45">
      <c r="A1696" s="12" t="s">
        <v>885</v>
      </c>
      <c r="B1696" s="12" t="s">
        <v>2368</v>
      </c>
      <c r="C1696" s="12" t="s">
        <v>2368</v>
      </c>
      <c r="D1696" s="12" t="s">
        <v>2368</v>
      </c>
      <c r="E1696" s="20">
        <v>1</v>
      </c>
      <c r="F1696" s="20">
        <v>44193</v>
      </c>
      <c r="G1696" s="12">
        <v>0.93</v>
      </c>
      <c r="H1696" s="12">
        <v>12.266666666666699</v>
      </c>
      <c r="I1696" s="13">
        <v>7.5815217391304299E-2</v>
      </c>
      <c r="J1696" s="12" t="s">
        <v>885</v>
      </c>
      <c r="K1696" s="14">
        <v>1550</v>
      </c>
      <c r="L1696" s="14">
        <v>744</v>
      </c>
      <c r="M1696" s="14">
        <v>1573</v>
      </c>
      <c r="N1696" s="12">
        <v>0.93</v>
      </c>
      <c r="O1696" s="12" t="s">
        <v>885</v>
      </c>
      <c r="P1696" s="12">
        <v>1.4960306927587301E-4</v>
      </c>
      <c r="Q1696" s="12">
        <v>3.45226655864596E-4</v>
      </c>
      <c r="R1696" s="12">
        <v>0.18548387096774199</v>
      </c>
      <c r="S1696" s="14">
        <v>122</v>
      </c>
      <c r="T1696" s="12">
        <v>2.7186781089382502E-2</v>
      </c>
      <c r="U1696" s="14">
        <v>1645</v>
      </c>
      <c r="V1696" s="14">
        <v>1</v>
      </c>
      <c r="W1696" s="12">
        <v>5.4999999999999997E-3</v>
      </c>
      <c r="X1696" s="12">
        <v>3.2686781089382499E-2</v>
      </c>
      <c r="Y1696" s="14">
        <v>1645</v>
      </c>
      <c r="Z1696" s="14">
        <v>122</v>
      </c>
      <c r="AA1696" s="12" t="s">
        <v>2372</v>
      </c>
    </row>
    <row r="1697" spans="1:27" ht="14.25" x14ac:dyDescent="0.45">
      <c r="A1697" s="12" t="s">
        <v>891</v>
      </c>
      <c r="B1697" s="12" t="s">
        <v>2368</v>
      </c>
      <c r="C1697" s="12" t="s">
        <v>2368</v>
      </c>
      <c r="D1697" s="12" t="s">
        <v>2368</v>
      </c>
      <c r="E1697" s="20">
        <v>1</v>
      </c>
      <c r="F1697" s="20">
        <v>44291</v>
      </c>
      <c r="G1697" s="12">
        <v>2.82</v>
      </c>
      <c r="H1697" s="12">
        <v>9</v>
      </c>
      <c r="I1697" s="13">
        <v>0.31333333333333302</v>
      </c>
      <c r="J1697" s="12" t="s">
        <v>891</v>
      </c>
      <c r="K1697" s="14">
        <v>1215</v>
      </c>
      <c r="L1697" s="14">
        <v>1137</v>
      </c>
      <c r="M1697" s="14">
        <v>1247</v>
      </c>
      <c r="N1697" s="12">
        <v>2.82</v>
      </c>
      <c r="O1697" s="12" t="s">
        <v>891</v>
      </c>
      <c r="P1697" s="12">
        <v>4.5363511328813102E-4</v>
      </c>
      <c r="Q1697" s="12">
        <v>1.42677186137014E-3</v>
      </c>
      <c r="R1697" s="12">
        <v>0.13608870967741901</v>
      </c>
      <c r="S1697" s="14">
        <v>122</v>
      </c>
      <c r="T1697" s="12">
        <v>0.10618455808393901</v>
      </c>
      <c r="U1697" s="14">
        <v>1273</v>
      </c>
      <c r="V1697" s="14">
        <v>2</v>
      </c>
      <c r="W1697" s="12">
        <v>5.5999999999999999E-3</v>
      </c>
      <c r="X1697" s="12">
        <v>0.111784558083939</v>
      </c>
      <c r="Y1697" s="14">
        <v>1273</v>
      </c>
      <c r="Z1697" s="14">
        <v>122</v>
      </c>
      <c r="AA1697" s="12" t="s">
        <v>2372</v>
      </c>
    </row>
    <row r="1698" spans="1:27" ht="14.25" x14ac:dyDescent="0.45">
      <c r="A1698" s="12" t="s">
        <v>899</v>
      </c>
      <c r="B1698" s="12" t="s">
        <v>2368</v>
      </c>
      <c r="C1698" s="12" t="s">
        <v>2368</v>
      </c>
      <c r="D1698" s="12" t="s">
        <v>2368</v>
      </c>
      <c r="E1698" s="20">
        <v>1</v>
      </c>
      <c r="F1698" s="20">
        <v>44180</v>
      </c>
      <c r="G1698" s="12">
        <v>76.77</v>
      </c>
      <c r="H1698" s="12">
        <v>12.7</v>
      </c>
      <c r="I1698" s="13">
        <v>6.0448818897637802</v>
      </c>
      <c r="J1698" s="12" t="s">
        <v>899</v>
      </c>
      <c r="K1698" s="14">
        <v>407</v>
      </c>
      <c r="L1698" s="14">
        <v>704</v>
      </c>
      <c r="M1698" s="14">
        <v>412</v>
      </c>
      <c r="N1698" s="12">
        <v>76.77</v>
      </c>
      <c r="O1698" s="12" t="s">
        <v>899</v>
      </c>
      <c r="P1698" s="12">
        <v>1.23494920734503E-2</v>
      </c>
      <c r="Q1698" s="12">
        <v>2.75255342094285E-2</v>
      </c>
      <c r="R1698" s="12">
        <v>0.19203629032258099</v>
      </c>
      <c r="S1698" s="14">
        <v>122</v>
      </c>
      <c r="T1698" s="12">
        <v>2.1834518408436701</v>
      </c>
      <c r="U1698" s="14">
        <v>427</v>
      </c>
      <c r="V1698" s="14">
        <v>3</v>
      </c>
      <c r="W1698" s="12">
        <v>5.7000000000000002E-3</v>
      </c>
      <c r="X1698" s="12">
        <v>2.1891518408436701</v>
      </c>
      <c r="Y1698" s="14">
        <v>427</v>
      </c>
      <c r="Z1698" s="14">
        <v>122</v>
      </c>
      <c r="AA1698" s="12" t="s">
        <v>2372</v>
      </c>
    </row>
    <row r="1699" spans="1:27" ht="14.25" x14ac:dyDescent="0.45">
      <c r="A1699" s="12" t="s">
        <v>900</v>
      </c>
      <c r="B1699" s="12" t="s">
        <v>2368</v>
      </c>
      <c r="C1699" s="12" t="s">
        <v>2368</v>
      </c>
      <c r="D1699" s="12" t="s">
        <v>2368</v>
      </c>
      <c r="E1699" s="20">
        <v>1</v>
      </c>
      <c r="F1699" s="20">
        <v>44299</v>
      </c>
      <c r="G1699" s="12">
        <v>43.66</v>
      </c>
      <c r="H1699" s="12">
        <v>8.7333333333333307</v>
      </c>
      <c r="I1699" s="13">
        <v>4.99923664122137</v>
      </c>
      <c r="J1699" s="12" t="s">
        <v>900</v>
      </c>
      <c r="K1699" s="14">
        <v>445</v>
      </c>
      <c r="L1699" s="14">
        <v>1164</v>
      </c>
      <c r="M1699" s="14">
        <v>502</v>
      </c>
      <c r="N1699" s="12">
        <v>43.66</v>
      </c>
      <c r="O1699" s="12" t="s">
        <v>900</v>
      </c>
      <c r="P1699" s="12">
        <v>7.0233010801984998E-3</v>
      </c>
      <c r="Q1699" s="12">
        <v>2.2764160110718901E-2</v>
      </c>
      <c r="R1699" s="12">
        <v>0.132056451612903</v>
      </c>
      <c r="S1699" s="14">
        <v>122</v>
      </c>
      <c r="T1699" s="12">
        <v>1.68613379742737</v>
      </c>
      <c r="U1699" s="14">
        <v>465</v>
      </c>
      <c r="V1699" s="14">
        <v>2</v>
      </c>
      <c r="W1699" s="12">
        <v>5.5999999999999999E-3</v>
      </c>
      <c r="X1699" s="12">
        <v>1.6917337974273701</v>
      </c>
      <c r="Y1699" s="14">
        <v>465</v>
      </c>
      <c r="Z1699" s="14">
        <v>122</v>
      </c>
      <c r="AA1699" s="12" t="s">
        <v>2372</v>
      </c>
    </row>
    <row r="1700" spans="1:27" ht="14.25" x14ac:dyDescent="0.45">
      <c r="A1700" s="12" t="s">
        <v>959</v>
      </c>
      <c r="B1700" s="12" t="s">
        <v>2368</v>
      </c>
      <c r="C1700" s="12" t="s">
        <v>2368</v>
      </c>
      <c r="D1700" s="12" t="s">
        <v>2368</v>
      </c>
      <c r="E1700" s="20">
        <v>1</v>
      </c>
      <c r="F1700" s="20">
        <v>44277</v>
      </c>
      <c r="G1700" s="12">
        <v>4.08</v>
      </c>
      <c r="H1700" s="12">
        <v>9.4666666666666703</v>
      </c>
      <c r="I1700" s="13">
        <v>0.430985915492958</v>
      </c>
      <c r="J1700" s="12" t="s">
        <v>959</v>
      </c>
      <c r="K1700" s="14">
        <v>1118</v>
      </c>
      <c r="L1700" s="14">
        <v>1046</v>
      </c>
      <c r="M1700" s="14">
        <v>1111</v>
      </c>
      <c r="N1700" s="12">
        <v>4.08</v>
      </c>
      <c r="O1700" s="12" t="s">
        <v>959</v>
      </c>
      <c r="P1700" s="12">
        <v>6.5632314262963596E-4</v>
      </c>
      <c r="Q1700" s="12">
        <v>1.9625060964006502E-3</v>
      </c>
      <c r="R1700" s="12">
        <v>0.14314516129032301</v>
      </c>
      <c r="S1700" s="14">
        <v>122</v>
      </c>
      <c r="T1700" s="12">
        <v>0.14726874887365199</v>
      </c>
      <c r="U1700" s="14">
        <v>1165</v>
      </c>
      <c r="V1700" s="14">
        <v>1</v>
      </c>
      <c r="W1700" s="12">
        <v>5.4999999999999997E-3</v>
      </c>
      <c r="X1700" s="12">
        <v>0.15276874887365199</v>
      </c>
      <c r="Y1700" s="14">
        <v>1165</v>
      </c>
      <c r="Z1700" s="14">
        <v>122</v>
      </c>
      <c r="AA1700" s="12" t="s">
        <v>2372</v>
      </c>
    </row>
    <row r="1701" spans="1:27" ht="14.25" x14ac:dyDescent="0.45">
      <c r="A1701" s="12" t="s">
        <v>971</v>
      </c>
      <c r="B1701" s="12" t="s">
        <v>2368</v>
      </c>
      <c r="C1701" s="12" t="s">
        <v>2368</v>
      </c>
      <c r="D1701" s="12" t="s">
        <v>2368</v>
      </c>
      <c r="E1701" s="20">
        <v>1</v>
      </c>
      <c r="F1701" s="20">
        <v>44182</v>
      </c>
      <c r="G1701" s="12">
        <v>4.2</v>
      </c>
      <c r="H1701" s="12">
        <v>12.633333333333301</v>
      </c>
      <c r="I1701" s="13">
        <v>0.33245382585751998</v>
      </c>
      <c r="J1701" s="12" t="s">
        <v>971</v>
      </c>
      <c r="K1701" s="14">
        <v>1204</v>
      </c>
      <c r="L1701" s="14">
        <v>714</v>
      </c>
      <c r="M1701" s="14">
        <v>1098</v>
      </c>
      <c r="N1701" s="12">
        <v>4.2</v>
      </c>
      <c r="O1701" s="12" t="s">
        <v>971</v>
      </c>
      <c r="P1701" s="12">
        <v>6.7562676447168401E-4</v>
      </c>
      <c r="Q1701" s="12">
        <v>1.51383754448413E-3</v>
      </c>
      <c r="R1701" s="12">
        <v>0.19102822580645201</v>
      </c>
      <c r="S1701" s="14">
        <v>122</v>
      </c>
      <c r="T1701" s="12">
        <v>0.119950850197946</v>
      </c>
      <c r="U1701" s="14">
        <v>1231</v>
      </c>
      <c r="V1701" s="14">
        <v>1</v>
      </c>
      <c r="W1701" s="12">
        <v>5.4999999999999997E-3</v>
      </c>
      <c r="X1701" s="12">
        <v>0.125450850197946</v>
      </c>
      <c r="Y1701" s="14">
        <v>1231</v>
      </c>
      <c r="Z1701" s="14">
        <v>122</v>
      </c>
      <c r="AA1701" s="12" t="s">
        <v>2372</v>
      </c>
    </row>
    <row r="1702" spans="1:27" ht="14.25" x14ac:dyDescent="0.45">
      <c r="A1702" s="12" t="s">
        <v>981</v>
      </c>
      <c r="B1702" s="12" t="s">
        <v>2368</v>
      </c>
      <c r="C1702" s="12" t="s">
        <v>2368</v>
      </c>
      <c r="D1702" s="12" t="s">
        <v>2368</v>
      </c>
      <c r="E1702" s="20">
        <v>1</v>
      </c>
      <c r="F1702" s="20">
        <v>44301</v>
      </c>
      <c r="G1702" s="12">
        <v>2</v>
      </c>
      <c r="H1702" s="12">
        <v>8.6666666666666696</v>
      </c>
      <c r="I1702" s="13">
        <v>0.230769230769231</v>
      </c>
      <c r="J1702" s="12" t="s">
        <v>981</v>
      </c>
      <c r="K1702" s="14">
        <v>1304</v>
      </c>
      <c r="L1702" s="14">
        <v>1179</v>
      </c>
      <c r="M1702" s="14">
        <v>1359</v>
      </c>
      <c r="N1702" s="12">
        <v>2</v>
      </c>
      <c r="O1702" s="12" t="s">
        <v>981</v>
      </c>
      <c r="P1702" s="12">
        <v>3.2172703070080199E-4</v>
      </c>
      <c r="Q1702" s="12">
        <v>1.05081397318587E-3</v>
      </c>
      <c r="R1702" s="12">
        <v>0.13104838709677399</v>
      </c>
      <c r="S1702" s="14">
        <v>122</v>
      </c>
      <c r="T1702" s="12">
        <v>7.7740636975396807E-2</v>
      </c>
      <c r="U1702" s="14">
        <v>1377</v>
      </c>
      <c r="V1702" s="14">
        <v>1</v>
      </c>
      <c r="W1702" s="12">
        <v>5.4999999999999997E-3</v>
      </c>
      <c r="X1702" s="12">
        <v>8.3240636975396798E-2</v>
      </c>
      <c r="Y1702" s="14">
        <v>1377</v>
      </c>
      <c r="Z1702" s="14">
        <v>122</v>
      </c>
      <c r="AA1702" s="12" t="s">
        <v>2372</v>
      </c>
    </row>
    <row r="1703" spans="1:27" ht="14.25" x14ac:dyDescent="0.45">
      <c r="A1703" s="12" t="s">
        <v>1000</v>
      </c>
      <c r="B1703" s="12" t="s">
        <v>2368</v>
      </c>
      <c r="C1703" s="12" t="s">
        <v>2368</v>
      </c>
      <c r="D1703" s="12" t="s">
        <v>2368</v>
      </c>
      <c r="E1703" s="20">
        <v>1</v>
      </c>
      <c r="F1703" s="20">
        <v>44313</v>
      </c>
      <c r="G1703" s="12">
        <v>0.09</v>
      </c>
      <c r="H1703" s="12">
        <v>8.2666666666666693</v>
      </c>
      <c r="I1703" s="13">
        <v>1.08870967741935E-2</v>
      </c>
      <c r="J1703" s="12" t="s">
        <v>1000</v>
      </c>
      <c r="K1703" s="14">
        <v>1740</v>
      </c>
      <c r="L1703" s="14">
        <v>1231</v>
      </c>
      <c r="M1703" s="14">
        <v>1839</v>
      </c>
      <c r="N1703" s="12">
        <v>0.09</v>
      </c>
      <c r="O1703" s="12" t="s">
        <v>1000</v>
      </c>
      <c r="P1703" s="12">
        <v>1.44777163815361E-5</v>
      </c>
      <c r="Q1703" s="12">
        <v>4.9574691476913898E-5</v>
      </c>
      <c r="R1703" s="12">
        <v>0.125</v>
      </c>
      <c r="S1703" s="14">
        <v>122</v>
      </c>
      <c r="T1703" s="12">
        <v>3.6413325816147201E-3</v>
      </c>
      <c r="U1703" s="14">
        <v>1845</v>
      </c>
      <c r="V1703" s="14">
        <v>1</v>
      </c>
      <c r="W1703" s="12">
        <v>5.4999999999999997E-3</v>
      </c>
      <c r="X1703" s="12">
        <v>9.1413325816147202E-3</v>
      </c>
      <c r="Y1703" s="14">
        <v>1845</v>
      </c>
      <c r="Z1703" s="14">
        <v>122</v>
      </c>
      <c r="AA1703" s="12" t="s">
        <v>2372</v>
      </c>
    </row>
    <row r="1704" spans="1:27" ht="14.25" x14ac:dyDescent="0.45">
      <c r="A1704" s="12" t="s">
        <v>1012</v>
      </c>
      <c r="B1704" s="12" t="s">
        <v>2368</v>
      </c>
      <c r="C1704" s="12" t="s">
        <v>2368</v>
      </c>
      <c r="D1704" s="12" t="s">
        <v>2368</v>
      </c>
      <c r="E1704" s="20">
        <v>1</v>
      </c>
      <c r="F1704" s="20">
        <v>44273</v>
      </c>
      <c r="G1704" s="12">
        <v>2</v>
      </c>
      <c r="H1704" s="12">
        <v>9.6</v>
      </c>
      <c r="I1704" s="13">
        <v>0.20833333333333301</v>
      </c>
      <c r="J1704" s="12" t="s">
        <v>1012</v>
      </c>
      <c r="K1704" s="14">
        <v>1337</v>
      </c>
      <c r="L1704" s="14">
        <v>1029</v>
      </c>
      <c r="M1704" s="14">
        <v>1359</v>
      </c>
      <c r="N1704" s="12">
        <v>2</v>
      </c>
      <c r="O1704" s="12" t="s">
        <v>1012</v>
      </c>
      <c r="P1704" s="12">
        <v>3.2172703070080199E-4</v>
      </c>
      <c r="Q1704" s="12">
        <v>9.48651503570575E-4</v>
      </c>
      <c r="R1704" s="12">
        <v>0.14516129032258099</v>
      </c>
      <c r="S1704" s="14">
        <v>122</v>
      </c>
      <c r="T1704" s="12">
        <v>7.1355482624440997E-2</v>
      </c>
      <c r="U1704" s="14">
        <v>1434</v>
      </c>
      <c r="V1704" s="14">
        <v>1</v>
      </c>
      <c r="W1704" s="12">
        <v>5.4999999999999997E-3</v>
      </c>
      <c r="X1704" s="12">
        <v>7.6855482624441002E-2</v>
      </c>
      <c r="Y1704" s="14">
        <v>1434</v>
      </c>
      <c r="Z1704" s="14">
        <v>122</v>
      </c>
      <c r="AA1704" s="12" t="s">
        <v>2372</v>
      </c>
    </row>
    <row r="1705" spans="1:27" ht="14.25" x14ac:dyDescent="0.45">
      <c r="A1705" s="12" t="s">
        <v>1016</v>
      </c>
      <c r="B1705" s="12" t="s">
        <v>2368</v>
      </c>
      <c r="C1705" s="12" t="s">
        <v>2368</v>
      </c>
      <c r="D1705" s="12" t="s">
        <v>2368</v>
      </c>
      <c r="E1705" s="20">
        <v>1</v>
      </c>
      <c r="F1705" s="20">
        <v>44328</v>
      </c>
      <c r="G1705" s="12">
        <v>2.09</v>
      </c>
      <c r="H1705" s="12">
        <v>7.7666666666666702</v>
      </c>
      <c r="I1705" s="13">
        <v>0.26909871244635197</v>
      </c>
      <c r="J1705" s="12" t="s">
        <v>1016</v>
      </c>
      <c r="K1705" s="14">
        <v>1257</v>
      </c>
      <c r="L1705" s="14">
        <v>1260</v>
      </c>
      <c r="M1705" s="14">
        <v>1342</v>
      </c>
      <c r="N1705" s="12">
        <v>2.09</v>
      </c>
      <c r="O1705" s="12" t="s">
        <v>1016</v>
      </c>
      <c r="P1705" s="12">
        <v>3.3620474708233799E-4</v>
      </c>
      <c r="Q1705" s="12">
        <v>1.2253483112214601E-3</v>
      </c>
      <c r="R1705" s="12">
        <v>0.117439516129032</v>
      </c>
      <c r="S1705" s="14">
        <v>122</v>
      </c>
      <c r="T1705" s="12">
        <v>8.9191947466928906E-2</v>
      </c>
      <c r="U1705" s="14">
        <v>1321</v>
      </c>
      <c r="V1705" s="14">
        <v>1</v>
      </c>
      <c r="W1705" s="12">
        <v>5.4999999999999997E-3</v>
      </c>
      <c r="X1705" s="12">
        <v>9.4691947466928897E-2</v>
      </c>
      <c r="Y1705" s="14">
        <v>1322</v>
      </c>
      <c r="Z1705" s="14">
        <v>122</v>
      </c>
      <c r="AA1705" s="12" t="s">
        <v>2372</v>
      </c>
    </row>
    <row r="1706" spans="1:27" ht="14.25" x14ac:dyDescent="0.45">
      <c r="A1706" s="12" t="s">
        <v>1022</v>
      </c>
      <c r="B1706" s="12" t="s">
        <v>2368</v>
      </c>
      <c r="C1706" s="12" t="s">
        <v>2368</v>
      </c>
      <c r="D1706" s="12" t="s">
        <v>2368</v>
      </c>
      <c r="E1706" s="20">
        <v>1</v>
      </c>
      <c r="F1706" s="20">
        <v>44334</v>
      </c>
      <c r="G1706" s="12">
        <v>2</v>
      </c>
      <c r="H1706" s="12">
        <v>7.56666666666667</v>
      </c>
      <c r="I1706" s="13">
        <v>0.26431718061673998</v>
      </c>
      <c r="J1706" s="12" t="s">
        <v>1022</v>
      </c>
      <c r="K1706" s="14">
        <v>1261</v>
      </c>
      <c r="L1706" s="14">
        <v>1269</v>
      </c>
      <c r="M1706" s="14">
        <v>1359</v>
      </c>
      <c r="N1706" s="12">
        <v>2</v>
      </c>
      <c r="O1706" s="12" t="s">
        <v>1022</v>
      </c>
      <c r="P1706" s="12">
        <v>3.2172703070080199E-4</v>
      </c>
      <c r="Q1706" s="12">
        <v>1.2035754758957099E-3</v>
      </c>
      <c r="R1706" s="12">
        <v>0.114415322580645</v>
      </c>
      <c r="S1706" s="14">
        <v>122</v>
      </c>
      <c r="T1706" s="12">
        <v>8.7288230894761801E-2</v>
      </c>
      <c r="U1706" s="14">
        <v>1326</v>
      </c>
      <c r="V1706" s="14">
        <v>1</v>
      </c>
      <c r="W1706" s="12">
        <v>5.4999999999999997E-3</v>
      </c>
      <c r="X1706" s="12">
        <v>9.2788230894761806E-2</v>
      </c>
      <c r="Y1706" s="14">
        <v>1326</v>
      </c>
      <c r="Z1706" s="14">
        <v>122</v>
      </c>
      <c r="AA1706" s="12" t="s">
        <v>2372</v>
      </c>
    </row>
    <row r="1707" spans="1:27" ht="14.25" x14ac:dyDescent="0.45">
      <c r="A1707" s="12" t="s">
        <v>1023</v>
      </c>
      <c r="B1707" s="12" t="s">
        <v>2368</v>
      </c>
      <c r="C1707" s="12" t="s">
        <v>2368</v>
      </c>
      <c r="D1707" s="12" t="s">
        <v>2368</v>
      </c>
      <c r="E1707" s="20">
        <v>1</v>
      </c>
      <c r="F1707" s="20">
        <v>43882</v>
      </c>
      <c r="G1707" s="12">
        <v>22.37</v>
      </c>
      <c r="H1707" s="12">
        <v>22.633333333333301</v>
      </c>
      <c r="I1707" s="13">
        <v>0.98836524300441797</v>
      </c>
      <c r="J1707" s="12" t="s">
        <v>1023</v>
      </c>
      <c r="K1707" s="14">
        <v>824</v>
      </c>
      <c r="L1707" s="14">
        <v>416</v>
      </c>
      <c r="M1707" s="14">
        <v>705</v>
      </c>
      <c r="N1707" s="12">
        <v>22.37</v>
      </c>
      <c r="O1707" s="12" t="s">
        <v>1023</v>
      </c>
      <c r="P1707" s="12">
        <v>3.5985168383884701E-3</v>
      </c>
      <c r="Q1707" s="12">
        <v>4.50054803449458E-3</v>
      </c>
      <c r="R1707" s="12">
        <v>0.34223790322580599</v>
      </c>
      <c r="S1707" s="14">
        <v>122</v>
      </c>
      <c r="T1707" s="12">
        <v>0.41622863359547901</v>
      </c>
      <c r="U1707" s="14">
        <v>816</v>
      </c>
      <c r="V1707" s="14">
        <v>2</v>
      </c>
      <c r="W1707" s="12">
        <v>5.5999999999999999E-3</v>
      </c>
      <c r="X1707" s="12">
        <v>0.42182863359547901</v>
      </c>
      <c r="Y1707" s="14">
        <v>816</v>
      </c>
      <c r="Z1707" s="14">
        <v>122</v>
      </c>
      <c r="AA1707" s="12" t="s">
        <v>2372</v>
      </c>
    </row>
    <row r="1708" spans="1:27" ht="14.25" x14ac:dyDescent="0.45">
      <c r="A1708" s="12" t="s">
        <v>1024</v>
      </c>
      <c r="B1708" s="12" t="s">
        <v>2368</v>
      </c>
      <c r="C1708" s="12" t="s">
        <v>2368</v>
      </c>
      <c r="D1708" s="12" t="s">
        <v>2368</v>
      </c>
      <c r="E1708" s="20">
        <v>1</v>
      </c>
      <c r="F1708" s="20">
        <v>44336</v>
      </c>
      <c r="G1708" s="12">
        <v>2.95</v>
      </c>
      <c r="H1708" s="12">
        <v>7.5</v>
      </c>
      <c r="I1708" s="13">
        <v>0.39333333333333298</v>
      </c>
      <c r="J1708" s="12" t="s">
        <v>1024</v>
      </c>
      <c r="K1708" s="14">
        <v>1144</v>
      </c>
      <c r="L1708" s="14">
        <v>1377</v>
      </c>
      <c r="M1708" s="14">
        <v>1236</v>
      </c>
      <c r="N1708" s="12">
        <v>2.95</v>
      </c>
      <c r="O1708" s="12" t="s">
        <v>1024</v>
      </c>
      <c r="P1708" s="12">
        <v>4.7454737028368302E-4</v>
      </c>
      <c r="Q1708" s="12">
        <v>1.7910540387412401E-3</v>
      </c>
      <c r="R1708" s="12">
        <v>0.113407258064516</v>
      </c>
      <c r="S1708" s="14">
        <v>122</v>
      </c>
      <c r="T1708" s="12">
        <v>0.12973640380696599</v>
      </c>
      <c r="U1708" s="14">
        <v>1205</v>
      </c>
      <c r="V1708" s="14">
        <v>2</v>
      </c>
      <c r="W1708" s="12">
        <v>5.5999999999999999E-3</v>
      </c>
      <c r="X1708" s="12">
        <v>0.13533640380696599</v>
      </c>
      <c r="Y1708" s="14">
        <v>1205</v>
      </c>
      <c r="Z1708" s="14">
        <v>122</v>
      </c>
      <c r="AA1708" s="12" t="s">
        <v>2372</v>
      </c>
    </row>
    <row r="1709" spans="1:27" ht="14.25" x14ac:dyDescent="0.45">
      <c r="A1709" s="12" t="s">
        <v>1028</v>
      </c>
      <c r="B1709" s="12" t="s">
        <v>2368</v>
      </c>
      <c r="C1709" s="12" t="s">
        <v>2368</v>
      </c>
      <c r="D1709" s="12" t="s">
        <v>2368</v>
      </c>
      <c r="E1709" s="20">
        <v>1</v>
      </c>
      <c r="F1709" s="20">
        <v>44340</v>
      </c>
      <c r="G1709" s="12">
        <v>6.96</v>
      </c>
      <c r="H1709" s="12">
        <v>7.3666666666666698</v>
      </c>
      <c r="I1709" s="13">
        <v>0.94479638009049804</v>
      </c>
      <c r="J1709" s="12" t="s">
        <v>1028</v>
      </c>
      <c r="K1709" s="14">
        <v>841</v>
      </c>
      <c r="L1709" s="14">
        <v>1469</v>
      </c>
      <c r="M1709" s="14">
        <v>924</v>
      </c>
      <c r="N1709" s="12">
        <v>6.96</v>
      </c>
      <c r="O1709" s="12" t="s">
        <v>1028</v>
      </c>
      <c r="P1709" s="12">
        <v>1.11961006683879E-3</v>
      </c>
      <c r="Q1709" s="12">
        <v>4.3021560313962603E-3</v>
      </c>
      <c r="R1709" s="12">
        <v>0.11139112903225799</v>
      </c>
      <c r="S1709" s="14">
        <v>122</v>
      </c>
      <c r="T1709" s="12">
        <v>0.310870129468721</v>
      </c>
      <c r="U1709" s="14">
        <v>906</v>
      </c>
      <c r="V1709" s="14">
        <v>4</v>
      </c>
      <c r="W1709" s="12">
        <v>5.7999999999999996E-3</v>
      </c>
      <c r="X1709" s="12">
        <v>0.31667012946872097</v>
      </c>
      <c r="Y1709" s="14">
        <v>906</v>
      </c>
      <c r="Z1709" s="14">
        <v>122</v>
      </c>
      <c r="AA1709" s="12" t="s">
        <v>2372</v>
      </c>
    </row>
    <row r="1710" spans="1:27" ht="14.25" x14ac:dyDescent="0.45">
      <c r="A1710" s="12" t="s">
        <v>1041</v>
      </c>
      <c r="B1710" s="12" t="s">
        <v>2368</v>
      </c>
      <c r="C1710" s="12" t="s">
        <v>2368</v>
      </c>
      <c r="D1710" s="12" t="s">
        <v>2368</v>
      </c>
      <c r="E1710" s="20">
        <v>1</v>
      </c>
      <c r="F1710" s="20">
        <v>44267</v>
      </c>
      <c r="G1710" s="12">
        <v>81.78</v>
      </c>
      <c r="H1710" s="12">
        <v>9.8000000000000007</v>
      </c>
      <c r="I1710" s="13">
        <v>8.3448979591836707</v>
      </c>
      <c r="J1710" s="12" t="s">
        <v>1041</v>
      </c>
      <c r="K1710" s="14">
        <v>341</v>
      </c>
      <c r="L1710" s="14">
        <v>989</v>
      </c>
      <c r="M1710" s="14">
        <v>407</v>
      </c>
      <c r="N1710" s="12">
        <v>81.78</v>
      </c>
      <c r="O1710" s="12" t="s">
        <v>1041</v>
      </c>
      <c r="P1710" s="12">
        <v>1.31554182853558E-2</v>
      </c>
      <c r="Q1710" s="12">
        <v>3.7998719981388498E-2</v>
      </c>
      <c r="R1710" s="12">
        <v>0.148185483870968</v>
      </c>
      <c r="S1710" s="14">
        <v>122</v>
      </c>
      <c r="T1710" s="12">
        <v>2.86824818453763</v>
      </c>
      <c r="U1710" s="14">
        <v>382</v>
      </c>
      <c r="V1710" s="14">
        <v>5</v>
      </c>
      <c r="W1710" s="12">
        <v>5.8999999999999999E-3</v>
      </c>
      <c r="X1710" s="12">
        <v>2.87414818453763</v>
      </c>
      <c r="Y1710" s="14">
        <v>382</v>
      </c>
      <c r="Z1710" s="14">
        <v>122</v>
      </c>
      <c r="AA1710" s="12" t="s">
        <v>2372</v>
      </c>
    </row>
    <row r="1711" spans="1:27" ht="14.25" x14ac:dyDescent="0.45">
      <c r="A1711" s="12" t="s">
        <v>1052</v>
      </c>
      <c r="B1711" s="12" t="s">
        <v>2368</v>
      </c>
      <c r="C1711" s="12" t="s">
        <v>2368</v>
      </c>
      <c r="D1711" s="12" t="s">
        <v>2368</v>
      </c>
      <c r="E1711" s="20">
        <v>1</v>
      </c>
      <c r="F1711" s="20">
        <v>44305</v>
      </c>
      <c r="G1711" s="12">
        <v>6</v>
      </c>
      <c r="H1711" s="12">
        <v>8.5333333333333297</v>
      </c>
      <c r="I1711" s="13">
        <v>0.703125</v>
      </c>
      <c r="J1711" s="12" t="s">
        <v>1052</v>
      </c>
      <c r="K1711" s="14">
        <v>934</v>
      </c>
      <c r="L1711" s="14">
        <v>1193</v>
      </c>
      <c r="M1711" s="14">
        <v>962</v>
      </c>
      <c r="N1711" s="12">
        <v>6</v>
      </c>
      <c r="O1711" s="12" t="s">
        <v>1052</v>
      </c>
      <c r="P1711" s="12">
        <v>9.6518109210240498E-4</v>
      </c>
      <c r="Q1711" s="12">
        <v>3.2016988245506901E-3</v>
      </c>
      <c r="R1711" s="12">
        <v>0.12903225806451599</v>
      </c>
      <c r="S1711" s="14">
        <v>122</v>
      </c>
      <c r="T1711" s="12">
        <v>0.236300467488258</v>
      </c>
      <c r="U1711" s="14">
        <v>987</v>
      </c>
      <c r="V1711" s="14">
        <v>1</v>
      </c>
      <c r="W1711" s="12">
        <v>5.4999999999999997E-3</v>
      </c>
      <c r="X1711" s="12">
        <v>0.24180046748825801</v>
      </c>
      <c r="Y1711" s="14">
        <v>987</v>
      </c>
      <c r="Z1711" s="14">
        <v>122</v>
      </c>
      <c r="AA1711" s="12" t="s">
        <v>2372</v>
      </c>
    </row>
    <row r="1712" spans="1:27" ht="14.25" x14ac:dyDescent="0.45">
      <c r="A1712" s="12" t="s">
        <v>1053</v>
      </c>
      <c r="B1712" s="12" t="s">
        <v>2368</v>
      </c>
      <c r="C1712" s="12" t="s">
        <v>2368</v>
      </c>
      <c r="D1712" s="12" t="s">
        <v>2368</v>
      </c>
      <c r="E1712" s="20">
        <v>1</v>
      </c>
      <c r="F1712" s="20">
        <v>44267</v>
      </c>
      <c r="G1712" s="12">
        <v>2.4500000000000002</v>
      </c>
      <c r="H1712" s="12">
        <v>9.8000000000000007</v>
      </c>
      <c r="I1712" s="13">
        <v>0.25</v>
      </c>
      <c r="J1712" s="12" t="s">
        <v>1053</v>
      </c>
      <c r="K1712" s="14">
        <v>1278</v>
      </c>
      <c r="L1712" s="14">
        <v>989</v>
      </c>
      <c r="M1712" s="14">
        <v>1286</v>
      </c>
      <c r="N1712" s="12">
        <v>2.4500000000000002</v>
      </c>
      <c r="O1712" s="12" t="s">
        <v>1053</v>
      </c>
      <c r="P1712" s="12">
        <v>3.9411561260848201E-4</v>
      </c>
      <c r="Q1712" s="12">
        <v>1.13838180428469E-3</v>
      </c>
      <c r="R1712" s="12">
        <v>0.148185483870968</v>
      </c>
      <c r="S1712" s="14">
        <v>122</v>
      </c>
      <c r="T1712" s="12">
        <v>8.5928198240611195E-2</v>
      </c>
      <c r="U1712" s="14">
        <v>1334</v>
      </c>
      <c r="V1712" s="14">
        <v>1</v>
      </c>
      <c r="W1712" s="12">
        <v>5.4999999999999997E-3</v>
      </c>
      <c r="X1712" s="12">
        <v>9.14281982406112E-2</v>
      </c>
      <c r="Y1712" s="14">
        <v>1335</v>
      </c>
      <c r="Z1712" s="14">
        <v>122</v>
      </c>
      <c r="AA1712" s="12" t="s">
        <v>2372</v>
      </c>
    </row>
    <row r="1713" spans="1:27" ht="14.25" x14ac:dyDescent="0.45">
      <c r="A1713" s="12" t="s">
        <v>1089</v>
      </c>
      <c r="B1713" s="12" t="s">
        <v>2368</v>
      </c>
      <c r="C1713" s="12" t="s">
        <v>2368</v>
      </c>
      <c r="D1713" s="12" t="s">
        <v>2368</v>
      </c>
      <c r="E1713" s="20">
        <v>1</v>
      </c>
      <c r="F1713" s="20">
        <v>44271</v>
      </c>
      <c r="G1713" s="12">
        <v>2</v>
      </c>
      <c r="H1713" s="12">
        <v>9.6666666666666696</v>
      </c>
      <c r="I1713" s="13">
        <v>0.20689655172413801</v>
      </c>
      <c r="J1713" s="12" t="s">
        <v>1089</v>
      </c>
      <c r="K1713" s="14">
        <v>1338</v>
      </c>
      <c r="L1713" s="14">
        <v>1004</v>
      </c>
      <c r="M1713" s="14">
        <v>1359</v>
      </c>
      <c r="N1713" s="12">
        <v>2</v>
      </c>
      <c r="O1713" s="12" t="s">
        <v>1089</v>
      </c>
      <c r="P1713" s="12">
        <v>3.2172703070080199E-4</v>
      </c>
      <c r="Q1713" s="12">
        <v>9.4210907940801901E-4</v>
      </c>
      <c r="R1713" s="12">
        <v>0.14616935483870999</v>
      </c>
      <c r="S1713" s="14">
        <v>122</v>
      </c>
      <c r="T1713" s="12">
        <v>7.0946581114281301E-2</v>
      </c>
      <c r="U1713" s="14">
        <v>1439</v>
      </c>
      <c r="V1713" s="14">
        <v>1</v>
      </c>
      <c r="W1713" s="12">
        <v>5.4999999999999997E-3</v>
      </c>
      <c r="X1713" s="12">
        <v>7.6446581114281306E-2</v>
      </c>
      <c r="Y1713" s="14">
        <v>1439</v>
      </c>
      <c r="Z1713" s="14">
        <v>122</v>
      </c>
      <c r="AA1713" s="12" t="s">
        <v>2372</v>
      </c>
    </row>
    <row r="1714" spans="1:27" ht="14.25" x14ac:dyDescent="0.45">
      <c r="A1714" s="12" t="s">
        <v>1103</v>
      </c>
      <c r="B1714" s="12" t="s">
        <v>2368</v>
      </c>
      <c r="C1714" s="12" t="s">
        <v>2368</v>
      </c>
      <c r="D1714" s="12" t="s">
        <v>2368</v>
      </c>
      <c r="E1714" s="20">
        <v>1</v>
      </c>
      <c r="F1714" s="20">
        <v>44299</v>
      </c>
      <c r="G1714" s="12">
        <v>9.27</v>
      </c>
      <c r="H1714" s="12">
        <v>8.7333333333333307</v>
      </c>
      <c r="I1714" s="13">
        <v>1.0614503816793901</v>
      </c>
      <c r="J1714" s="12" t="s">
        <v>1103</v>
      </c>
      <c r="K1714" s="14">
        <v>803</v>
      </c>
      <c r="L1714" s="14">
        <v>1164</v>
      </c>
      <c r="M1714" s="14">
        <v>860</v>
      </c>
      <c r="N1714" s="12">
        <v>9.27</v>
      </c>
      <c r="O1714" s="12" t="s">
        <v>1103</v>
      </c>
      <c r="P1714" s="12">
        <v>1.49120478729822E-3</v>
      </c>
      <c r="Q1714" s="12">
        <v>4.8333432026194199E-3</v>
      </c>
      <c r="R1714" s="12">
        <v>0.132056451612903</v>
      </c>
      <c r="S1714" s="14">
        <v>122</v>
      </c>
      <c r="T1714" s="12">
        <v>0.35800412968739698</v>
      </c>
      <c r="U1714" s="14">
        <v>866</v>
      </c>
      <c r="V1714" s="14">
        <v>2</v>
      </c>
      <c r="W1714" s="12">
        <v>5.5999999999999999E-3</v>
      </c>
      <c r="X1714" s="12">
        <v>0.36360412968739703</v>
      </c>
      <c r="Y1714" s="14">
        <v>866</v>
      </c>
      <c r="Z1714" s="14">
        <v>122</v>
      </c>
      <c r="AA1714" s="12" t="s">
        <v>2372</v>
      </c>
    </row>
    <row r="1715" spans="1:27" ht="14.25" x14ac:dyDescent="0.45">
      <c r="A1715" s="12" t="s">
        <v>1125</v>
      </c>
      <c r="B1715" s="12" t="s">
        <v>2368</v>
      </c>
      <c r="C1715" s="12" t="s">
        <v>2368</v>
      </c>
      <c r="D1715" s="12" t="s">
        <v>2368</v>
      </c>
      <c r="E1715" s="20">
        <v>1</v>
      </c>
      <c r="F1715" s="20">
        <v>44336</v>
      </c>
      <c r="G1715" s="12">
        <v>0.63</v>
      </c>
      <c r="H1715" s="12">
        <v>7.5</v>
      </c>
      <c r="I1715" s="13">
        <v>8.4000000000000005E-2</v>
      </c>
      <c r="J1715" s="12" t="s">
        <v>1125</v>
      </c>
      <c r="K1715" s="14">
        <v>1538</v>
      </c>
      <c r="L1715" s="14">
        <v>1377</v>
      </c>
      <c r="M1715" s="14">
        <v>1646</v>
      </c>
      <c r="N1715" s="12">
        <v>0.63</v>
      </c>
      <c r="O1715" s="12" t="s">
        <v>1125</v>
      </c>
      <c r="P1715" s="12">
        <v>1.01344014670753E-4</v>
      </c>
      <c r="Q1715" s="12">
        <v>3.8249628623965602E-4</v>
      </c>
      <c r="R1715" s="12">
        <v>0.113407258064516</v>
      </c>
      <c r="S1715" s="14">
        <v>122</v>
      </c>
      <c r="T1715" s="12">
        <v>2.7706418440131698E-2</v>
      </c>
      <c r="U1715" s="14">
        <v>1641</v>
      </c>
      <c r="V1715" s="14">
        <v>2</v>
      </c>
      <c r="W1715" s="12">
        <v>5.5999999999999999E-3</v>
      </c>
      <c r="X1715" s="12">
        <v>3.3306418440131699E-2</v>
      </c>
      <c r="Y1715" s="14">
        <v>1641</v>
      </c>
      <c r="Z1715" s="14">
        <v>122</v>
      </c>
      <c r="AA1715" s="12" t="s">
        <v>2372</v>
      </c>
    </row>
    <row r="1716" spans="1:27" ht="14.25" x14ac:dyDescent="0.45">
      <c r="A1716" s="12" t="s">
        <v>1136</v>
      </c>
      <c r="B1716" s="12" t="s">
        <v>2368</v>
      </c>
      <c r="C1716" s="12" t="s">
        <v>2368</v>
      </c>
      <c r="D1716" s="12" t="s">
        <v>2368</v>
      </c>
      <c r="E1716" s="20">
        <v>1</v>
      </c>
      <c r="F1716" s="20">
        <v>44285</v>
      </c>
      <c r="G1716" s="12">
        <v>16.809999999999999</v>
      </c>
      <c r="H1716" s="12">
        <v>9.1999999999999993</v>
      </c>
      <c r="I1716" s="13">
        <v>1.8271739130434801</v>
      </c>
      <c r="J1716" s="12" t="s">
        <v>1136</v>
      </c>
      <c r="K1716" s="14">
        <v>684</v>
      </c>
      <c r="L1716" s="14">
        <v>1105</v>
      </c>
      <c r="M1716" s="14">
        <v>748</v>
      </c>
      <c r="N1716" s="12">
        <v>16.809999999999999</v>
      </c>
      <c r="O1716" s="12" t="s">
        <v>1136</v>
      </c>
      <c r="P1716" s="12">
        <v>2.7041156930402402E-3</v>
      </c>
      <c r="Q1716" s="12">
        <v>8.3200861434894104E-3</v>
      </c>
      <c r="R1716" s="12">
        <v>0.13911290322580599</v>
      </c>
      <c r="S1716" s="14">
        <v>122</v>
      </c>
      <c r="T1716" s="12">
        <v>0.62140972245709702</v>
      </c>
      <c r="U1716" s="14">
        <v>745</v>
      </c>
      <c r="V1716" s="14">
        <v>3</v>
      </c>
      <c r="W1716" s="12">
        <v>5.7000000000000002E-3</v>
      </c>
      <c r="X1716" s="12">
        <v>0.62710972245709695</v>
      </c>
      <c r="Y1716" s="14">
        <v>745</v>
      </c>
      <c r="Z1716" s="14">
        <v>122</v>
      </c>
      <c r="AA1716" s="12" t="s">
        <v>2372</v>
      </c>
    </row>
    <row r="1717" spans="1:27" ht="14.25" x14ac:dyDescent="0.45">
      <c r="A1717" s="12" t="s">
        <v>1142</v>
      </c>
      <c r="B1717" s="12" t="s">
        <v>2368</v>
      </c>
      <c r="C1717" s="12" t="s">
        <v>2368</v>
      </c>
      <c r="D1717" s="12" t="s">
        <v>2368</v>
      </c>
      <c r="E1717" s="20">
        <v>1</v>
      </c>
      <c r="F1717" s="20">
        <v>44305</v>
      </c>
      <c r="G1717" s="12">
        <v>2.27</v>
      </c>
      <c r="H1717" s="12">
        <v>8.5333333333333297</v>
      </c>
      <c r="I1717" s="13">
        <v>0.26601562499999998</v>
      </c>
      <c r="J1717" s="12" t="s">
        <v>1142</v>
      </c>
      <c r="K1717" s="14">
        <v>1259</v>
      </c>
      <c r="L1717" s="14">
        <v>1193</v>
      </c>
      <c r="M1717" s="14">
        <v>1310</v>
      </c>
      <c r="N1717" s="12">
        <v>2.27</v>
      </c>
      <c r="O1717" s="12" t="s">
        <v>1142</v>
      </c>
      <c r="P1717" s="12">
        <v>3.6516017984541E-4</v>
      </c>
      <c r="Q1717" s="12">
        <v>1.21130938862168E-3</v>
      </c>
      <c r="R1717" s="12">
        <v>0.12903225806451599</v>
      </c>
      <c r="S1717" s="14">
        <v>122</v>
      </c>
      <c r="T1717" s="12">
        <v>8.9400343533057702E-2</v>
      </c>
      <c r="U1717" s="14">
        <v>1318</v>
      </c>
      <c r="V1717" s="14">
        <v>1</v>
      </c>
      <c r="W1717" s="12">
        <v>5.4999999999999997E-3</v>
      </c>
      <c r="X1717" s="12">
        <v>9.4900343533057693E-2</v>
      </c>
      <c r="Y1717" s="14">
        <v>1318</v>
      </c>
      <c r="Z1717" s="14">
        <v>122</v>
      </c>
      <c r="AA1717" s="12" t="s">
        <v>2372</v>
      </c>
    </row>
    <row r="1718" spans="1:27" ht="14.25" x14ac:dyDescent="0.45">
      <c r="A1718" s="12" t="s">
        <v>1147</v>
      </c>
      <c r="B1718" s="12" t="s">
        <v>2368</v>
      </c>
      <c r="C1718" s="12" t="s">
        <v>2368</v>
      </c>
      <c r="D1718" s="12" t="s">
        <v>2368</v>
      </c>
      <c r="E1718" s="20">
        <v>1</v>
      </c>
      <c r="F1718" s="20">
        <v>44326</v>
      </c>
      <c r="G1718" s="12">
        <v>53.64</v>
      </c>
      <c r="H1718" s="12">
        <v>7.8333333333333304</v>
      </c>
      <c r="I1718" s="13">
        <v>6.8476595744680804</v>
      </c>
      <c r="J1718" s="12" t="s">
        <v>1147</v>
      </c>
      <c r="K1718" s="14">
        <v>384</v>
      </c>
      <c r="L1718" s="14">
        <v>1244</v>
      </c>
      <c r="M1718" s="14">
        <v>472</v>
      </c>
      <c r="N1718" s="12">
        <v>53.64</v>
      </c>
      <c r="O1718" s="12" t="s">
        <v>1147</v>
      </c>
      <c r="P1718" s="12">
        <v>8.6287189633954993E-3</v>
      </c>
      <c r="Q1718" s="12">
        <v>3.11810042460412E-2</v>
      </c>
      <c r="R1718" s="12">
        <v>0.118447580645161</v>
      </c>
      <c r="S1718" s="14">
        <v>122</v>
      </c>
      <c r="T1718" s="12">
        <v>2.27238972650491</v>
      </c>
      <c r="U1718" s="14">
        <v>416</v>
      </c>
      <c r="V1718" s="14">
        <v>3</v>
      </c>
      <c r="W1718" s="12">
        <v>5.7000000000000002E-3</v>
      </c>
      <c r="X1718" s="12">
        <v>2.27808972650491</v>
      </c>
      <c r="Y1718" s="14">
        <v>416</v>
      </c>
      <c r="Z1718" s="14">
        <v>122</v>
      </c>
      <c r="AA1718" s="12" t="s">
        <v>2372</v>
      </c>
    </row>
    <row r="1719" spans="1:27" ht="14.25" x14ac:dyDescent="0.45">
      <c r="A1719" s="12" t="s">
        <v>1181</v>
      </c>
      <c r="B1719" s="12" t="s">
        <v>2368</v>
      </c>
      <c r="C1719" s="12" t="s">
        <v>2368</v>
      </c>
      <c r="D1719" s="12" t="s">
        <v>2368</v>
      </c>
      <c r="E1719" s="20">
        <v>1</v>
      </c>
      <c r="F1719" s="20">
        <v>44327</v>
      </c>
      <c r="G1719" s="12">
        <v>0.53</v>
      </c>
      <c r="H1719" s="12">
        <v>7.8</v>
      </c>
      <c r="I1719" s="13">
        <v>6.7948717948717999E-2</v>
      </c>
      <c r="J1719" s="12" t="s">
        <v>1181</v>
      </c>
      <c r="K1719" s="14">
        <v>1568</v>
      </c>
      <c r="L1719" s="14">
        <v>1252</v>
      </c>
      <c r="M1719" s="14">
        <v>1673</v>
      </c>
      <c r="N1719" s="12">
        <v>0.53</v>
      </c>
      <c r="O1719" s="12" t="s">
        <v>1181</v>
      </c>
      <c r="P1719" s="12">
        <v>8.5257663135712494E-5</v>
      </c>
      <c r="Q1719" s="12">
        <v>3.0940633654917202E-4</v>
      </c>
      <c r="R1719" s="12">
        <v>0.117943548387097</v>
      </c>
      <c r="S1719" s="14">
        <v>122</v>
      </c>
      <c r="T1719" s="12">
        <v>2.25350584019125E-2</v>
      </c>
      <c r="U1719" s="14">
        <v>1668</v>
      </c>
      <c r="V1719" s="14">
        <v>1</v>
      </c>
      <c r="W1719" s="12">
        <v>5.4999999999999997E-3</v>
      </c>
      <c r="X1719" s="12">
        <v>2.8035058401912501E-2</v>
      </c>
      <c r="Y1719" s="14">
        <v>1668</v>
      </c>
      <c r="Z1719" s="14">
        <v>122</v>
      </c>
      <c r="AA1719" s="12" t="s">
        <v>2372</v>
      </c>
    </row>
    <row r="1720" spans="1:27" ht="14.25" x14ac:dyDescent="0.45">
      <c r="A1720" s="12" t="s">
        <v>1187</v>
      </c>
      <c r="B1720" s="12" t="s">
        <v>2368</v>
      </c>
      <c r="C1720" s="12" t="s">
        <v>2368</v>
      </c>
      <c r="D1720" s="12" t="s">
        <v>2368</v>
      </c>
      <c r="E1720" s="20">
        <v>1</v>
      </c>
      <c r="F1720" s="20">
        <v>44348</v>
      </c>
      <c r="G1720" s="12">
        <v>7.26</v>
      </c>
      <c r="H1720" s="12">
        <v>7.1</v>
      </c>
      <c r="I1720" s="13">
        <v>1.02253521126761</v>
      </c>
      <c r="J1720" s="12" t="s">
        <v>1187</v>
      </c>
      <c r="K1720" s="14">
        <v>812</v>
      </c>
      <c r="L1720" s="14">
        <v>1475</v>
      </c>
      <c r="M1720" s="14">
        <v>910</v>
      </c>
      <c r="N1720" s="12">
        <v>7.26</v>
      </c>
      <c r="O1720" s="12" t="s">
        <v>1187</v>
      </c>
      <c r="P1720" s="12">
        <v>1.16786912144391E-3</v>
      </c>
      <c r="Q1720" s="12">
        <v>4.6561419149897696E-3</v>
      </c>
      <c r="R1720" s="12">
        <v>0.10735887096774201</v>
      </c>
      <c r="S1720" s="14">
        <v>122</v>
      </c>
      <c r="T1720" s="12">
        <v>0.33480396174100702</v>
      </c>
      <c r="U1720" s="14">
        <v>889</v>
      </c>
      <c r="V1720" s="14">
        <v>3</v>
      </c>
      <c r="W1720" s="12">
        <v>5.7000000000000002E-3</v>
      </c>
      <c r="X1720" s="12">
        <v>0.340503961741007</v>
      </c>
      <c r="Y1720" s="14">
        <v>889</v>
      </c>
      <c r="Z1720" s="14">
        <v>122</v>
      </c>
      <c r="AA1720" s="12" t="s">
        <v>2372</v>
      </c>
    </row>
    <row r="1721" spans="1:27" ht="14.25" x14ac:dyDescent="0.45">
      <c r="A1721" s="12" t="s">
        <v>1209</v>
      </c>
      <c r="B1721" s="12" t="s">
        <v>2368</v>
      </c>
      <c r="C1721" s="12" t="s">
        <v>2368</v>
      </c>
      <c r="D1721" s="12" t="s">
        <v>2368</v>
      </c>
      <c r="E1721" s="20">
        <v>1</v>
      </c>
      <c r="F1721" s="20">
        <v>44372</v>
      </c>
      <c r="G1721" s="12">
        <v>1.58</v>
      </c>
      <c r="H1721" s="12">
        <v>6.3</v>
      </c>
      <c r="I1721" s="13">
        <v>0.25079365079365101</v>
      </c>
      <c r="J1721" s="12" t="s">
        <v>1209</v>
      </c>
      <c r="K1721" s="14">
        <v>1274</v>
      </c>
      <c r="L1721" s="14">
        <v>1606</v>
      </c>
      <c r="M1721" s="14">
        <v>1470</v>
      </c>
      <c r="N1721" s="12">
        <v>1.58</v>
      </c>
      <c r="O1721" s="12" t="s">
        <v>1209</v>
      </c>
      <c r="P1721" s="12">
        <v>2.5416435425363302E-4</v>
      </c>
      <c r="Q1721" s="12">
        <v>1.1419957147744801E-3</v>
      </c>
      <c r="R1721" s="12">
        <v>9.5262096774193505E-2</v>
      </c>
      <c r="S1721" s="14">
        <v>122</v>
      </c>
      <c r="T1721" s="12">
        <v>8.0905895457916405E-2</v>
      </c>
      <c r="U1721" s="14">
        <v>1351</v>
      </c>
      <c r="V1721" s="14">
        <v>1</v>
      </c>
      <c r="W1721" s="12">
        <v>5.4999999999999997E-3</v>
      </c>
      <c r="X1721" s="12">
        <v>8.6405895457916396E-2</v>
      </c>
      <c r="Y1721" s="14">
        <v>1351</v>
      </c>
      <c r="Z1721" s="14">
        <v>122</v>
      </c>
      <c r="AA1721" s="12" t="s">
        <v>2372</v>
      </c>
    </row>
    <row r="1722" spans="1:27" ht="14.25" x14ac:dyDescent="0.45">
      <c r="A1722" s="12" t="s">
        <v>1250</v>
      </c>
      <c r="B1722" s="12" t="s">
        <v>2368</v>
      </c>
      <c r="C1722" s="12" t="s">
        <v>2368</v>
      </c>
      <c r="D1722" s="12" t="s">
        <v>2368</v>
      </c>
      <c r="E1722" s="20">
        <v>1</v>
      </c>
      <c r="F1722" s="20">
        <v>44371</v>
      </c>
      <c r="G1722" s="12">
        <v>4.82</v>
      </c>
      <c r="H1722" s="12">
        <v>6.3333333333333304</v>
      </c>
      <c r="I1722" s="13">
        <v>0.76105263157894698</v>
      </c>
      <c r="J1722" s="12" t="s">
        <v>1250</v>
      </c>
      <c r="K1722" s="14">
        <v>902</v>
      </c>
      <c r="L1722" s="14">
        <v>1557</v>
      </c>
      <c r="M1722" s="14">
        <v>1045</v>
      </c>
      <c r="N1722" s="12">
        <v>4.82</v>
      </c>
      <c r="O1722" s="12" t="s">
        <v>1250</v>
      </c>
      <c r="P1722" s="12">
        <v>7.7536214398893203E-4</v>
      </c>
      <c r="Q1722" s="12">
        <v>3.46547387156981E-3</v>
      </c>
      <c r="R1722" s="12">
        <v>9.5766129032257993E-2</v>
      </c>
      <c r="S1722" s="14">
        <v>122</v>
      </c>
      <c r="T1722" s="12">
        <v>0.24566819737269799</v>
      </c>
      <c r="U1722" s="14">
        <v>973</v>
      </c>
      <c r="V1722" s="14">
        <v>1</v>
      </c>
      <c r="W1722" s="12">
        <v>5.4999999999999997E-3</v>
      </c>
      <c r="X1722" s="12">
        <v>0.25116819737269802</v>
      </c>
      <c r="Y1722" s="14">
        <v>973</v>
      </c>
      <c r="Z1722" s="14">
        <v>122</v>
      </c>
      <c r="AA1722" s="12" t="s">
        <v>2372</v>
      </c>
    </row>
    <row r="1723" spans="1:27" ht="14.25" x14ac:dyDescent="0.45">
      <c r="A1723" s="12" t="s">
        <v>1257</v>
      </c>
      <c r="B1723" s="12" t="s">
        <v>2368</v>
      </c>
      <c r="C1723" s="12" t="s">
        <v>2368</v>
      </c>
      <c r="D1723" s="12" t="s">
        <v>2368</v>
      </c>
      <c r="E1723" s="20">
        <v>1</v>
      </c>
      <c r="F1723" s="20">
        <v>44370</v>
      </c>
      <c r="G1723" s="12">
        <v>6.81</v>
      </c>
      <c r="H1723" s="12">
        <v>6.3666666666666698</v>
      </c>
      <c r="I1723" s="13">
        <v>1.0696335078534001</v>
      </c>
      <c r="J1723" s="12" t="s">
        <v>1257</v>
      </c>
      <c r="K1723" s="14">
        <v>802</v>
      </c>
      <c r="L1723" s="14">
        <v>1504</v>
      </c>
      <c r="M1723" s="14">
        <v>930</v>
      </c>
      <c r="N1723" s="12">
        <v>6.81</v>
      </c>
      <c r="O1723" s="12" t="s">
        <v>1257</v>
      </c>
      <c r="P1723" s="12">
        <v>1.09548053953623E-3</v>
      </c>
      <c r="Q1723" s="12">
        <v>4.8706052903740799E-3</v>
      </c>
      <c r="R1723" s="12">
        <v>9.6270161290322606E-2</v>
      </c>
      <c r="S1723" s="14">
        <v>122</v>
      </c>
      <c r="T1723" s="12">
        <v>0.34549335088098798</v>
      </c>
      <c r="U1723" s="14">
        <v>874</v>
      </c>
      <c r="V1723" s="14">
        <v>1</v>
      </c>
      <c r="W1723" s="12">
        <v>5.4999999999999997E-3</v>
      </c>
      <c r="X1723" s="12">
        <v>0.35099335088098799</v>
      </c>
      <c r="Y1723" s="14">
        <v>874</v>
      </c>
      <c r="Z1723" s="14">
        <v>122</v>
      </c>
      <c r="AA1723" s="12" t="s">
        <v>2372</v>
      </c>
    </row>
    <row r="1724" spans="1:27" ht="14.25" x14ac:dyDescent="0.45">
      <c r="A1724" s="12" t="s">
        <v>1266</v>
      </c>
      <c r="B1724" s="12" t="s">
        <v>2368</v>
      </c>
      <c r="C1724" s="12" t="s">
        <v>2368</v>
      </c>
      <c r="D1724" s="12" t="s">
        <v>2368</v>
      </c>
      <c r="E1724" s="20">
        <v>1</v>
      </c>
      <c r="F1724" s="20">
        <v>44371</v>
      </c>
      <c r="G1724" s="12">
        <v>4.17</v>
      </c>
      <c r="H1724" s="12">
        <v>6.3333333333333304</v>
      </c>
      <c r="I1724" s="13">
        <v>0.65842105263157902</v>
      </c>
      <c r="J1724" s="12" t="s">
        <v>1266</v>
      </c>
      <c r="K1724" s="14">
        <v>961</v>
      </c>
      <c r="L1724" s="14">
        <v>1557</v>
      </c>
      <c r="M1724" s="14">
        <v>1102</v>
      </c>
      <c r="N1724" s="12">
        <v>4.17</v>
      </c>
      <c r="O1724" s="12" t="s">
        <v>1266</v>
      </c>
      <c r="P1724" s="12">
        <v>6.7080085901117202E-4</v>
      </c>
      <c r="Q1724" s="12">
        <v>2.9981381834950499E-3</v>
      </c>
      <c r="R1724" s="12">
        <v>9.5766129032257993E-2</v>
      </c>
      <c r="S1724" s="14">
        <v>122</v>
      </c>
      <c r="T1724" s="12">
        <v>0.21253866868135901</v>
      </c>
      <c r="U1724" s="14">
        <v>1021</v>
      </c>
      <c r="V1724" s="14">
        <v>1</v>
      </c>
      <c r="W1724" s="12">
        <v>5.4999999999999997E-3</v>
      </c>
      <c r="X1724" s="12">
        <v>0.21803866868135899</v>
      </c>
      <c r="Y1724" s="14">
        <v>1022</v>
      </c>
      <c r="Z1724" s="14">
        <v>122</v>
      </c>
      <c r="AA1724" s="12" t="s">
        <v>2372</v>
      </c>
    </row>
    <row r="1725" spans="1:27" ht="14.25" x14ac:dyDescent="0.45">
      <c r="A1725" s="12" t="s">
        <v>1273</v>
      </c>
      <c r="B1725" s="12" t="s">
        <v>2368</v>
      </c>
      <c r="C1725" s="12" t="s">
        <v>2368</v>
      </c>
      <c r="D1725" s="12" t="s">
        <v>2368</v>
      </c>
      <c r="E1725" s="20">
        <v>1</v>
      </c>
      <c r="F1725" s="20">
        <v>44116</v>
      </c>
      <c r="G1725" s="12">
        <v>3.2</v>
      </c>
      <c r="H1725" s="12">
        <v>14.8333333333333</v>
      </c>
      <c r="I1725" s="13">
        <v>0.215730337078652</v>
      </c>
      <c r="J1725" s="12" t="s">
        <v>1273</v>
      </c>
      <c r="K1725" s="14">
        <v>1327</v>
      </c>
      <c r="L1725" s="14">
        <v>534</v>
      </c>
      <c r="M1725" s="14">
        <v>1205</v>
      </c>
      <c r="N1725" s="12">
        <v>3.2</v>
      </c>
      <c r="O1725" s="12" t="s">
        <v>1273</v>
      </c>
      <c r="P1725" s="12">
        <v>5.1476324912128296E-4</v>
      </c>
      <c r="Q1725" s="12">
        <v>9.8233396145015902E-4</v>
      </c>
      <c r="R1725" s="12">
        <v>0.22429435483870999</v>
      </c>
      <c r="S1725" s="14">
        <v>122</v>
      </c>
      <c r="T1725" s="12">
        <v>8.0699494432683094E-2</v>
      </c>
      <c r="U1725" s="14">
        <v>1353</v>
      </c>
      <c r="V1725" s="14">
        <v>2</v>
      </c>
      <c r="W1725" s="12">
        <v>5.5999999999999999E-3</v>
      </c>
      <c r="X1725" s="12">
        <v>8.6299494432683102E-2</v>
      </c>
      <c r="Y1725" s="14">
        <v>1353</v>
      </c>
      <c r="Z1725" s="14">
        <v>122</v>
      </c>
      <c r="AA1725" s="12" t="s">
        <v>2372</v>
      </c>
    </row>
    <row r="1726" spans="1:27" ht="14.25" x14ac:dyDescent="0.45">
      <c r="A1726" s="12" t="s">
        <v>1282</v>
      </c>
      <c r="B1726" s="12" t="s">
        <v>2368</v>
      </c>
      <c r="C1726" s="12" t="s">
        <v>2368</v>
      </c>
      <c r="D1726" s="12" t="s">
        <v>2368</v>
      </c>
      <c r="E1726" s="20">
        <v>1</v>
      </c>
      <c r="F1726" s="20">
        <v>44335</v>
      </c>
      <c r="G1726" s="12">
        <v>3.18</v>
      </c>
      <c r="H1726" s="12">
        <v>7.5333333333333297</v>
      </c>
      <c r="I1726" s="13">
        <v>0.42212389380531001</v>
      </c>
      <c r="J1726" s="12" t="s">
        <v>1282</v>
      </c>
      <c r="K1726" s="14">
        <v>1124</v>
      </c>
      <c r="L1726" s="14">
        <v>1332</v>
      </c>
      <c r="M1726" s="14">
        <v>1206</v>
      </c>
      <c r="N1726" s="12">
        <v>3.18</v>
      </c>
      <c r="O1726" s="12" t="s">
        <v>1282</v>
      </c>
      <c r="P1726" s="12">
        <v>5.1154597881427504E-4</v>
      </c>
      <c r="Q1726" s="12">
        <v>1.9221526394470701E-3</v>
      </c>
      <c r="R1726" s="12">
        <v>0.113911290322581</v>
      </c>
      <c r="S1726" s="14">
        <v>122</v>
      </c>
      <c r="T1726" s="12">
        <v>0.13931751417097701</v>
      </c>
      <c r="U1726" s="14">
        <v>1186</v>
      </c>
      <c r="V1726" s="14">
        <v>1</v>
      </c>
      <c r="W1726" s="12">
        <v>5.4999999999999997E-3</v>
      </c>
      <c r="X1726" s="12">
        <v>0.14481751417097699</v>
      </c>
      <c r="Y1726" s="14">
        <v>1186</v>
      </c>
      <c r="Z1726" s="14">
        <v>122</v>
      </c>
      <c r="AA1726" s="12" t="s">
        <v>2372</v>
      </c>
    </row>
    <row r="1727" spans="1:27" ht="14.25" x14ac:dyDescent="0.45">
      <c r="A1727" s="12" t="s">
        <v>1291</v>
      </c>
      <c r="B1727" s="12" t="s">
        <v>2368</v>
      </c>
      <c r="C1727" s="12" t="s">
        <v>2368</v>
      </c>
      <c r="D1727" s="12" t="s">
        <v>2368</v>
      </c>
      <c r="E1727" s="20">
        <v>1</v>
      </c>
      <c r="F1727" s="20">
        <v>44370</v>
      </c>
      <c r="G1727" s="12">
        <v>4.16</v>
      </c>
      <c r="H1727" s="12">
        <v>6.3666666666666698</v>
      </c>
      <c r="I1727" s="13">
        <v>0.65340314136125699</v>
      </c>
      <c r="J1727" s="12" t="s">
        <v>1291</v>
      </c>
      <c r="K1727" s="14">
        <v>964</v>
      </c>
      <c r="L1727" s="14">
        <v>1504</v>
      </c>
      <c r="M1727" s="14">
        <v>1103</v>
      </c>
      <c r="N1727" s="12">
        <v>4.16</v>
      </c>
      <c r="O1727" s="12" t="s">
        <v>1291</v>
      </c>
      <c r="P1727" s="12">
        <v>6.6919222385766796E-4</v>
      </c>
      <c r="Q1727" s="12">
        <v>2.9752889879524499E-3</v>
      </c>
      <c r="R1727" s="12">
        <v>9.6270161290322606E-2</v>
      </c>
      <c r="S1727" s="14">
        <v>122</v>
      </c>
      <c r="T1727" s="12">
        <v>0.21105027014169001</v>
      </c>
      <c r="U1727" s="14">
        <v>1024</v>
      </c>
      <c r="V1727" s="14">
        <v>1</v>
      </c>
      <c r="W1727" s="12">
        <v>5.4999999999999997E-3</v>
      </c>
      <c r="X1727" s="12">
        <v>0.21655027014169001</v>
      </c>
      <c r="Y1727" s="14">
        <v>1024</v>
      </c>
      <c r="Z1727" s="14">
        <v>122</v>
      </c>
      <c r="AA1727" s="12" t="s">
        <v>2372</v>
      </c>
    </row>
    <row r="1728" spans="1:27" ht="14.25" x14ac:dyDescent="0.45">
      <c r="A1728" s="12" t="s">
        <v>1293</v>
      </c>
      <c r="B1728" s="12" t="s">
        <v>2368</v>
      </c>
      <c r="C1728" s="12" t="s">
        <v>2368</v>
      </c>
      <c r="D1728" s="12" t="s">
        <v>2368</v>
      </c>
      <c r="E1728" s="20">
        <v>1</v>
      </c>
      <c r="F1728" s="20">
        <v>44102</v>
      </c>
      <c r="G1728" s="12">
        <v>55.37</v>
      </c>
      <c r="H1728" s="12">
        <v>15.3</v>
      </c>
      <c r="I1728" s="13">
        <v>3.61895424836601</v>
      </c>
      <c r="J1728" s="12" t="s">
        <v>1293</v>
      </c>
      <c r="K1728" s="14">
        <v>512</v>
      </c>
      <c r="L1728" s="14">
        <v>493</v>
      </c>
      <c r="M1728" s="14">
        <v>468</v>
      </c>
      <c r="N1728" s="12">
        <v>55.37</v>
      </c>
      <c r="O1728" s="12" t="s">
        <v>1293</v>
      </c>
      <c r="P1728" s="12">
        <v>8.9070128449516995E-3</v>
      </c>
      <c r="Q1728" s="12">
        <v>1.64790066675146E-2</v>
      </c>
      <c r="R1728" s="12">
        <v>0.23135080645161299</v>
      </c>
      <c r="S1728" s="14">
        <v>122</v>
      </c>
      <c r="T1728" s="12">
        <v>1.3639508984053501</v>
      </c>
      <c r="U1728" s="14">
        <v>515</v>
      </c>
      <c r="V1728" s="14">
        <v>1</v>
      </c>
      <c r="W1728" s="12">
        <v>5.4999999999999997E-3</v>
      </c>
      <c r="X1728" s="12">
        <v>1.3694508984053499</v>
      </c>
      <c r="Y1728" s="14">
        <v>515</v>
      </c>
      <c r="Z1728" s="14">
        <v>122</v>
      </c>
      <c r="AA1728" s="12" t="s">
        <v>2372</v>
      </c>
    </row>
    <row r="1729" spans="1:27" ht="14.25" x14ac:dyDescent="0.45">
      <c r="A1729" s="12" t="s">
        <v>1298</v>
      </c>
      <c r="B1729" s="12" t="s">
        <v>2368</v>
      </c>
      <c r="C1729" s="12" t="s">
        <v>2368</v>
      </c>
      <c r="D1729" s="12" t="s">
        <v>2368</v>
      </c>
      <c r="E1729" s="20">
        <v>1</v>
      </c>
      <c r="F1729" s="20">
        <v>44361</v>
      </c>
      <c r="G1729" s="12">
        <v>1.57</v>
      </c>
      <c r="H1729" s="12">
        <v>6.6666666666666696</v>
      </c>
      <c r="I1729" s="13">
        <v>0.23549999999999999</v>
      </c>
      <c r="J1729" s="12" t="s">
        <v>1298</v>
      </c>
      <c r="K1729" s="14">
        <v>1300</v>
      </c>
      <c r="L1729" s="14">
        <v>1492</v>
      </c>
      <c r="M1729" s="14">
        <v>1474</v>
      </c>
      <c r="N1729" s="12">
        <v>1.57</v>
      </c>
      <c r="O1729" s="12" t="s">
        <v>1298</v>
      </c>
      <c r="P1729" s="12">
        <v>2.5255571910012901E-4</v>
      </c>
      <c r="Q1729" s="12">
        <v>1.07235565963618E-3</v>
      </c>
      <c r="R1729" s="12">
        <v>0.100806451612903</v>
      </c>
      <c r="S1729" s="14">
        <v>122</v>
      </c>
      <c r="T1729" s="12">
        <v>7.6493068193516006E-2</v>
      </c>
      <c r="U1729" s="14">
        <v>1393</v>
      </c>
      <c r="V1729" s="14">
        <v>1</v>
      </c>
      <c r="W1729" s="12">
        <v>5.4999999999999997E-3</v>
      </c>
      <c r="X1729" s="12">
        <v>8.1993068193515997E-2</v>
      </c>
      <c r="Y1729" s="14">
        <v>1393</v>
      </c>
      <c r="Z1729" s="14">
        <v>122</v>
      </c>
      <c r="AA1729" s="12" t="s">
        <v>2372</v>
      </c>
    </row>
    <row r="1730" spans="1:27" ht="14.25" x14ac:dyDescent="0.45">
      <c r="A1730" s="12" t="s">
        <v>1309</v>
      </c>
      <c r="B1730" s="12" t="s">
        <v>2368</v>
      </c>
      <c r="C1730" s="12" t="s">
        <v>2368</v>
      </c>
      <c r="D1730" s="12" t="s">
        <v>2368</v>
      </c>
      <c r="E1730" s="20">
        <v>1</v>
      </c>
      <c r="F1730" s="20">
        <v>44312</v>
      </c>
      <c r="G1730" s="12">
        <v>0.53</v>
      </c>
      <c r="H1730" s="12">
        <v>8.3000000000000007</v>
      </c>
      <c r="I1730" s="13">
        <v>6.3855421686747002E-2</v>
      </c>
      <c r="J1730" s="12" t="s">
        <v>1309</v>
      </c>
      <c r="K1730" s="14">
        <v>1576</v>
      </c>
      <c r="L1730" s="14">
        <v>1229</v>
      </c>
      <c r="M1730" s="14">
        <v>1673</v>
      </c>
      <c r="N1730" s="12">
        <v>0.53</v>
      </c>
      <c r="O1730" s="12" t="s">
        <v>1309</v>
      </c>
      <c r="P1730" s="12">
        <v>8.5257663135712494E-5</v>
      </c>
      <c r="Q1730" s="12">
        <v>2.9076740061247499E-4</v>
      </c>
      <c r="R1730" s="12">
        <v>0.125504032258065</v>
      </c>
      <c r="S1730" s="14">
        <v>122</v>
      </c>
      <c r="T1730" s="12">
        <v>2.1370124905868901E-2</v>
      </c>
      <c r="U1730" s="14">
        <v>1678</v>
      </c>
      <c r="V1730" s="14">
        <v>1</v>
      </c>
      <c r="W1730" s="12">
        <v>5.4999999999999997E-3</v>
      </c>
      <c r="X1730" s="12">
        <v>2.6870124905868899E-2</v>
      </c>
      <c r="Y1730" s="14">
        <v>1678</v>
      </c>
      <c r="Z1730" s="14">
        <v>122</v>
      </c>
      <c r="AA1730" s="12" t="s">
        <v>2372</v>
      </c>
    </row>
    <row r="1731" spans="1:27" ht="14.25" x14ac:dyDescent="0.45">
      <c r="A1731" s="12" t="s">
        <v>1315</v>
      </c>
      <c r="B1731" s="12" t="s">
        <v>2368</v>
      </c>
      <c r="C1731" s="12" t="s">
        <v>2368</v>
      </c>
      <c r="D1731" s="12" t="s">
        <v>2368</v>
      </c>
      <c r="E1731" s="20">
        <v>1</v>
      </c>
      <c r="F1731" s="20">
        <v>44372</v>
      </c>
      <c r="G1731" s="12">
        <v>6</v>
      </c>
      <c r="H1731" s="12">
        <v>6.3</v>
      </c>
      <c r="I1731" s="13">
        <v>0.952380952380952</v>
      </c>
      <c r="J1731" s="12" t="s">
        <v>1315</v>
      </c>
      <c r="K1731" s="14">
        <v>837</v>
      </c>
      <c r="L1731" s="14">
        <v>1606</v>
      </c>
      <c r="M1731" s="14">
        <v>962</v>
      </c>
      <c r="N1731" s="12">
        <v>6</v>
      </c>
      <c r="O1731" s="12" t="s">
        <v>1315</v>
      </c>
      <c r="P1731" s="12">
        <v>9.6518109210240498E-4</v>
      </c>
      <c r="Q1731" s="12">
        <v>4.3366925877511998E-3</v>
      </c>
      <c r="R1731" s="12">
        <v>9.5262096774193505E-2</v>
      </c>
      <c r="S1731" s="14">
        <v>122</v>
      </c>
      <c r="T1731" s="12">
        <v>0.30723757768829002</v>
      </c>
      <c r="U1731" s="14">
        <v>910</v>
      </c>
      <c r="V1731" s="14">
        <v>1</v>
      </c>
      <c r="W1731" s="12">
        <v>5.4999999999999997E-3</v>
      </c>
      <c r="X1731" s="12">
        <v>0.31273757768829002</v>
      </c>
      <c r="Y1731" s="14">
        <v>910</v>
      </c>
      <c r="Z1731" s="14">
        <v>122</v>
      </c>
      <c r="AA1731" s="12" t="s">
        <v>2372</v>
      </c>
    </row>
    <row r="1732" spans="1:27" ht="14.25" x14ac:dyDescent="0.45">
      <c r="A1732" s="12" t="s">
        <v>1316</v>
      </c>
      <c r="B1732" s="12" t="s">
        <v>2368</v>
      </c>
      <c r="C1732" s="12" t="s">
        <v>2368</v>
      </c>
      <c r="D1732" s="12" t="s">
        <v>2368</v>
      </c>
      <c r="E1732" s="20">
        <v>1</v>
      </c>
      <c r="F1732" s="20">
        <v>44368</v>
      </c>
      <c r="G1732" s="12">
        <v>12.99</v>
      </c>
      <c r="H1732" s="12">
        <v>6.43333333333333</v>
      </c>
      <c r="I1732" s="13">
        <v>2.0191709844559602</v>
      </c>
      <c r="J1732" s="12" t="s">
        <v>1316</v>
      </c>
      <c r="K1732" s="14">
        <v>653</v>
      </c>
      <c r="L1732" s="14">
        <v>1497</v>
      </c>
      <c r="M1732" s="14">
        <v>791</v>
      </c>
      <c r="N1732" s="12">
        <v>12.99</v>
      </c>
      <c r="O1732" s="12" t="s">
        <v>1316</v>
      </c>
      <c r="P1732" s="12">
        <v>2.0896170644017099E-3</v>
      </c>
      <c r="Q1732" s="12">
        <v>9.1943500337770701E-3</v>
      </c>
      <c r="R1732" s="12">
        <v>9.7278225806451596E-2</v>
      </c>
      <c r="S1732" s="14">
        <v>122</v>
      </c>
      <c r="T1732" s="12">
        <v>0.65300751702613102</v>
      </c>
      <c r="U1732" s="14">
        <v>736</v>
      </c>
      <c r="V1732" s="14">
        <v>3</v>
      </c>
      <c r="W1732" s="12">
        <v>5.7000000000000002E-3</v>
      </c>
      <c r="X1732" s="12">
        <v>0.65870751702613095</v>
      </c>
      <c r="Y1732" s="14">
        <v>736</v>
      </c>
      <c r="Z1732" s="14">
        <v>122</v>
      </c>
      <c r="AA1732" s="12" t="s">
        <v>2372</v>
      </c>
    </row>
    <row r="1733" spans="1:27" ht="14.25" x14ac:dyDescent="0.45">
      <c r="A1733" s="12" t="s">
        <v>1325</v>
      </c>
      <c r="B1733" s="12" t="s">
        <v>2368</v>
      </c>
      <c r="C1733" s="12" t="s">
        <v>2368</v>
      </c>
      <c r="D1733" s="12" t="s">
        <v>2368</v>
      </c>
      <c r="E1733" s="20">
        <v>1</v>
      </c>
      <c r="F1733" s="20">
        <v>44370</v>
      </c>
      <c r="G1733" s="12">
        <v>1.2</v>
      </c>
      <c r="H1733" s="12">
        <v>6.3666666666666698</v>
      </c>
      <c r="I1733" s="13">
        <v>0.18848167539267</v>
      </c>
      <c r="J1733" s="12" t="s">
        <v>1325</v>
      </c>
      <c r="K1733" s="14">
        <v>1361</v>
      </c>
      <c r="L1733" s="14">
        <v>1504</v>
      </c>
      <c r="M1733" s="14">
        <v>1522</v>
      </c>
      <c r="N1733" s="12">
        <v>1.2</v>
      </c>
      <c r="O1733" s="12" t="s">
        <v>1325</v>
      </c>
      <c r="P1733" s="12">
        <v>1.93036218420481E-4</v>
      </c>
      <c r="Q1733" s="12">
        <v>8.5825643883243605E-4</v>
      </c>
      <c r="R1733" s="12">
        <v>9.6270161290322606E-2</v>
      </c>
      <c r="S1733" s="14">
        <v>122</v>
      </c>
      <c r="T1733" s="12">
        <v>6.0879885617795303E-2</v>
      </c>
      <c r="U1733" s="14">
        <v>1476</v>
      </c>
      <c r="V1733" s="14">
        <v>1</v>
      </c>
      <c r="W1733" s="12">
        <v>5.4999999999999997E-3</v>
      </c>
      <c r="X1733" s="12">
        <v>6.6379885617795301E-2</v>
      </c>
      <c r="Y1733" s="14">
        <v>1477</v>
      </c>
      <c r="Z1733" s="14">
        <v>122</v>
      </c>
      <c r="AA1733" s="12" t="s">
        <v>2372</v>
      </c>
    </row>
    <row r="1734" spans="1:27" ht="14.25" x14ac:dyDescent="0.45">
      <c r="A1734" s="12" t="s">
        <v>1333</v>
      </c>
      <c r="B1734" s="12" t="s">
        <v>2368</v>
      </c>
      <c r="C1734" s="12" t="s">
        <v>2368</v>
      </c>
      <c r="D1734" s="12" t="s">
        <v>2368</v>
      </c>
      <c r="E1734" s="20">
        <v>1</v>
      </c>
      <c r="F1734" s="20">
        <v>44326</v>
      </c>
      <c r="G1734" s="12">
        <v>3.58</v>
      </c>
      <c r="H1734" s="12">
        <v>7.8333333333333304</v>
      </c>
      <c r="I1734" s="13">
        <v>0.45702127659574499</v>
      </c>
      <c r="J1734" s="12" t="s">
        <v>1333</v>
      </c>
      <c r="K1734" s="14">
        <v>1093</v>
      </c>
      <c r="L1734" s="14">
        <v>1244</v>
      </c>
      <c r="M1734" s="14">
        <v>1162</v>
      </c>
      <c r="N1734" s="12">
        <v>3.58</v>
      </c>
      <c r="O1734" s="12" t="s">
        <v>1333</v>
      </c>
      <c r="P1734" s="12">
        <v>5.7589138495443501E-4</v>
      </c>
      <c r="Q1734" s="12">
        <v>2.0810588217902199E-3</v>
      </c>
      <c r="R1734" s="12">
        <v>0.118447580645161</v>
      </c>
      <c r="S1734" s="14">
        <v>122</v>
      </c>
      <c r="T1734" s="12">
        <v>0.15166210329768001</v>
      </c>
      <c r="U1734" s="14">
        <v>1155</v>
      </c>
      <c r="V1734" s="14">
        <v>1</v>
      </c>
      <c r="W1734" s="12">
        <v>5.4999999999999997E-3</v>
      </c>
      <c r="X1734" s="12">
        <v>0.15716210329767999</v>
      </c>
      <c r="Y1734" s="14">
        <v>1155</v>
      </c>
      <c r="Z1734" s="14">
        <v>122</v>
      </c>
      <c r="AA1734" s="12" t="s">
        <v>2372</v>
      </c>
    </row>
    <row r="1735" spans="1:27" ht="14.25" x14ac:dyDescent="0.45">
      <c r="A1735" s="12" t="s">
        <v>1345</v>
      </c>
      <c r="B1735" s="12" t="s">
        <v>2368</v>
      </c>
      <c r="C1735" s="12" t="s">
        <v>2368</v>
      </c>
      <c r="D1735" s="12" t="s">
        <v>2368</v>
      </c>
      <c r="E1735" s="20">
        <v>1</v>
      </c>
      <c r="F1735" s="20">
        <v>44347</v>
      </c>
      <c r="G1735" s="12">
        <v>0.41</v>
      </c>
      <c r="H1735" s="12">
        <v>7.1333333333333302</v>
      </c>
      <c r="I1735" s="13">
        <v>5.7476635514018701E-2</v>
      </c>
      <c r="J1735" s="12" t="s">
        <v>1345</v>
      </c>
      <c r="K1735" s="14">
        <v>1586</v>
      </c>
      <c r="L1735" s="14">
        <v>1474</v>
      </c>
      <c r="M1735" s="14">
        <v>1711</v>
      </c>
      <c r="N1735" s="12">
        <v>0.41</v>
      </c>
      <c r="O1735" s="12" t="s">
        <v>1345</v>
      </c>
      <c r="P1735" s="12">
        <v>6.5954041293664396E-5</v>
      </c>
      <c r="Q1735" s="12">
        <v>2.6172142416264801E-4</v>
      </c>
      <c r="R1735" s="12">
        <v>0.10786290322580599</v>
      </c>
      <c r="S1735" s="14">
        <v>122</v>
      </c>
      <c r="T1735" s="12">
        <v>1.8830865558677901E-2</v>
      </c>
      <c r="U1735" s="14">
        <v>1694</v>
      </c>
      <c r="V1735" s="14">
        <v>1</v>
      </c>
      <c r="W1735" s="12">
        <v>5.4999999999999997E-3</v>
      </c>
      <c r="X1735" s="12">
        <v>2.4330865558677899E-2</v>
      </c>
      <c r="Y1735" s="14">
        <v>1694</v>
      </c>
      <c r="Z1735" s="14">
        <v>122</v>
      </c>
      <c r="AA1735" s="12" t="s">
        <v>2372</v>
      </c>
    </row>
    <row r="1736" spans="1:27" ht="14.25" x14ac:dyDescent="0.45">
      <c r="A1736" s="12" t="s">
        <v>1354</v>
      </c>
      <c r="B1736" s="12" t="s">
        <v>2368</v>
      </c>
      <c r="C1736" s="12" t="s">
        <v>2368</v>
      </c>
      <c r="D1736" s="12" t="s">
        <v>2368</v>
      </c>
      <c r="E1736" s="20">
        <v>1</v>
      </c>
      <c r="F1736" s="20">
        <v>44336</v>
      </c>
      <c r="G1736" s="12">
        <v>3.06</v>
      </c>
      <c r="H1736" s="12">
        <v>7.5</v>
      </c>
      <c r="I1736" s="13">
        <v>0.40799999999999997</v>
      </c>
      <c r="J1736" s="12" t="s">
        <v>1354</v>
      </c>
      <c r="K1736" s="14">
        <v>1132</v>
      </c>
      <c r="L1736" s="14">
        <v>1377</v>
      </c>
      <c r="M1736" s="14">
        <v>1216</v>
      </c>
      <c r="N1736" s="12">
        <v>3.06</v>
      </c>
      <c r="O1736" s="12" t="s">
        <v>1354</v>
      </c>
      <c r="P1736" s="12">
        <v>4.92242356972227E-4</v>
      </c>
      <c r="Q1736" s="12">
        <v>1.85783910459261E-3</v>
      </c>
      <c r="R1736" s="12">
        <v>0.113407258064516</v>
      </c>
      <c r="S1736" s="14">
        <v>122</v>
      </c>
      <c r="T1736" s="12">
        <v>0.134574032423497</v>
      </c>
      <c r="U1736" s="14">
        <v>1197</v>
      </c>
      <c r="V1736" s="14">
        <v>2</v>
      </c>
      <c r="W1736" s="12">
        <v>5.5999999999999999E-3</v>
      </c>
      <c r="X1736" s="12">
        <v>0.14017403242349699</v>
      </c>
      <c r="Y1736" s="14">
        <v>1197</v>
      </c>
      <c r="Z1736" s="14">
        <v>122</v>
      </c>
      <c r="AA1736" s="12" t="s">
        <v>2372</v>
      </c>
    </row>
    <row r="1737" spans="1:27" ht="14.25" x14ac:dyDescent="0.45">
      <c r="A1737" s="12" t="s">
        <v>1358</v>
      </c>
      <c r="B1737" s="12" t="s">
        <v>2368</v>
      </c>
      <c r="C1737" s="12" t="s">
        <v>2368</v>
      </c>
      <c r="D1737" s="12" t="s">
        <v>2368</v>
      </c>
      <c r="E1737" s="20">
        <v>1</v>
      </c>
      <c r="F1737" s="20">
        <v>44337</v>
      </c>
      <c r="G1737" s="12">
        <v>5.35</v>
      </c>
      <c r="H1737" s="12">
        <v>7.4666666666666703</v>
      </c>
      <c r="I1737" s="13">
        <v>0.71651785714285698</v>
      </c>
      <c r="J1737" s="12" t="s">
        <v>1358</v>
      </c>
      <c r="K1737" s="14">
        <v>927</v>
      </c>
      <c r="L1737" s="14">
        <v>1428</v>
      </c>
      <c r="M1737" s="14">
        <v>1012</v>
      </c>
      <c r="N1737" s="12">
        <v>5.35</v>
      </c>
      <c r="O1737" s="12" t="s">
        <v>1358</v>
      </c>
      <c r="P1737" s="12">
        <v>8.6061980712464497E-4</v>
      </c>
      <c r="Q1737" s="12">
        <v>3.26268356406594E-3</v>
      </c>
      <c r="R1737" s="12">
        <v>0.112903225806452</v>
      </c>
      <c r="S1737" s="14">
        <v>122</v>
      </c>
      <c r="T1737" s="12">
        <v>0.23619096552129501</v>
      </c>
      <c r="U1737" s="14">
        <v>989</v>
      </c>
      <c r="V1737" s="14">
        <v>2</v>
      </c>
      <c r="W1737" s="12">
        <v>5.5999999999999999E-3</v>
      </c>
      <c r="X1737" s="12">
        <v>0.241790965521295</v>
      </c>
      <c r="Y1737" s="14">
        <v>988</v>
      </c>
      <c r="Z1737" s="14">
        <v>122</v>
      </c>
      <c r="AA1737" s="12" t="s">
        <v>2372</v>
      </c>
    </row>
    <row r="1738" spans="1:27" ht="14.25" x14ac:dyDescent="0.45">
      <c r="A1738" s="12" t="s">
        <v>1396</v>
      </c>
      <c r="B1738" s="12" t="s">
        <v>2368</v>
      </c>
      <c r="C1738" s="12" t="s">
        <v>2368</v>
      </c>
      <c r="D1738" s="12" t="s">
        <v>2368</v>
      </c>
      <c r="E1738" s="20">
        <v>1</v>
      </c>
      <c r="F1738" s="20">
        <v>44336</v>
      </c>
      <c r="G1738" s="12">
        <v>3.66</v>
      </c>
      <c r="H1738" s="12">
        <v>7.5</v>
      </c>
      <c r="I1738" s="13">
        <v>0.48799999999999999</v>
      </c>
      <c r="J1738" s="12" t="s">
        <v>1396</v>
      </c>
      <c r="K1738" s="14">
        <v>1064</v>
      </c>
      <c r="L1738" s="14">
        <v>1377</v>
      </c>
      <c r="M1738" s="14">
        <v>1149</v>
      </c>
      <c r="N1738" s="12">
        <v>3.66</v>
      </c>
      <c r="O1738" s="12" t="s">
        <v>1396</v>
      </c>
      <c r="P1738" s="12">
        <v>5.88760466182467E-4</v>
      </c>
      <c r="Q1738" s="12">
        <v>2.2221212819637098E-3</v>
      </c>
      <c r="R1738" s="12">
        <v>0.113407258064516</v>
      </c>
      <c r="S1738" s="14">
        <v>122</v>
      </c>
      <c r="T1738" s="12">
        <v>0.160961097604575</v>
      </c>
      <c r="U1738" s="14">
        <v>1128</v>
      </c>
      <c r="V1738" s="14">
        <v>1</v>
      </c>
      <c r="W1738" s="12">
        <v>5.4999999999999997E-3</v>
      </c>
      <c r="X1738" s="12">
        <v>0.166461097604575</v>
      </c>
      <c r="Y1738" s="14">
        <v>1129</v>
      </c>
      <c r="Z1738" s="14">
        <v>122</v>
      </c>
      <c r="AA1738" s="12" t="s">
        <v>2372</v>
      </c>
    </row>
    <row r="1739" spans="1:27" ht="14.25" x14ac:dyDescent="0.45">
      <c r="A1739" s="12" t="s">
        <v>1410</v>
      </c>
      <c r="B1739" s="12" t="s">
        <v>2368</v>
      </c>
      <c r="C1739" s="12" t="s">
        <v>2368</v>
      </c>
      <c r="D1739" s="12" t="s">
        <v>2368</v>
      </c>
      <c r="E1739" s="20">
        <v>1</v>
      </c>
      <c r="F1739" s="20">
        <v>44280</v>
      </c>
      <c r="G1739" s="12">
        <v>0.62</v>
      </c>
      <c r="H1739" s="12">
        <v>9.3666666666666707</v>
      </c>
      <c r="I1739" s="13">
        <v>6.61921708185053E-2</v>
      </c>
      <c r="J1739" s="12" t="s">
        <v>1410</v>
      </c>
      <c r="K1739" s="14">
        <v>1571</v>
      </c>
      <c r="L1739" s="14">
        <v>1063</v>
      </c>
      <c r="M1739" s="14">
        <v>1653</v>
      </c>
      <c r="N1739" s="12">
        <v>0.62</v>
      </c>
      <c r="O1739" s="12" t="s">
        <v>1410</v>
      </c>
      <c r="P1739" s="12">
        <v>9.9735379517248594E-5</v>
      </c>
      <c r="Q1739" s="12">
        <v>3.0140785138356202E-4</v>
      </c>
      <c r="R1739" s="12">
        <v>0.141633064516129</v>
      </c>
      <c r="S1739" s="14">
        <v>122</v>
      </c>
      <c r="T1739" s="12">
        <v>2.25780674433694E-2</v>
      </c>
      <c r="U1739" s="14">
        <v>1666</v>
      </c>
      <c r="V1739" s="14">
        <v>1</v>
      </c>
      <c r="W1739" s="12">
        <v>5.4999999999999997E-3</v>
      </c>
      <c r="X1739" s="12">
        <v>2.8078067443369398E-2</v>
      </c>
      <c r="Y1739" s="14">
        <v>1666</v>
      </c>
      <c r="Z1739" s="14">
        <v>122</v>
      </c>
      <c r="AA1739" s="12" t="s">
        <v>2372</v>
      </c>
    </row>
    <row r="1740" spans="1:27" ht="14.25" x14ac:dyDescent="0.45">
      <c r="A1740" s="12" t="s">
        <v>1454</v>
      </c>
      <c r="B1740" s="12" t="s">
        <v>2368</v>
      </c>
      <c r="C1740" s="12" t="s">
        <v>2368</v>
      </c>
      <c r="D1740" s="12" t="s">
        <v>2368</v>
      </c>
      <c r="E1740" s="20">
        <v>1</v>
      </c>
      <c r="F1740" s="20">
        <v>44372</v>
      </c>
      <c r="G1740" s="12">
        <v>1.61</v>
      </c>
      <c r="H1740" s="12">
        <v>6.3</v>
      </c>
      <c r="I1740" s="13">
        <v>0.25555555555555598</v>
      </c>
      <c r="J1740" s="12" t="s">
        <v>1454</v>
      </c>
      <c r="K1740" s="14">
        <v>1270</v>
      </c>
      <c r="L1740" s="14">
        <v>1606</v>
      </c>
      <c r="M1740" s="14">
        <v>1468</v>
      </c>
      <c r="N1740" s="12">
        <v>1.61</v>
      </c>
      <c r="O1740" s="12" t="s">
        <v>1454</v>
      </c>
      <c r="P1740" s="12">
        <v>2.58990259714145E-4</v>
      </c>
      <c r="Q1740" s="12">
        <v>1.1636791777132401E-3</v>
      </c>
      <c r="R1740" s="12">
        <v>9.5262096774193505E-2</v>
      </c>
      <c r="S1740" s="14">
        <v>122</v>
      </c>
      <c r="T1740" s="12">
        <v>8.2442083346357803E-2</v>
      </c>
      <c r="U1740" s="14">
        <v>1346</v>
      </c>
      <c r="V1740" s="14">
        <v>2</v>
      </c>
      <c r="W1740" s="12">
        <v>5.5999999999999999E-3</v>
      </c>
      <c r="X1740" s="12">
        <v>8.8042083346357894E-2</v>
      </c>
      <c r="Y1740" s="14">
        <v>1347</v>
      </c>
      <c r="Z1740" s="14">
        <v>122</v>
      </c>
      <c r="AA1740" s="12" t="s">
        <v>2372</v>
      </c>
    </row>
    <row r="1741" spans="1:27" ht="14.25" x14ac:dyDescent="0.45">
      <c r="A1741" s="12" t="s">
        <v>1465</v>
      </c>
      <c r="B1741" s="12" t="s">
        <v>2368</v>
      </c>
      <c r="C1741" s="12" t="s">
        <v>2368</v>
      </c>
      <c r="D1741" s="12" t="s">
        <v>2368</v>
      </c>
      <c r="E1741" s="20">
        <v>1</v>
      </c>
      <c r="F1741" s="20">
        <v>44370</v>
      </c>
      <c r="G1741" s="12">
        <v>3</v>
      </c>
      <c r="H1741" s="12">
        <v>6.3666666666666698</v>
      </c>
      <c r="I1741" s="13">
        <v>0.471204188481675</v>
      </c>
      <c r="J1741" s="12" t="s">
        <v>1465</v>
      </c>
      <c r="K1741" s="14">
        <v>1076</v>
      </c>
      <c r="L1741" s="14">
        <v>1504</v>
      </c>
      <c r="M1741" s="14">
        <v>1221</v>
      </c>
      <c r="N1741" s="12">
        <v>3</v>
      </c>
      <c r="O1741" s="12" t="s">
        <v>1465</v>
      </c>
      <c r="P1741" s="12">
        <v>4.8259054605120298E-4</v>
      </c>
      <c r="Q1741" s="12">
        <v>2.1456410970810899E-3</v>
      </c>
      <c r="R1741" s="12">
        <v>9.6270161290322606E-2</v>
      </c>
      <c r="S1741" s="14">
        <v>122</v>
      </c>
      <c r="T1741" s="12">
        <v>0.15219971404448801</v>
      </c>
      <c r="U1741" s="14">
        <v>1150</v>
      </c>
      <c r="V1741" s="14">
        <v>1</v>
      </c>
      <c r="W1741" s="12">
        <v>5.4999999999999997E-3</v>
      </c>
      <c r="X1741" s="12">
        <v>0.15769971404448799</v>
      </c>
      <c r="Y1741" s="14">
        <v>1150</v>
      </c>
      <c r="Z1741" s="14">
        <v>122</v>
      </c>
      <c r="AA1741" s="12" t="s">
        <v>2372</v>
      </c>
    </row>
    <row r="1742" spans="1:27" ht="14.25" x14ac:dyDescent="0.45">
      <c r="A1742" s="12" t="s">
        <v>1472</v>
      </c>
      <c r="B1742" s="12" t="s">
        <v>2368</v>
      </c>
      <c r="C1742" s="12" t="s">
        <v>2368</v>
      </c>
      <c r="D1742" s="12" t="s">
        <v>2368</v>
      </c>
      <c r="E1742" s="20">
        <v>1</v>
      </c>
      <c r="F1742" s="20">
        <v>44376</v>
      </c>
      <c r="G1742" s="12">
        <v>0.18</v>
      </c>
      <c r="H1742" s="12">
        <v>6.1666666666666696</v>
      </c>
      <c r="I1742" s="13">
        <v>2.91891891891892E-2</v>
      </c>
      <c r="J1742" s="12" t="s">
        <v>1472</v>
      </c>
      <c r="K1742" s="14">
        <v>1658</v>
      </c>
      <c r="L1742" s="14">
        <v>1643</v>
      </c>
      <c r="M1742" s="14">
        <v>1788</v>
      </c>
      <c r="N1742" s="12">
        <v>0.18</v>
      </c>
      <c r="O1742" s="12" t="s">
        <v>1472</v>
      </c>
      <c r="P1742" s="12">
        <v>2.89554327630722E-5</v>
      </c>
      <c r="Q1742" s="12">
        <v>1.32913767419185E-4</v>
      </c>
      <c r="R1742" s="12">
        <v>9.3245967741935498E-2</v>
      </c>
      <c r="S1742" s="14">
        <v>122</v>
      </c>
      <c r="T1742" s="12">
        <v>9.3929391923142907E-3</v>
      </c>
      <c r="U1742" s="14">
        <v>1766</v>
      </c>
      <c r="V1742" s="14">
        <v>1</v>
      </c>
      <c r="W1742" s="12">
        <v>5.4999999999999997E-3</v>
      </c>
      <c r="X1742" s="12">
        <v>1.4892939192314301E-2</v>
      </c>
      <c r="Y1742" s="14">
        <v>1766</v>
      </c>
      <c r="Z1742" s="14">
        <v>122</v>
      </c>
      <c r="AA1742" s="12" t="s">
        <v>2372</v>
      </c>
    </row>
    <row r="1743" spans="1:27" ht="14.25" x14ac:dyDescent="0.45">
      <c r="A1743" s="12" t="s">
        <v>1539</v>
      </c>
      <c r="B1743" s="12" t="s">
        <v>2368</v>
      </c>
      <c r="C1743" s="12" t="s">
        <v>2368</v>
      </c>
      <c r="D1743" s="12" t="s">
        <v>2368</v>
      </c>
      <c r="E1743" s="20">
        <v>1</v>
      </c>
      <c r="F1743" s="20">
        <v>44247</v>
      </c>
      <c r="G1743" s="12">
        <v>2.4900000000000002</v>
      </c>
      <c r="H1743" s="12">
        <v>10.466666666666701</v>
      </c>
      <c r="I1743" s="13">
        <v>0.237898089171975</v>
      </c>
      <c r="J1743" s="12" t="s">
        <v>1539</v>
      </c>
      <c r="K1743" s="14">
        <v>1293</v>
      </c>
      <c r="L1743" s="14">
        <v>951</v>
      </c>
      <c r="M1743" s="14">
        <v>1274</v>
      </c>
      <c r="N1743" s="12">
        <v>2.4900000000000002</v>
      </c>
      <c r="O1743" s="12" t="s">
        <v>1539</v>
      </c>
      <c r="P1743" s="12">
        <v>4.0055015322249801E-4</v>
      </c>
      <c r="Q1743" s="12">
        <v>1.08327542394989E-3</v>
      </c>
      <c r="R1743" s="12">
        <v>0.15826612903225801</v>
      </c>
      <c r="S1743" s="14">
        <v>122</v>
      </c>
      <c r="T1743" s="12">
        <v>8.2725344742711801E-2</v>
      </c>
      <c r="U1743" s="14">
        <v>1345</v>
      </c>
      <c r="V1743" s="14">
        <v>2</v>
      </c>
      <c r="W1743" s="12">
        <v>5.5999999999999999E-3</v>
      </c>
      <c r="X1743" s="12">
        <v>8.8325344742711795E-2</v>
      </c>
      <c r="Y1743" s="14">
        <v>1346</v>
      </c>
      <c r="Z1743" s="14">
        <v>122</v>
      </c>
      <c r="AA1743" s="12" t="s">
        <v>2372</v>
      </c>
    </row>
    <row r="1744" spans="1:27" ht="14.25" x14ac:dyDescent="0.45">
      <c r="A1744" s="12" t="s">
        <v>1548</v>
      </c>
      <c r="B1744" s="12" t="s">
        <v>2368</v>
      </c>
      <c r="C1744" s="12" t="s">
        <v>2368</v>
      </c>
      <c r="D1744" s="12" t="s">
        <v>2368</v>
      </c>
      <c r="E1744" s="20">
        <v>1</v>
      </c>
      <c r="F1744" s="20">
        <v>44370</v>
      </c>
      <c r="G1744" s="12">
        <v>0.32</v>
      </c>
      <c r="H1744" s="12">
        <v>6.3666666666666698</v>
      </c>
      <c r="I1744" s="13">
        <v>5.0261780104712002E-2</v>
      </c>
      <c r="J1744" s="12" t="s">
        <v>1548</v>
      </c>
      <c r="K1744" s="14">
        <v>1608</v>
      </c>
      <c r="L1744" s="14">
        <v>1504</v>
      </c>
      <c r="M1744" s="14">
        <v>1730</v>
      </c>
      <c r="N1744" s="12">
        <v>0.32</v>
      </c>
      <c r="O1744" s="12" t="s">
        <v>1548</v>
      </c>
      <c r="P1744" s="12">
        <v>5.1476324912128303E-5</v>
      </c>
      <c r="Q1744" s="12">
        <v>2.2886838368864999E-4</v>
      </c>
      <c r="R1744" s="12">
        <v>9.6270161290322606E-2</v>
      </c>
      <c r="S1744" s="14">
        <v>122</v>
      </c>
      <c r="T1744" s="12">
        <v>1.6234636164745402E-2</v>
      </c>
      <c r="U1744" s="14">
        <v>1709</v>
      </c>
      <c r="V1744" s="14">
        <v>1</v>
      </c>
      <c r="W1744" s="12">
        <v>5.4999999999999997E-3</v>
      </c>
      <c r="X1744" s="12">
        <v>2.17346361647454E-2</v>
      </c>
      <c r="Y1744" s="14">
        <v>1709</v>
      </c>
      <c r="Z1744" s="14">
        <v>122</v>
      </c>
      <c r="AA1744" s="12" t="s">
        <v>2372</v>
      </c>
    </row>
    <row r="1745" spans="1:27" ht="14.25" x14ac:dyDescent="0.45">
      <c r="A1745" s="12" t="s">
        <v>1549</v>
      </c>
      <c r="B1745" s="12" t="s">
        <v>2368</v>
      </c>
      <c r="C1745" s="12" t="s">
        <v>2368</v>
      </c>
      <c r="D1745" s="12" t="s">
        <v>2368</v>
      </c>
      <c r="E1745" s="20">
        <v>1</v>
      </c>
      <c r="F1745" s="20">
        <v>44336</v>
      </c>
      <c r="G1745" s="12">
        <v>0.33</v>
      </c>
      <c r="H1745" s="12">
        <v>7.5</v>
      </c>
      <c r="I1745" s="13">
        <v>4.3999999999999997E-2</v>
      </c>
      <c r="J1745" s="12" t="s">
        <v>1549</v>
      </c>
      <c r="K1745" s="14">
        <v>1621</v>
      </c>
      <c r="L1745" s="14">
        <v>1377</v>
      </c>
      <c r="M1745" s="14">
        <v>1726</v>
      </c>
      <c r="N1745" s="12">
        <v>0.33</v>
      </c>
      <c r="O1745" s="12" t="s">
        <v>1549</v>
      </c>
      <c r="P1745" s="12">
        <v>5.3084960065632302E-5</v>
      </c>
      <c r="Q1745" s="12">
        <v>2.0035519755410501E-4</v>
      </c>
      <c r="R1745" s="12">
        <v>0.113407258064516</v>
      </c>
      <c r="S1745" s="14">
        <v>122</v>
      </c>
      <c r="T1745" s="12">
        <v>1.45128858495928E-2</v>
      </c>
      <c r="U1745" s="14">
        <v>1719</v>
      </c>
      <c r="V1745" s="14">
        <v>2</v>
      </c>
      <c r="W1745" s="12">
        <v>5.5999999999999999E-3</v>
      </c>
      <c r="X1745" s="12">
        <v>2.0112885849592799E-2</v>
      </c>
      <c r="Y1745" s="14">
        <v>1720</v>
      </c>
      <c r="Z1745" s="14">
        <v>122</v>
      </c>
      <c r="AA1745" s="12" t="s">
        <v>2372</v>
      </c>
    </row>
    <row r="1746" spans="1:27" ht="14.25" x14ac:dyDescent="0.45">
      <c r="A1746" s="12" t="s">
        <v>1566</v>
      </c>
      <c r="B1746" s="12" t="s">
        <v>2368</v>
      </c>
      <c r="C1746" s="12" t="s">
        <v>2368</v>
      </c>
      <c r="D1746" s="12" t="s">
        <v>2368</v>
      </c>
      <c r="E1746" s="20">
        <v>1</v>
      </c>
      <c r="F1746" s="20">
        <v>44335</v>
      </c>
      <c r="G1746" s="12">
        <v>0.03</v>
      </c>
      <c r="H1746" s="12">
        <v>7.5333333333333297</v>
      </c>
      <c r="I1746" s="13">
        <v>3.9823008849557504E-3</v>
      </c>
      <c r="J1746" s="12" t="s">
        <v>1566</v>
      </c>
      <c r="K1746" s="14">
        <v>1786</v>
      </c>
      <c r="L1746" s="14">
        <v>1332</v>
      </c>
      <c r="M1746" s="14">
        <v>1895</v>
      </c>
      <c r="N1746" s="12">
        <v>0.03</v>
      </c>
      <c r="O1746" s="12" t="s">
        <v>1566</v>
      </c>
      <c r="P1746" s="12">
        <v>4.8259054605120303E-6</v>
      </c>
      <c r="Q1746" s="12">
        <v>1.8133515466481799E-5</v>
      </c>
      <c r="R1746" s="12">
        <v>0.113911290322581</v>
      </c>
      <c r="S1746" s="14">
        <v>122</v>
      </c>
      <c r="T1746" s="12">
        <v>1.3143161714243099E-3</v>
      </c>
      <c r="U1746" s="14">
        <v>1893</v>
      </c>
      <c r="V1746" s="14">
        <v>1</v>
      </c>
      <c r="W1746" s="12">
        <v>5.4999999999999997E-3</v>
      </c>
      <c r="X1746" s="12">
        <v>6.8143161714243096E-3</v>
      </c>
      <c r="Y1746" s="14">
        <v>1894</v>
      </c>
      <c r="Z1746" s="14">
        <v>122</v>
      </c>
      <c r="AA1746" s="12" t="s">
        <v>2372</v>
      </c>
    </row>
    <row r="1747" spans="1:27" ht="14.25" x14ac:dyDescent="0.45">
      <c r="A1747" s="12" t="s">
        <v>1571</v>
      </c>
      <c r="B1747" s="12" t="s">
        <v>2368</v>
      </c>
      <c r="C1747" s="12" t="s">
        <v>2368</v>
      </c>
      <c r="D1747" s="12" t="s">
        <v>2368</v>
      </c>
      <c r="E1747" s="20">
        <v>1</v>
      </c>
      <c r="F1747" s="20">
        <v>44414</v>
      </c>
      <c r="G1747" s="12">
        <v>0.05</v>
      </c>
      <c r="H1747" s="12">
        <v>4.9000000000000004</v>
      </c>
      <c r="I1747" s="13">
        <v>1.02040816326531E-2</v>
      </c>
      <c r="J1747" s="12" t="s">
        <v>1571</v>
      </c>
      <c r="K1747" s="14">
        <v>1745</v>
      </c>
      <c r="L1747" s="14">
        <v>1748</v>
      </c>
      <c r="M1747" s="14">
        <v>1878</v>
      </c>
      <c r="N1747" s="12">
        <v>0.05</v>
      </c>
      <c r="O1747" s="12" t="s">
        <v>1571</v>
      </c>
      <c r="P1747" s="12">
        <v>8.0431757675200496E-6</v>
      </c>
      <c r="Q1747" s="12">
        <v>4.6464563440191402E-5</v>
      </c>
      <c r="R1747" s="12">
        <v>7.4092741935483902E-2</v>
      </c>
      <c r="S1747" s="14">
        <v>122</v>
      </c>
      <c r="T1747" s="12">
        <v>3.2056543062939599E-3</v>
      </c>
      <c r="U1747" s="14">
        <v>1851</v>
      </c>
      <c r="V1747" s="14">
        <v>1</v>
      </c>
      <c r="W1747" s="12">
        <v>5.4999999999999997E-3</v>
      </c>
      <c r="X1747" s="12">
        <v>8.7056543062939695E-3</v>
      </c>
      <c r="Y1747" s="14">
        <v>1851</v>
      </c>
      <c r="Z1747" s="14">
        <v>122</v>
      </c>
      <c r="AA1747" s="12" t="s">
        <v>2372</v>
      </c>
    </row>
    <row r="1748" spans="1:27" ht="14.25" x14ac:dyDescent="0.45">
      <c r="A1748" s="12" t="s">
        <v>1575</v>
      </c>
      <c r="B1748" s="12" t="s">
        <v>2368</v>
      </c>
      <c r="C1748" s="12" t="s">
        <v>2368</v>
      </c>
      <c r="D1748" s="12" t="s">
        <v>2368</v>
      </c>
      <c r="E1748" s="20">
        <v>1</v>
      </c>
      <c r="F1748" s="20">
        <v>44424</v>
      </c>
      <c r="G1748" s="12">
        <v>0.24</v>
      </c>
      <c r="H1748" s="12">
        <v>4.56666666666667</v>
      </c>
      <c r="I1748" s="13">
        <v>5.2554744525547398E-2</v>
      </c>
      <c r="J1748" s="12" t="s">
        <v>1575</v>
      </c>
      <c r="K1748" s="14">
        <v>1601</v>
      </c>
      <c r="L1748" s="14">
        <v>1809</v>
      </c>
      <c r="M1748" s="14">
        <v>1761</v>
      </c>
      <c r="N1748" s="12">
        <v>0.24</v>
      </c>
      <c r="O1748" s="12" t="s">
        <v>1575</v>
      </c>
      <c r="P1748" s="12">
        <v>3.8607243684096202E-5</v>
      </c>
      <c r="Q1748" s="12">
        <v>2.39309459586854E-4</v>
      </c>
      <c r="R1748" s="12">
        <v>6.9052419354838704E-2</v>
      </c>
      <c r="S1748" s="14">
        <v>122</v>
      </c>
      <c r="T1748" s="12">
        <v>1.6404612862332E-2</v>
      </c>
      <c r="U1748" s="14">
        <v>1707</v>
      </c>
      <c r="V1748" s="14">
        <v>1</v>
      </c>
      <c r="W1748" s="12">
        <v>5.4999999999999997E-3</v>
      </c>
      <c r="X1748" s="12">
        <v>2.1904612862332001E-2</v>
      </c>
      <c r="Y1748" s="14">
        <v>1707</v>
      </c>
      <c r="Z1748" s="14">
        <v>122</v>
      </c>
      <c r="AA1748" s="12" t="s">
        <v>2372</v>
      </c>
    </row>
    <row r="1749" spans="1:27" ht="14.25" x14ac:dyDescent="0.45">
      <c r="A1749" s="12" t="s">
        <v>1582</v>
      </c>
      <c r="B1749" s="12" t="s">
        <v>2368</v>
      </c>
      <c r="C1749" s="12" t="s">
        <v>2368</v>
      </c>
      <c r="D1749" s="12" t="s">
        <v>2368</v>
      </c>
      <c r="E1749" s="20">
        <v>1</v>
      </c>
      <c r="F1749" s="20">
        <v>44414</v>
      </c>
      <c r="G1749" s="12">
        <v>0.51</v>
      </c>
      <c r="H1749" s="12">
        <v>4.9000000000000004</v>
      </c>
      <c r="I1749" s="13">
        <v>0.104081632653061</v>
      </c>
      <c r="J1749" s="12" t="s">
        <v>1582</v>
      </c>
      <c r="K1749" s="14">
        <v>1480</v>
      </c>
      <c r="L1749" s="14">
        <v>1748</v>
      </c>
      <c r="M1749" s="14">
        <v>1685</v>
      </c>
      <c r="N1749" s="12">
        <v>0.51</v>
      </c>
      <c r="O1749" s="12" t="s">
        <v>1582</v>
      </c>
      <c r="P1749" s="12">
        <v>8.2040392828704496E-5</v>
      </c>
      <c r="Q1749" s="12">
        <v>4.7393854708995198E-4</v>
      </c>
      <c r="R1749" s="12">
        <v>7.4092741935483902E-2</v>
      </c>
      <c r="S1749" s="14">
        <v>122</v>
      </c>
      <c r="T1749" s="12">
        <v>3.2697673924198402E-2</v>
      </c>
      <c r="U1749" s="14">
        <v>1606</v>
      </c>
      <c r="V1749" s="14">
        <v>1</v>
      </c>
      <c r="W1749" s="12">
        <v>5.4999999999999997E-3</v>
      </c>
      <c r="X1749" s="12">
        <v>3.81976739241984E-2</v>
      </c>
      <c r="Y1749" s="14">
        <v>1606</v>
      </c>
      <c r="Z1749" s="14">
        <v>122</v>
      </c>
      <c r="AA1749" s="12" t="s">
        <v>2372</v>
      </c>
    </row>
    <row r="1750" spans="1:27" ht="14.25" x14ac:dyDescent="0.45">
      <c r="A1750" s="12" t="s">
        <v>1591</v>
      </c>
      <c r="B1750" s="12" t="s">
        <v>2368</v>
      </c>
      <c r="C1750" s="12" t="s">
        <v>2368</v>
      </c>
      <c r="D1750" s="12" t="s">
        <v>2368</v>
      </c>
      <c r="E1750" s="20">
        <v>1</v>
      </c>
      <c r="F1750" s="20">
        <v>44405</v>
      </c>
      <c r="G1750" s="12">
        <v>0.05</v>
      </c>
      <c r="H1750" s="12">
        <v>5.2</v>
      </c>
      <c r="I1750" s="13">
        <v>9.6153846153846194E-3</v>
      </c>
      <c r="J1750" s="12" t="s">
        <v>1591</v>
      </c>
      <c r="K1750" s="14">
        <v>1747</v>
      </c>
      <c r="L1750" s="14">
        <v>1707</v>
      </c>
      <c r="M1750" s="14">
        <v>1878</v>
      </c>
      <c r="N1750" s="12">
        <v>0.05</v>
      </c>
      <c r="O1750" s="12" t="s">
        <v>1591</v>
      </c>
      <c r="P1750" s="12">
        <v>8.0431757675200496E-6</v>
      </c>
      <c r="Q1750" s="12">
        <v>4.3783915549411103E-5</v>
      </c>
      <c r="R1750" s="12">
        <v>7.8629032258064502E-2</v>
      </c>
      <c r="S1750" s="14">
        <v>122</v>
      </c>
      <c r="T1750" s="12">
        <v>3.0381138131201999E-3</v>
      </c>
      <c r="U1750" s="14">
        <v>1857</v>
      </c>
      <c r="V1750" s="14">
        <v>1</v>
      </c>
      <c r="W1750" s="12">
        <v>5.4999999999999997E-3</v>
      </c>
      <c r="X1750" s="12">
        <v>8.5381138131201996E-3</v>
      </c>
      <c r="Y1750" s="14">
        <v>1857</v>
      </c>
      <c r="Z1750" s="14">
        <v>122</v>
      </c>
      <c r="AA1750" s="12" t="s">
        <v>2372</v>
      </c>
    </row>
    <row r="1751" spans="1:27" ht="14.25" x14ac:dyDescent="0.45">
      <c r="A1751" s="12" t="s">
        <v>1594</v>
      </c>
      <c r="B1751" s="12" t="s">
        <v>2368</v>
      </c>
      <c r="C1751" s="12" t="s">
        <v>2368</v>
      </c>
      <c r="D1751" s="12" t="s">
        <v>2368</v>
      </c>
      <c r="E1751" s="20">
        <v>1</v>
      </c>
      <c r="F1751" s="20">
        <v>43664</v>
      </c>
      <c r="G1751" s="12">
        <v>16.18</v>
      </c>
      <c r="H1751" s="12">
        <v>29.9</v>
      </c>
      <c r="I1751" s="13">
        <v>0.54113712374581902</v>
      </c>
      <c r="J1751" s="12" t="s">
        <v>1594</v>
      </c>
      <c r="K1751" s="14">
        <v>1024</v>
      </c>
      <c r="L1751" s="14">
        <v>259</v>
      </c>
      <c r="M1751" s="14">
        <v>757</v>
      </c>
      <c r="N1751" s="12">
        <v>16.18</v>
      </c>
      <c r="O1751" s="12" t="s">
        <v>1594</v>
      </c>
      <c r="P1751" s="12">
        <v>2.6027716783694902E-3</v>
      </c>
      <c r="Q1751" s="12">
        <v>2.4640826211807698E-3</v>
      </c>
      <c r="R1751" s="12">
        <v>0.452116935483871</v>
      </c>
      <c r="S1751" s="14">
        <v>122</v>
      </c>
      <c r="T1751" s="12">
        <v>0.251609101762654</v>
      </c>
      <c r="U1751" s="14">
        <v>968</v>
      </c>
      <c r="V1751" s="14">
        <v>6</v>
      </c>
      <c r="W1751" s="12">
        <v>6.0000000000000001E-3</v>
      </c>
      <c r="X1751" s="12">
        <v>0.257609101762654</v>
      </c>
      <c r="Y1751" s="14">
        <v>968</v>
      </c>
      <c r="Z1751" s="14">
        <v>122</v>
      </c>
      <c r="AA1751" s="12" t="s">
        <v>2372</v>
      </c>
    </row>
    <row r="1752" spans="1:27" ht="14.25" x14ac:dyDescent="0.45">
      <c r="A1752" s="12" t="s">
        <v>1607</v>
      </c>
      <c r="B1752" s="12" t="s">
        <v>2368</v>
      </c>
      <c r="C1752" s="12" t="s">
        <v>2368</v>
      </c>
      <c r="D1752" s="12" t="s">
        <v>2368</v>
      </c>
      <c r="E1752" s="20">
        <v>1</v>
      </c>
      <c r="F1752" s="20">
        <v>44417</v>
      </c>
      <c r="G1752" s="12">
        <v>0.43</v>
      </c>
      <c r="H1752" s="12">
        <v>4.8</v>
      </c>
      <c r="I1752" s="13">
        <v>8.9583333333333307E-2</v>
      </c>
      <c r="J1752" s="12" t="s">
        <v>1607</v>
      </c>
      <c r="K1752" s="14">
        <v>1524</v>
      </c>
      <c r="L1752" s="14">
        <v>1757</v>
      </c>
      <c r="M1752" s="14">
        <v>1705</v>
      </c>
      <c r="N1752" s="12">
        <v>0.43</v>
      </c>
      <c r="O1752" s="12" t="s">
        <v>1607</v>
      </c>
      <c r="P1752" s="12">
        <v>6.9171311600672394E-5</v>
      </c>
      <c r="Q1752" s="12">
        <v>4.0792014653534699E-4</v>
      </c>
      <c r="R1752" s="12">
        <v>7.25806451612903E-2</v>
      </c>
      <c r="S1752" s="14">
        <v>122</v>
      </c>
      <c r="T1752" s="12">
        <v>2.8088933343484401E-2</v>
      </c>
      <c r="U1752" s="14">
        <v>1637</v>
      </c>
      <c r="V1752" s="14">
        <v>2</v>
      </c>
      <c r="W1752" s="12">
        <v>5.5999999999999999E-3</v>
      </c>
      <c r="X1752" s="12">
        <v>3.3688933343484398E-2</v>
      </c>
      <c r="Y1752" s="14">
        <v>1636</v>
      </c>
      <c r="Z1752" s="14">
        <v>122</v>
      </c>
      <c r="AA1752" s="12" t="s">
        <v>2372</v>
      </c>
    </row>
    <row r="1753" spans="1:27" ht="14.25" x14ac:dyDescent="0.45">
      <c r="A1753" s="12" t="s">
        <v>1617</v>
      </c>
      <c r="B1753" s="12" t="s">
        <v>2368</v>
      </c>
      <c r="C1753" s="12" t="s">
        <v>2368</v>
      </c>
      <c r="D1753" s="12" t="s">
        <v>2368</v>
      </c>
      <c r="E1753" s="20">
        <v>1</v>
      </c>
      <c r="F1753" s="20">
        <v>44371</v>
      </c>
      <c r="G1753" s="12">
        <v>2.4</v>
      </c>
      <c r="H1753" s="12">
        <v>6.3333333333333304</v>
      </c>
      <c r="I1753" s="13">
        <v>0.37894736842105298</v>
      </c>
      <c r="J1753" s="12" t="s">
        <v>1617</v>
      </c>
      <c r="K1753" s="14">
        <v>1161</v>
      </c>
      <c r="L1753" s="14">
        <v>1557</v>
      </c>
      <c r="M1753" s="14">
        <v>1293</v>
      </c>
      <c r="N1753" s="12">
        <v>2.4</v>
      </c>
      <c r="O1753" s="12" t="s">
        <v>1617</v>
      </c>
      <c r="P1753" s="12">
        <v>3.86072436840962E-4</v>
      </c>
      <c r="Q1753" s="12">
        <v>1.72554715596837E-3</v>
      </c>
      <c r="R1753" s="12">
        <v>9.5766129032257993E-2</v>
      </c>
      <c r="S1753" s="14">
        <v>122</v>
      </c>
      <c r="T1753" s="12">
        <v>0.122324413629559</v>
      </c>
      <c r="U1753" s="14">
        <v>1224</v>
      </c>
      <c r="V1753" s="14">
        <v>1</v>
      </c>
      <c r="W1753" s="12">
        <v>5.4999999999999997E-3</v>
      </c>
      <c r="X1753" s="12">
        <v>0.12782441362955899</v>
      </c>
      <c r="Y1753" s="14">
        <v>1224</v>
      </c>
      <c r="Z1753" s="14">
        <v>122</v>
      </c>
      <c r="AA1753" s="12" t="s">
        <v>2372</v>
      </c>
    </row>
    <row r="1754" spans="1:27" ht="14.25" x14ac:dyDescent="0.45">
      <c r="A1754" s="12" t="s">
        <v>1619</v>
      </c>
      <c r="B1754" s="12" t="s">
        <v>2368</v>
      </c>
      <c r="C1754" s="12" t="s">
        <v>2368</v>
      </c>
      <c r="D1754" s="12" t="s">
        <v>2368</v>
      </c>
      <c r="E1754" s="20">
        <v>1</v>
      </c>
      <c r="F1754" s="20">
        <v>44398</v>
      </c>
      <c r="G1754" s="12">
        <v>145.01</v>
      </c>
      <c r="H1754" s="12">
        <v>5.43333333333333</v>
      </c>
      <c r="I1754" s="13">
        <v>26.688957055214701</v>
      </c>
      <c r="J1754" s="12" t="s">
        <v>1619</v>
      </c>
      <c r="K1754" s="14">
        <v>96</v>
      </c>
      <c r="L1754" s="14">
        <v>1681</v>
      </c>
      <c r="M1754" s="14">
        <v>326</v>
      </c>
      <c r="N1754" s="12">
        <v>145.01</v>
      </c>
      <c r="O1754" s="12" t="s">
        <v>1619</v>
      </c>
      <c r="P1754" s="12">
        <v>2.33268183609616E-2</v>
      </c>
      <c r="Q1754" s="12">
        <v>0.121528892347968</v>
      </c>
      <c r="R1754" s="12">
        <v>8.2157258064516098E-2</v>
      </c>
      <c r="S1754" s="14">
        <v>122</v>
      </c>
      <c r="T1754" s="12">
        <v>8.4703114602840408</v>
      </c>
      <c r="U1754" s="14">
        <v>134</v>
      </c>
      <c r="V1754" s="14">
        <v>4</v>
      </c>
      <c r="W1754" s="12">
        <v>5.7999999999999996E-3</v>
      </c>
      <c r="X1754" s="12">
        <v>8.4761114602840504</v>
      </c>
      <c r="Y1754" s="14">
        <v>134</v>
      </c>
      <c r="Z1754" s="14">
        <v>122</v>
      </c>
      <c r="AA1754" s="12" t="s">
        <v>2372</v>
      </c>
    </row>
    <row r="1755" spans="1:27" ht="14.25" x14ac:dyDescent="0.45">
      <c r="A1755" s="12" t="s">
        <v>1629</v>
      </c>
      <c r="B1755" s="12" t="s">
        <v>2368</v>
      </c>
      <c r="C1755" s="12" t="s">
        <v>2368</v>
      </c>
      <c r="D1755" s="12" t="s">
        <v>2368</v>
      </c>
      <c r="E1755" s="20">
        <v>1</v>
      </c>
      <c r="F1755" s="20">
        <v>44424</v>
      </c>
      <c r="G1755" s="12">
        <v>0.48</v>
      </c>
      <c r="H1755" s="12">
        <v>4.56666666666667</v>
      </c>
      <c r="I1755" s="13">
        <v>0.105109489051095</v>
      </c>
      <c r="J1755" s="12" t="s">
        <v>1629</v>
      </c>
      <c r="K1755" s="14">
        <v>1479</v>
      </c>
      <c r="L1755" s="14">
        <v>1809</v>
      </c>
      <c r="M1755" s="14">
        <v>1694</v>
      </c>
      <c r="N1755" s="12">
        <v>0.48</v>
      </c>
      <c r="O1755" s="12" t="s">
        <v>1629</v>
      </c>
      <c r="P1755" s="12">
        <v>7.7214487368192403E-5</v>
      </c>
      <c r="Q1755" s="12">
        <v>4.7861891917370898E-4</v>
      </c>
      <c r="R1755" s="12">
        <v>6.9052419354838704E-2</v>
      </c>
      <c r="S1755" s="14">
        <v>122</v>
      </c>
      <c r="T1755" s="12">
        <v>3.2809225724664E-2</v>
      </c>
      <c r="U1755" s="14">
        <v>1604</v>
      </c>
      <c r="V1755" s="14">
        <v>1</v>
      </c>
      <c r="W1755" s="12">
        <v>5.4999999999999997E-3</v>
      </c>
      <c r="X1755" s="12">
        <v>3.8309225724663998E-2</v>
      </c>
      <c r="Y1755" s="14">
        <v>1604</v>
      </c>
      <c r="Z1755" s="14">
        <v>122</v>
      </c>
      <c r="AA1755" s="12" t="s">
        <v>2372</v>
      </c>
    </row>
    <row r="1756" spans="1:27" ht="14.25" x14ac:dyDescent="0.45">
      <c r="A1756" s="12" t="s">
        <v>1644</v>
      </c>
      <c r="B1756" s="12" t="s">
        <v>2368</v>
      </c>
      <c r="C1756" s="12" t="s">
        <v>2368</v>
      </c>
      <c r="D1756" s="12" t="s">
        <v>2368</v>
      </c>
      <c r="E1756" s="20">
        <v>1</v>
      </c>
      <c r="F1756" s="20">
        <v>44424</v>
      </c>
      <c r="G1756" s="12">
        <v>0.17</v>
      </c>
      <c r="H1756" s="12">
        <v>4.56666666666667</v>
      </c>
      <c r="I1756" s="13">
        <v>3.7226277372262799E-2</v>
      </c>
      <c r="J1756" s="12" t="s">
        <v>1644</v>
      </c>
      <c r="K1756" s="14">
        <v>1636</v>
      </c>
      <c r="L1756" s="14">
        <v>1809</v>
      </c>
      <c r="M1756" s="14">
        <v>1797</v>
      </c>
      <c r="N1756" s="12">
        <v>0.17</v>
      </c>
      <c r="O1756" s="12" t="s">
        <v>1644</v>
      </c>
      <c r="P1756" s="12">
        <v>2.7346797609568201E-5</v>
      </c>
      <c r="Q1756" s="12">
        <v>1.6951086720735499E-4</v>
      </c>
      <c r="R1756" s="12">
        <v>6.9052419354838704E-2</v>
      </c>
      <c r="S1756" s="14">
        <v>122</v>
      </c>
      <c r="T1756" s="12">
        <v>1.16199341108185E-2</v>
      </c>
      <c r="U1756" s="14">
        <v>1748</v>
      </c>
      <c r="V1756" s="14">
        <v>1</v>
      </c>
      <c r="W1756" s="12">
        <v>5.4999999999999997E-3</v>
      </c>
      <c r="X1756" s="12">
        <v>1.71199341108185E-2</v>
      </c>
      <c r="Y1756" s="14">
        <v>1748</v>
      </c>
      <c r="Z1756" s="14">
        <v>122</v>
      </c>
      <c r="AA1756" s="12" t="s">
        <v>2372</v>
      </c>
    </row>
    <row r="1757" spans="1:27" ht="14.25" x14ac:dyDescent="0.45">
      <c r="A1757" s="12" t="s">
        <v>1646</v>
      </c>
      <c r="B1757" s="12" t="s">
        <v>2368</v>
      </c>
      <c r="C1757" s="12" t="s">
        <v>2368</v>
      </c>
      <c r="D1757" s="12" t="s">
        <v>2368</v>
      </c>
      <c r="E1757" s="20">
        <v>1</v>
      </c>
      <c r="F1757" s="20">
        <v>44419</v>
      </c>
      <c r="G1757" s="12">
        <v>0.03</v>
      </c>
      <c r="H1757" s="12">
        <v>4.7333333333333298</v>
      </c>
      <c r="I1757" s="13">
        <v>6.3380281690140804E-3</v>
      </c>
      <c r="J1757" s="12" t="s">
        <v>1646</v>
      </c>
      <c r="K1757" s="14">
        <v>1770</v>
      </c>
      <c r="L1757" s="14">
        <v>1780</v>
      </c>
      <c r="M1757" s="14">
        <v>1895</v>
      </c>
      <c r="N1757" s="12">
        <v>0.03</v>
      </c>
      <c r="O1757" s="12" t="s">
        <v>1646</v>
      </c>
      <c r="P1757" s="12">
        <v>4.8259054605120303E-6</v>
      </c>
      <c r="Q1757" s="12">
        <v>2.8860383770597801E-5</v>
      </c>
      <c r="R1757" s="12">
        <v>7.1572580645161296E-2</v>
      </c>
      <c r="S1757" s="14">
        <v>122</v>
      </c>
      <c r="T1757" s="12">
        <v>1.9847454404315601E-3</v>
      </c>
      <c r="U1757" s="14">
        <v>1880</v>
      </c>
      <c r="V1757" s="14">
        <v>1</v>
      </c>
      <c r="W1757" s="12">
        <v>5.4999999999999997E-3</v>
      </c>
      <c r="X1757" s="12">
        <v>7.4847454404315603E-3</v>
      </c>
      <c r="Y1757" s="14">
        <v>1880</v>
      </c>
      <c r="Z1757" s="14">
        <v>122</v>
      </c>
      <c r="AA1757" s="12" t="s">
        <v>2372</v>
      </c>
    </row>
    <row r="1758" spans="1:27" ht="14.25" x14ac:dyDescent="0.45">
      <c r="A1758" s="12" t="s">
        <v>1647</v>
      </c>
      <c r="B1758" s="12" t="s">
        <v>2368</v>
      </c>
      <c r="C1758" s="12" t="s">
        <v>2368</v>
      </c>
      <c r="D1758" s="12" t="s">
        <v>2368</v>
      </c>
      <c r="E1758" s="20">
        <v>1</v>
      </c>
      <c r="F1758" s="20">
        <v>44410</v>
      </c>
      <c r="G1758" s="12">
        <v>0.45</v>
      </c>
      <c r="H1758" s="12">
        <v>5.0333333333333297</v>
      </c>
      <c r="I1758" s="13">
        <v>8.9403973509933801E-2</v>
      </c>
      <c r="J1758" s="12" t="s">
        <v>1647</v>
      </c>
      <c r="K1758" s="14">
        <v>1526</v>
      </c>
      <c r="L1758" s="14">
        <v>1727</v>
      </c>
      <c r="M1758" s="14">
        <v>1697</v>
      </c>
      <c r="N1758" s="12">
        <v>0.45</v>
      </c>
      <c r="O1758" s="12" t="s">
        <v>1647</v>
      </c>
      <c r="P1758" s="12">
        <v>7.2388581907680406E-5</v>
      </c>
      <c r="Q1758" s="12">
        <v>4.07103426697836E-4</v>
      </c>
      <c r="R1758" s="12">
        <v>7.6108870967741896E-2</v>
      </c>
      <c r="S1758" s="14">
        <v>122</v>
      </c>
      <c r="T1758" s="12">
        <v>2.8158535990152798E-2</v>
      </c>
      <c r="U1758" s="14">
        <v>1636</v>
      </c>
      <c r="V1758" s="14">
        <v>1</v>
      </c>
      <c r="W1758" s="12">
        <v>5.4999999999999997E-3</v>
      </c>
      <c r="X1758" s="12">
        <v>3.3658535990152803E-2</v>
      </c>
      <c r="Y1758" s="14">
        <v>1637</v>
      </c>
      <c r="Z1758" s="14">
        <v>122</v>
      </c>
      <c r="AA1758" s="12" t="s">
        <v>2372</v>
      </c>
    </row>
    <row r="1759" spans="1:27" ht="14.25" x14ac:dyDescent="0.45">
      <c r="A1759" s="12" t="s">
        <v>1654</v>
      </c>
      <c r="B1759" s="12" t="s">
        <v>2368</v>
      </c>
      <c r="C1759" s="12" t="s">
        <v>2368</v>
      </c>
      <c r="D1759" s="12" t="s">
        <v>2368</v>
      </c>
      <c r="E1759" s="20">
        <v>1</v>
      </c>
      <c r="F1759" s="20">
        <v>44417</v>
      </c>
      <c r="G1759" s="12">
        <v>1.04</v>
      </c>
      <c r="H1759" s="12">
        <v>4.8</v>
      </c>
      <c r="I1759" s="13">
        <v>0.21666666666666701</v>
      </c>
      <c r="J1759" s="12" t="s">
        <v>1654</v>
      </c>
      <c r="K1759" s="14">
        <v>1325</v>
      </c>
      <c r="L1759" s="14">
        <v>1757</v>
      </c>
      <c r="M1759" s="14">
        <v>1542</v>
      </c>
      <c r="N1759" s="12">
        <v>1.04</v>
      </c>
      <c r="O1759" s="12" t="s">
        <v>1654</v>
      </c>
      <c r="P1759" s="12">
        <v>1.6729805596441699E-4</v>
      </c>
      <c r="Q1759" s="12">
        <v>9.8659756371339809E-4</v>
      </c>
      <c r="R1759" s="12">
        <v>7.25806451612903E-2</v>
      </c>
      <c r="S1759" s="14">
        <v>122</v>
      </c>
      <c r="T1759" s="12">
        <v>6.7936024830753006E-2</v>
      </c>
      <c r="U1759" s="14">
        <v>1452</v>
      </c>
      <c r="V1759" s="14">
        <v>1</v>
      </c>
      <c r="W1759" s="12">
        <v>5.4999999999999997E-3</v>
      </c>
      <c r="X1759" s="12">
        <v>7.3436024830752997E-2</v>
      </c>
      <c r="Y1759" s="14">
        <v>1452</v>
      </c>
      <c r="Z1759" s="14">
        <v>122</v>
      </c>
      <c r="AA1759" s="12" t="s">
        <v>2372</v>
      </c>
    </row>
    <row r="1760" spans="1:27" ht="14.25" x14ac:dyDescent="0.45">
      <c r="A1760" s="12" t="s">
        <v>1675</v>
      </c>
      <c r="B1760" s="12" t="s">
        <v>2368</v>
      </c>
      <c r="C1760" s="12" t="s">
        <v>2368</v>
      </c>
      <c r="D1760" s="12" t="s">
        <v>2368</v>
      </c>
      <c r="E1760" s="20">
        <v>1</v>
      </c>
      <c r="F1760" s="20">
        <v>44403</v>
      </c>
      <c r="G1760" s="12">
        <v>49.98</v>
      </c>
      <c r="H1760" s="12">
        <v>5.2666666666666702</v>
      </c>
      <c r="I1760" s="13">
        <v>9.4898734177215207</v>
      </c>
      <c r="J1760" s="12" t="s">
        <v>1675</v>
      </c>
      <c r="K1760" s="14">
        <v>308</v>
      </c>
      <c r="L1760" s="14">
        <v>1692</v>
      </c>
      <c r="M1760" s="14">
        <v>487</v>
      </c>
      <c r="N1760" s="12">
        <v>49.98</v>
      </c>
      <c r="O1760" s="12" t="s">
        <v>1675</v>
      </c>
      <c r="P1760" s="12">
        <v>8.0399584972130397E-3</v>
      </c>
      <c r="Q1760" s="12">
        <v>4.3212396894796598E-2</v>
      </c>
      <c r="R1760" s="12">
        <v>7.9637096774193505E-2</v>
      </c>
      <c r="S1760" s="14">
        <v>122</v>
      </c>
      <c r="T1760" s="12">
        <v>3.00227324957027</v>
      </c>
      <c r="U1760" s="14">
        <v>375</v>
      </c>
      <c r="V1760" s="14">
        <v>6</v>
      </c>
      <c r="W1760" s="12">
        <v>6.0000000000000001E-3</v>
      </c>
      <c r="X1760" s="12">
        <v>3.0082732495702702</v>
      </c>
      <c r="Y1760" s="14">
        <v>375</v>
      </c>
      <c r="Z1760" s="14">
        <v>122</v>
      </c>
      <c r="AA1760" s="12" t="s">
        <v>2372</v>
      </c>
    </row>
    <row r="1761" spans="1:27" ht="14.25" x14ac:dyDescent="0.45">
      <c r="A1761" s="12" t="s">
        <v>1699</v>
      </c>
      <c r="B1761" s="12" t="s">
        <v>2368</v>
      </c>
      <c r="C1761" s="12" t="s">
        <v>2368</v>
      </c>
      <c r="D1761" s="12" t="s">
        <v>2368</v>
      </c>
      <c r="E1761" s="20">
        <v>1</v>
      </c>
      <c r="F1761" s="20">
        <v>44424</v>
      </c>
      <c r="G1761" s="12">
        <v>0.63</v>
      </c>
      <c r="H1761" s="12">
        <v>4.56666666666667</v>
      </c>
      <c r="I1761" s="13">
        <v>0.13795620437956199</v>
      </c>
      <c r="J1761" s="12" t="s">
        <v>1699</v>
      </c>
      <c r="K1761" s="14">
        <v>1428</v>
      </c>
      <c r="L1761" s="14">
        <v>1809</v>
      </c>
      <c r="M1761" s="14">
        <v>1646</v>
      </c>
      <c r="N1761" s="12">
        <v>0.63</v>
      </c>
      <c r="O1761" s="12" t="s">
        <v>1699</v>
      </c>
      <c r="P1761" s="12">
        <v>1.01344014670753E-4</v>
      </c>
      <c r="Q1761" s="12">
        <v>6.2818733141549303E-4</v>
      </c>
      <c r="R1761" s="12">
        <v>6.9052419354838704E-2</v>
      </c>
      <c r="S1761" s="14">
        <v>122</v>
      </c>
      <c r="T1761" s="12">
        <v>4.3062108763621501E-2</v>
      </c>
      <c r="U1761" s="14">
        <v>1547</v>
      </c>
      <c r="V1761" s="14">
        <v>1</v>
      </c>
      <c r="W1761" s="12">
        <v>5.4999999999999997E-3</v>
      </c>
      <c r="X1761" s="12">
        <v>4.8562108763621499E-2</v>
      </c>
      <c r="Y1761" s="14">
        <v>1548</v>
      </c>
      <c r="Z1761" s="14">
        <v>122</v>
      </c>
      <c r="AA1761" s="12" t="s">
        <v>2372</v>
      </c>
    </row>
    <row r="1762" spans="1:27" ht="14.25" x14ac:dyDescent="0.45">
      <c r="A1762" s="12" t="s">
        <v>1717</v>
      </c>
      <c r="B1762" s="12" t="s">
        <v>2368</v>
      </c>
      <c r="C1762" s="12" t="s">
        <v>2368</v>
      </c>
      <c r="D1762" s="12" t="s">
        <v>2368</v>
      </c>
      <c r="E1762" s="20">
        <v>1</v>
      </c>
      <c r="F1762" s="20">
        <v>44424</v>
      </c>
      <c r="G1762" s="12">
        <v>0.33</v>
      </c>
      <c r="H1762" s="12">
        <v>4.56666666666667</v>
      </c>
      <c r="I1762" s="13">
        <v>7.2262773722627696E-2</v>
      </c>
      <c r="J1762" s="12" t="s">
        <v>1717</v>
      </c>
      <c r="K1762" s="14">
        <v>1559</v>
      </c>
      <c r="L1762" s="14">
        <v>1809</v>
      </c>
      <c r="M1762" s="14">
        <v>1726</v>
      </c>
      <c r="N1762" s="12">
        <v>0.33</v>
      </c>
      <c r="O1762" s="12" t="s">
        <v>1717</v>
      </c>
      <c r="P1762" s="12">
        <v>5.3084960065632302E-5</v>
      </c>
      <c r="Q1762" s="12">
        <v>3.2905050693192499E-4</v>
      </c>
      <c r="R1762" s="12">
        <v>6.9052419354838704E-2</v>
      </c>
      <c r="S1762" s="14">
        <v>122</v>
      </c>
      <c r="T1762" s="12">
        <v>2.2556342685706499E-2</v>
      </c>
      <c r="U1762" s="14">
        <v>1667</v>
      </c>
      <c r="V1762" s="14">
        <v>1</v>
      </c>
      <c r="W1762" s="12">
        <v>5.4999999999999997E-3</v>
      </c>
      <c r="X1762" s="12">
        <v>2.80563426857065E-2</v>
      </c>
      <c r="Y1762" s="14">
        <v>1667</v>
      </c>
      <c r="Z1762" s="14">
        <v>122</v>
      </c>
      <c r="AA1762" s="12" t="s">
        <v>2372</v>
      </c>
    </row>
    <row r="1763" spans="1:27" ht="14.25" x14ac:dyDescent="0.45">
      <c r="A1763" s="12" t="s">
        <v>1725</v>
      </c>
      <c r="B1763" s="12" t="s">
        <v>2368</v>
      </c>
      <c r="C1763" s="12" t="s">
        <v>2368</v>
      </c>
      <c r="D1763" s="12" t="s">
        <v>2368</v>
      </c>
      <c r="E1763" s="20">
        <v>1</v>
      </c>
      <c r="F1763" s="20">
        <v>44417</v>
      </c>
      <c r="G1763" s="12">
        <v>75.7</v>
      </c>
      <c r="H1763" s="12">
        <v>4.8</v>
      </c>
      <c r="I1763" s="13">
        <v>15.7708333333333</v>
      </c>
      <c r="J1763" s="12" t="s">
        <v>1725</v>
      </c>
      <c r="K1763" s="14">
        <v>179</v>
      </c>
      <c r="L1763" s="14">
        <v>1757</v>
      </c>
      <c r="M1763" s="14">
        <v>414</v>
      </c>
      <c r="N1763" s="12">
        <v>75.7</v>
      </c>
      <c r="O1763" s="12" t="s">
        <v>1725</v>
      </c>
      <c r="P1763" s="12">
        <v>1.21773681120253E-2</v>
      </c>
      <c r="Q1763" s="12">
        <v>7.1812918820292504E-2</v>
      </c>
      <c r="R1763" s="12">
        <v>7.25806451612903E-2</v>
      </c>
      <c r="S1763" s="14">
        <v>122</v>
      </c>
      <c r="T1763" s="12">
        <v>4.9449587304692297</v>
      </c>
      <c r="U1763" s="14">
        <v>262</v>
      </c>
      <c r="V1763" s="14">
        <v>5</v>
      </c>
      <c r="W1763" s="12">
        <v>5.8999999999999999E-3</v>
      </c>
      <c r="X1763" s="12">
        <v>4.9508587304692302</v>
      </c>
      <c r="Y1763" s="14">
        <v>262</v>
      </c>
      <c r="Z1763" s="14">
        <v>122</v>
      </c>
      <c r="AA1763" s="12" t="s">
        <v>2372</v>
      </c>
    </row>
    <row r="1764" spans="1:27" ht="14.25" x14ac:dyDescent="0.45">
      <c r="A1764" s="12" t="s">
        <v>1761</v>
      </c>
      <c r="B1764" s="12" t="s">
        <v>2368</v>
      </c>
      <c r="C1764" s="12" t="s">
        <v>2368</v>
      </c>
      <c r="D1764" s="12" t="s">
        <v>2368</v>
      </c>
      <c r="E1764" s="20">
        <v>1</v>
      </c>
      <c r="F1764" s="20">
        <v>44389</v>
      </c>
      <c r="G1764" s="12">
        <v>17.760000000000002</v>
      </c>
      <c r="H1764" s="12">
        <v>5.7333333333333298</v>
      </c>
      <c r="I1764" s="13">
        <v>3.0976744186046501</v>
      </c>
      <c r="J1764" s="12" t="s">
        <v>1761</v>
      </c>
      <c r="K1764" s="14">
        <v>550</v>
      </c>
      <c r="L1764" s="14">
        <v>1660</v>
      </c>
      <c r="M1764" s="14">
        <v>739</v>
      </c>
      <c r="N1764" s="12">
        <v>17.760000000000002</v>
      </c>
      <c r="O1764" s="12" t="s">
        <v>1761</v>
      </c>
      <c r="P1764" s="12">
        <v>2.8569360326231199E-3</v>
      </c>
      <c r="Q1764" s="12">
        <v>1.41053447749508E-2</v>
      </c>
      <c r="R1764" s="12">
        <v>8.6693548387096794E-2</v>
      </c>
      <c r="S1764" s="14">
        <v>122</v>
      </c>
      <c r="T1764" s="12">
        <v>0.98871914965778995</v>
      </c>
      <c r="U1764" s="14">
        <v>574</v>
      </c>
      <c r="V1764" s="14">
        <v>2</v>
      </c>
      <c r="W1764" s="12">
        <v>5.5999999999999999E-3</v>
      </c>
      <c r="X1764" s="12">
        <v>0.99431914965779</v>
      </c>
      <c r="Y1764" s="14">
        <v>574</v>
      </c>
      <c r="Z1764" s="14">
        <v>122</v>
      </c>
      <c r="AA1764" s="12" t="s">
        <v>2372</v>
      </c>
    </row>
    <row r="1765" spans="1:27" ht="14.25" x14ac:dyDescent="0.45">
      <c r="A1765" s="12" t="s">
        <v>1784</v>
      </c>
      <c r="B1765" s="12" t="s">
        <v>2368</v>
      </c>
      <c r="C1765" s="12" t="s">
        <v>2368</v>
      </c>
      <c r="D1765" s="12" t="s">
        <v>2368</v>
      </c>
      <c r="E1765" s="20">
        <v>1</v>
      </c>
      <c r="F1765" s="20">
        <v>44452</v>
      </c>
      <c r="G1765" s="12">
        <v>2.5</v>
      </c>
      <c r="H1765" s="12">
        <v>3.6333333333333302</v>
      </c>
      <c r="I1765" s="13">
        <v>0.68807339449541305</v>
      </c>
      <c r="J1765" s="12" t="s">
        <v>1784</v>
      </c>
      <c r="K1765" s="14">
        <v>940</v>
      </c>
      <c r="L1765" s="14">
        <v>1872</v>
      </c>
      <c r="M1765" s="14">
        <v>1272</v>
      </c>
      <c r="N1765" s="12">
        <v>2.5</v>
      </c>
      <c r="O1765" s="12" t="s">
        <v>1784</v>
      </c>
      <c r="P1765" s="12">
        <v>4.0215878837600202E-4</v>
      </c>
      <c r="Q1765" s="12">
        <v>3.1331609292239199E-3</v>
      </c>
      <c r="R1765" s="12">
        <v>5.4939516129032299E-2</v>
      </c>
      <c r="S1765" s="14">
        <v>122</v>
      </c>
      <c r="T1765" s="12">
        <v>0.21090351264059501</v>
      </c>
      <c r="U1765" s="14">
        <v>1025</v>
      </c>
      <c r="V1765" s="14">
        <v>1</v>
      </c>
      <c r="W1765" s="12">
        <v>5.4999999999999997E-3</v>
      </c>
      <c r="X1765" s="12">
        <v>0.21640351264059501</v>
      </c>
      <c r="Y1765" s="14">
        <v>1025</v>
      </c>
      <c r="Z1765" s="14">
        <v>122</v>
      </c>
      <c r="AA1765" s="12" t="s">
        <v>2372</v>
      </c>
    </row>
    <row r="1766" spans="1:27" ht="14.25" x14ac:dyDescent="0.45">
      <c r="A1766" s="12" t="s">
        <v>1803</v>
      </c>
      <c r="B1766" s="12" t="s">
        <v>2368</v>
      </c>
      <c r="C1766" s="12" t="s">
        <v>2368</v>
      </c>
      <c r="D1766" s="12" t="s">
        <v>2368</v>
      </c>
      <c r="E1766" s="20">
        <v>1</v>
      </c>
      <c r="F1766" s="20">
        <v>44207</v>
      </c>
      <c r="G1766" s="12">
        <v>0.01</v>
      </c>
      <c r="H1766" s="12">
        <v>11.8</v>
      </c>
      <c r="I1766" s="13">
        <v>8.4745762711864404E-4</v>
      </c>
      <c r="J1766" s="12" t="s">
        <v>1803</v>
      </c>
      <c r="K1766" s="14">
        <v>1832</v>
      </c>
      <c r="L1766" s="14">
        <v>798</v>
      </c>
      <c r="M1766" s="14">
        <v>1944</v>
      </c>
      <c r="N1766" s="12">
        <v>0.01</v>
      </c>
      <c r="O1766" s="12" t="s">
        <v>1803</v>
      </c>
      <c r="P1766" s="12">
        <v>1.6086351535040101E-6</v>
      </c>
      <c r="Q1766" s="12">
        <v>3.8589213704565802E-6</v>
      </c>
      <c r="R1766" s="12">
        <v>0.178427419354839</v>
      </c>
      <c r="S1766" s="14">
        <v>122</v>
      </c>
      <c r="T1766" s="12">
        <v>3.0150640390993598E-4</v>
      </c>
      <c r="U1766" s="14">
        <v>1954</v>
      </c>
      <c r="V1766" s="14">
        <v>1</v>
      </c>
      <c r="W1766" s="12">
        <v>5.4999999999999997E-3</v>
      </c>
      <c r="X1766" s="12">
        <v>5.8015064039099399E-3</v>
      </c>
      <c r="Y1766" s="14">
        <v>1954</v>
      </c>
      <c r="Z1766" s="14">
        <v>122</v>
      </c>
      <c r="AA1766" s="12" t="s">
        <v>2372</v>
      </c>
    </row>
    <row r="1767" spans="1:27" ht="14.25" x14ac:dyDescent="0.45">
      <c r="A1767" s="12" t="s">
        <v>1813</v>
      </c>
      <c r="B1767" s="12" t="s">
        <v>2368</v>
      </c>
      <c r="C1767" s="12" t="s">
        <v>2368</v>
      </c>
      <c r="D1767" s="12" t="s">
        <v>2368</v>
      </c>
      <c r="E1767" s="20">
        <v>1</v>
      </c>
      <c r="F1767" s="20">
        <v>44407</v>
      </c>
      <c r="G1767" s="12">
        <v>0.51</v>
      </c>
      <c r="H1767" s="12">
        <v>5.1333333333333302</v>
      </c>
      <c r="I1767" s="13">
        <v>9.93506493506493E-2</v>
      </c>
      <c r="J1767" s="12" t="s">
        <v>1813</v>
      </c>
      <c r="K1767" s="14">
        <v>1497</v>
      </c>
      <c r="L1767" s="14">
        <v>1720</v>
      </c>
      <c r="M1767" s="14">
        <v>1685</v>
      </c>
      <c r="N1767" s="12">
        <v>0.51</v>
      </c>
      <c r="O1767" s="12" t="s">
        <v>1813</v>
      </c>
      <c r="P1767" s="12">
        <v>8.2040392828704496E-5</v>
      </c>
      <c r="Q1767" s="12">
        <v>4.5239588585859098E-4</v>
      </c>
      <c r="R1767" s="12">
        <v>7.7620967741935498E-2</v>
      </c>
      <c r="S1767" s="14">
        <v>122</v>
      </c>
      <c r="T1767" s="12">
        <v>3.1351257597238301E-2</v>
      </c>
      <c r="U1767" s="14">
        <v>1613</v>
      </c>
      <c r="V1767" s="14">
        <v>1</v>
      </c>
      <c r="W1767" s="12">
        <v>5.4999999999999997E-3</v>
      </c>
      <c r="X1767" s="12">
        <v>3.6851257597238299E-2</v>
      </c>
      <c r="Y1767" s="14">
        <v>1613</v>
      </c>
      <c r="Z1767" s="14">
        <v>122</v>
      </c>
      <c r="AA1767" s="12" t="s">
        <v>2372</v>
      </c>
    </row>
    <row r="1768" spans="1:27" ht="14.25" x14ac:dyDescent="0.45">
      <c r="A1768" s="12" t="s">
        <v>1848</v>
      </c>
      <c r="B1768" s="12" t="s">
        <v>2368</v>
      </c>
      <c r="C1768" s="12" t="s">
        <v>2368</v>
      </c>
      <c r="D1768" s="12" t="s">
        <v>2368</v>
      </c>
      <c r="E1768" s="20">
        <v>1</v>
      </c>
      <c r="F1768" s="20">
        <v>44480</v>
      </c>
      <c r="G1768" s="12">
        <v>5.75</v>
      </c>
      <c r="H1768" s="12">
        <v>2.7</v>
      </c>
      <c r="I1768" s="13">
        <v>2.1296296296296302</v>
      </c>
      <c r="J1768" s="12" t="s">
        <v>1848</v>
      </c>
      <c r="K1768" s="14">
        <v>643</v>
      </c>
      <c r="L1768" s="14">
        <v>1899</v>
      </c>
      <c r="M1768" s="14">
        <v>983</v>
      </c>
      <c r="N1768" s="12">
        <v>5.75</v>
      </c>
      <c r="O1768" s="12" t="s">
        <v>1848</v>
      </c>
      <c r="P1768" s="12">
        <v>9.2496521326480504E-4</v>
      </c>
      <c r="Q1768" s="12">
        <v>9.6973264809436504E-3</v>
      </c>
      <c r="R1768" s="12">
        <v>4.0826612903225798E-2</v>
      </c>
      <c r="S1768" s="14">
        <v>122</v>
      </c>
      <c r="T1768" s="12">
        <v>0.64076910055640801</v>
      </c>
      <c r="U1768" s="14">
        <v>738</v>
      </c>
      <c r="V1768" s="14">
        <v>1</v>
      </c>
      <c r="W1768" s="12">
        <v>5.4999999999999997E-3</v>
      </c>
      <c r="X1768" s="12">
        <v>0.64626910055640796</v>
      </c>
      <c r="Y1768" s="14">
        <v>738</v>
      </c>
      <c r="Z1768" s="14">
        <v>122</v>
      </c>
      <c r="AA1768" s="12" t="s">
        <v>2372</v>
      </c>
    </row>
    <row r="1769" spans="1:27" ht="14.25" x14ac:dyDescent="0.45">
      <c r="A1769" s="12" t="s">
        <v>1865</v>
      </c>
      <c r="B1769" s="12" t="s">
        <v>2368</v>
      </c>
      <c r="C1769" s="12" t="s">
        <v>2368</v>
      </c>
      <c r="D1769" s="12" t="s">
        <v>2368</v>
      </c>
      <c r="E1769" s="20">
        <v>1</v>
      </c>
      <c r="F1769" s="20">
        <v>44454</v>
      </c>
      <c r="G1769" s="12">
        <v>8.4499999999999993</v>
      </c>
      <c r="H1769" s="12">
        <v>3.56666666666667</v>
      </c>
      <c r="I1769" s="13">
        <v>2.36915887850467</v>
      </c>
      <c r="J1769" s="12" t="s">
        <v>1865</v>
      </c>
      <c r="K1769" s="14">
        <v>606</v>
      </c>
      <c r="L1769" s="14">
        <v>1876</v>
      </c>
      <c r="M1769" s="14">
        <v>879</v>
      </c>
      <c r="N1769" s="12">
        <v>8.4499999999999993</v>
      </c>
      <c r="O1769" s="12" t="s">
        <v>1865</v>
      </c>
      <c r="P1769" s="12">
        <v>1.35929670471089E-3</v>
      </c>
      <c r="Q1769" s="12">
        <v>1.0788029434997E-2</v>
      </c>
      <c r="R1769" s="12">
        <v>5.3931451612903199E-2</v>
      </c>
      <c r="S1769" s="14">
        <v>122</v>
      </c>
      <c r="T1769" s="12">
        <v>0.72522546611396799</v>
      </c>
      <c r="U1769" s="14">
        <v>702</v>
      </c>
      <c r="V1769" s="14">
        <v>1</v>
      </c>
      <c r="W1769" s="12">
        <v>5.4999999999999997E-3</v>
      </c>
      <c r="X1769" s="12">
        <v>0.73072546611396805</v>
      </c>
      <c r="Y1769" s="14">
        <v>702</v>
      </c>
      <c r="Z1769" s="14">
        <v>122</v>
      </c>
      <c r="AA1769" s="12" t="s">
        <v>2372</v>
      </c>
    </row>
    <row r="1770" spans="1:27" ht="14.25" x14ac:dyDescent="0.45">
      <c r="A1770" s="12" t="s">
        <v>1906</v>
      </c>
      <c r="B1770" s="12" t="s">
        <v>2368</v>
      </c>
      <c r="C1770" s="12" t="s">
        <v>2368</v>
      </c>
      <c r="D1770" s="12" t="s">
        <v>2368</v>
      </c>
      <c r="E1770" s="20">
        <v>1</v>
      </c>
      <c r="F1770" s="20">
        <v>44484</v>
      </c>
      <c r="G1770" s="12">
        <v>250.64</v>
      </c>
      <c r="H1770" s="12">
        <v>2.56666666666667</v>
      </c>
      <c r="I1770" s="13">
        <v>97.651948051947997</v>
      </c>
      <c r="J1770" s="12" t="s">
        <v>1906</v>
      </c>
      <c r="K1770" s="14">
        <v>15</v>
      </c>
      <c r="L1770" s="14">
        <v>1909</v>
      </c>
      <c r="M1770" s="14">
        <v>255</v>
      </c>
      <c r="N1770" s="12">
        <v>250.64</v>
      </c>
      <c r="O1770" s="12" t="s">
        <v>1906</v>
      </c>
      <c r="P1770" s="12">
        <v>4.0318831487424503E-2</v>
      </c>
      <c r="Q1770" s="12">
        <v>0.44466080326116603</v>
      </c>
      <c r="R1770" s="12">
        <v>3.8810483870967701E-2</v>
      </c>
      <c r="S1770" s="14">
        <v>122</v>
      </c>
      <c r="T1770" s="12">
        <v>29.303256384601301</v>
      </c>
      <c r="U1770" s="14">
        <v>29</v>
      </c>
      <c r="V1770" s="14">
        <v>2</v>
      </c>
      <c r="W1770" s="12">
        <v>5.5999999999999999E-3</v>
      </c>
      <c r="X1770" s="12">
        <v>29.308856384601299</v>
      </c>
      <c r="Y1770" s="14">
        <v>29</v>
      </c>
      <c r="Z1770" s="14">
        <v>122</v>
      </c>
      <c r="AA1770" s="12" t="s">
        <v>2372</v>
      </c>
    </row>
    <row r="1771" spans="1:27" ht="14.25" x14ac:dyDescent="0.45">
      <c r="A1771" s="12" t="s">
        <v>1909</v>
      </c>
      <c r="B1771" s="12" t="s">
        <v>2368</v>
      </c>
      <c r="C1771" s="12" t="s">
        <v>2368</v>
      </c>
      <c r="D1771" s="12" t="s">
        <v>2368</v>
      </c>
      <c r="E1771" s="20">
        <v>1</v>
      </c>
      <c r="F1771" s="20">
        <v>44537</v>
      </c>
      <c r="G1771" s="12">
        <v>3.44</v>
      </c>
      <c r="H1771" s="12">
        <v>0.8</v>
      </c>
      <c r="I1771" s="13">
        <v>4.3</v>
      </c>
      <c r="J1771" s="12" t="s">
        <v>1909</v>
      </c>
      <c r="K1771" s="14">
        <v>482</v>
      </c>
      <c r="L1771" s="14">
        <v>1946</v>
      </c>
      <c r="M1771" s="14">
        <v>1182</v>
      </c>
      <c r="N1771" s="12">
        <v>3.44</v>
      </c>
      <c r="O1771" s="12" t="s">
        <v>1909</v>
      </c>
      <c r="P1771" s="12">
        <v>5.5337049280537905E-4</v>
      </c>
      <c r="Q1771" s="12">
        <v>1.9580167033696701E-2</v>
      </c>
      <c r="R1771" s="12">
        <v>1.2096774193548401E-2</v>
      </c>
      <c r="S1771" s="14">
        <v>122</v>
      </c>
      <c r="T1771" s="12">
        <v>1.2445118330862399</v>
      </c>
      <c r="U1771" s="14">
        <v>532</v>
      </c>
      <c r="V1771" s="14">
        <v>1</v>
      </c>
      <c r="W1771" s="12">
        <v>5.4999999999999997E-3</v>
      </c>
      <c r="X1771" s="12">
        <v>1.25001183308624</v>
      </c>
      <c r="Y1771" s="14">
        <v>532</v>
      </c>
      <c r="Z1771" s="14">
        <v>122</v>
      </c>
      <c r="AA1771" s="12" t="s">
        <v>2372</v>
      </c>
    </row>
    <row r="1772" spans="1:27" ht="14.25" x14ac:dyDescent="0.45">
      <c r="A1772" s="12" t="s">
        <v>1930</v>
      </c>
      <c r="B1772" s="12" t="s">
        <v>2368</v>
      </c>
      <c r="C1772" s="12" t="s">
        <v>2368</v>
      </c>
      <c r="D1772" s="12" t="s">
        <v>2368</v>
      </c>
      <c r="E1772" s="20">
        <v>1</v>
      </c>
      <c r="F1772" s="20">
        <v>44538</v>
      </c>
      <c r="G1772" s="12">
        <v>1</v>
      </c>
      <c r="H1772" s="12">
        <v>0.76666666666666705</v>
      </c>
      <c r="I1772" s="13">
        <v>1.3043478260869601</v>
      </c>
      <c r="J1772" s="12" t="s">
        <v>1930</v>
      </c>
      <c r="K1772" s="14">
        <v>751</v>
      </c>
      <c r="L1772" s="14">
        <v>1948</v>
      </c>
      <c r="M1772" s="14">
        <v>1549</v>
      </c>
      <c r="N1772" s="12">
        <v>1</v>
      </c>
      <c r="O1772" s="12" t="s">
        <v>1930</v>
      </c>
      <c r="P1772" s="12">
        <v>1.6086351535040099E-4</v>
      </c>
      <c r="Q1772" s="12">
        <v>5.9393833267027303E-3</v>
      </c>
      <c r="R1772" s="12">
        <v>1.1592741935483901E-2</v>
      </c>
      <c r="S1772" s="14">
        <v>122</v>
      </c>
      <c r="T1772" s="12">
        <v>0.37724383974456099</v>
      </c>
      <c r="U1772" s="14">
        <v>849</v>
      </c>
      <c r="V1772" s="14">
        <v>1</v>
      </c>
      <c r="W1772" s="12">
        <v>5.4999999999999997E-3</v>
      </c>
      <c r="X1772" s="12">
        <v>0.382743839744561</v>
      </c>
      <c r="Y1772" s="14">
        <v>849</v>
      </c>
      <c r="Z1772" s="14">
        <v>122</v>
      </c>
      <c r="AA1772" s="12" t="s">
        <v>2372</v>
      </c>
    </row>
    <row r="1773" spans="1:27" ht="14.25" x14ac:dyDescent="0.45">
      <c r="A1773" s="12" t="s">
        <v>1945</v>
      </c>
      <c r="B1773" s="12" t="s">
        <v>2368</v>
      </c>
      <c r="C1773" s="12" t="s">
        <v>2368</v>
      </c>
      <c r="D1773" s="12" t="s">
        <v>2368</v>
      </c>
      <c r="E1773" s="20">
        <v>1</v>
      </c>
      <c r="F1773" s="20">
        <v>44543</v>
      </c>
      <c r="G1773" s="12">
        <v>1.64</v>
      </c>
      <c r="H1773" s="12">
        <v>0.6</v>
      </c>
      <c r="I1773" s="13">
        <v>2.7333333333333298</v>
      </c>
      <c r="J1773" s="12" t="s">
        <v>1945</v>
      </c>
      <c r="K1773" s="14">
        <v>573</v>
      </c>
      <c r="L1773" s="14">
        <v>1955</v>
      </c>
      <c r="M1773" s="14">
        <v>1463</v>
      </c>
      <c r="N1773" s="12">
        <v>1.64</v>
      </c>
      <c r="O1773" s="12" t="s">
        <v>1945</v>
      </c>
      <c r="P1773" s="12">
        <v>2.6381616517465699E-4</v>
      </c>
      <c r="Q1773" s="12">
        <v>1.24463077268459E-2</v>
      </c>
      <c r="R1773" s="12">
        <v>9.0725806451612892E-3</v>
      </c>
      <c r="S1773" s="14">
        <v>122</v>
      </c>
      <c r="T1773" s="12">
        <v>0.787787339121921</v>
      </c>
      <c r="U1773" s="14">
        <v>680</v>
      </c>
      <c r="V1773" s="14">
        <v>1</v>
      </c>
      <c r="W1773" s="12">
        <v>5.4999999999999997E-3</v>
      </c>
      <c r="X1773" s="12">
        <v>0.79328733912192095</v>
      </c>
      <c r="Y1773" s="14">
        <v>680</v>
      </c>
      <c r="Z1773" s="14">
        <v>122</v>
      </c>
      <c r="AA1773" s="12" t="s">
        <v>2372</v>
      </c>
    </row>
    <row r="1774" spans="1:27" ht="14.25" x14ac:dyDescent="0.45">
      <c r="A1774" s="12" t="s">
        <v>1957</v>
      </c>
      <c r="B1774" s="12" t="s">
        <v>2368</v>
      </c>
      <c r="C1774" s="12" t="s">
        <v>2368</v>
      </c>
      <c r="D1774" s="12" t="s">
        <v>2368</v>
      </c>
      <c r="E1774" s="20">
        <v>1</v>
      </c>
      <c r="F1774" s="20">
        <v>44496</v>
      </c>
      <c r="G1774" s="12">
        <v>5.41</v>
      </c>
      <c r="H1774" s="12">
        <v>2.1666666666666701</v>
      </c>
      <c r="I1774" s="13">
        <v>2.4969230769230801</v>
      </c>
      <c r="J1774" s="12" t="s">
        <v>1957</v>
      </c>
      <c r="K1774" s="14">
        <v>593</v>
      </c>
      <c r="L1774" s="14">
        <v>1923</v>
      </c>
      <c r="M1774" s="14">
        <v>1005</v>
      </c>
      <c r="N1774" s="12">
        <v>5.41</v>
      </c>
      <c r="O1774" s="12" t="s">
        <v>1957</v>
      </c>
      <c r="P1774" s="12">
        <v>8.7027161804566905E-4</v>
      </c>
      <c r="Q1774" s="12">
        <v>1.1369807189871101E-2</v>
      </c>
      <c r="R1774" s="12">
        <v>3.2762096774193498E-2</v>
      </c>
      <c r="S1774" s="14">
        <v>122</v>
      </c>
      <c r="T1774" s="12">
        <v>0.74324813504365494</v>
      </c>
      <c r="U1774" s="14">
        <v>698</v>
      </c>
      <c r="V1774" s="14">
        <v>1</v>
      </c>
      <c r="W1774" s="12">
        <v>5.4999999999999997E-3</v>
      </c>
      <c r="X1774" s="12">
        <v>0.74874813504365501</v>
      </c>
      <c r="Y1774" s="14">
        <v>698</v>
      </c>
      <c r="Z1774" s="14">
        <v>122</v>
      </c>
      <c r="AA1774" s="12" t="s">
        <v>2372</v>
      </c>
    </row>
    <row r="1775" spans="1:27" ht="14.25" x14ac:dyDescent="0.45">
      <c r="A1775" s="12" t="s">
        <v>1961</v>
      </c>
      <c r="B1775" s="12" t="s">
        <v>2368</v>
      </c>
      <c r="C1775" s="12" t="s">
        <v>2368</v>
      </c>
      <c r="D1775" s="12" t="s">
        <v>2368</v>
      </c>
      <c r="E1775" s="20">
        <v>1</v>
      </c>
      <c r="F1775" s="20">
        <v>44536</v>
      </c>
      <c r="G1775" s="12">
        <v>59.44</v>
      </c>
      <c r="H1775" s="12">
        <v>0.83333333333333304</v>
      </c>
      <c r="I1775" s="13">
        <v>71.328000000000003</v>
      </c>
      <c r="J1775" s="12" t="s">
        <v>1961</v>
      </c>
      <c r="K1775" s="14">
        <v>33</v>
      </c>
      <c r="L1775" s="14">
        <v>1945</v>
      </c>
      <c r="M1775" s="14">
        <v>455</v>
      </c>
      <c r="N1775" s="12">
        <v>59.44</v>
      </c>
      <c r="O1775" s="12" t="s">
        <v>1961</v>
      </c>
      <c r="P1775" s="12">
        <v>9.5617273524278307E-3</v>
      </c>
      <c r="Q1775" s="12">
        <v>0.324793989344073</v>
      </c>
      <c r="R1775" s="12">
        <v>1.2600806451612901E-2</v>
      </c>
      <c r="S1775" s="14">
        <v>122</v>
      </c>
      <c r="T1775" s="12">
        <v>20.658189109720599</v>
      </c>
      <c r="U1775" s="14">
        <v>51</v>
      </c>
      <c r="V1775" s="14">
        <v>1</v>
      </c>
      <c r="W1775" s="12">
        <v>5.4999999999999997E-3</v>
      </c>
      <c r="X1775" s="12">
        <v>20.6636891097206</v>
      </c>
      <c r="Y1775" s="14">
        <v>51</v>
      </c>
      <c r="Z1775" s="14">
        <v>122</v>
      </c>
      <c r="AA1775" s="12" t="s">
        <v>2372</v>
      </c>
    </row>
    <row r="1776" spans="1:27" ht="14.25" x14ac:dyDescent="0.45">
      <c r="A1776" s="12" t="s">
        <v>11</v>
      </c>
      <c r="B1776" s="12" t="s">
        <v>1986</v>
      </c>
      <c r="C1776" s="12" t="s">
        <v>1972</v>
      </c>
      <c r="D1776" s="12" t="s">
        <v>1987</v>
      </c>
      <c r="E1776" s="20">
        <v>34571</v>
      </c>
      <c r="F1776" s="20">
        <v>43937</v>
      </c>
      <c r="G1776" s="12">
        <v>522.80999999999995</v>
      </c>
      <c r="H1776" s="12">
        <v>20.8</v>
      </c>
      <c r="I1776" s="13">
        <v>25.135096153846099</v>
      </c>
      <c r="J1776" s="12" t="s">
        <v>11</v>
      </c>
      <c r="K1776" s="14">
        <v>103</v>
      </c>
      <c r="L1776" s="14">
        <v>446</v>
      </c>
      <c r="M1776" s="14">
        <v>141</v>
      </c>
      <c r="N1776" s="12">
        <v>522.80999999999995</v>
      </c>
      <c r="O1776" s="12" t="s">
        <v>11</v>
      </c>
      <c r="P1776" s="12">
        <v>8.4101054460343105E-2</v>
      </c>
      <c r="Q1776" s="12">
        <v>0.114453344441938</v>
      </c>
      <c r="R1776" s="12">
        <v>0.31451612903225801</v>
      </c>
      <c r="S1776" s="14">
        <v>28</v>
      </c>
      <c r="T1776" s="12">
        <v>10.307123569884</v>
      </c>
      <c r="U1776" s="14">
        <v>107</v>
      </c>
      <c r="V1776" s="14">
        <v>16</v>
      </c>
      <c r="W1776" s="12">
        <v>6.8999999999999999E-3</v>
      </c>
      <c r="X1776" s="12">
        <v>10.314023569884</v>
      </c>
      <c r="Y1776" s="14">
        <v>107</v>
      </c>
      <c r="Z1776" s="14">
        <v>27</v>
      </c>
      <c r="AA1776" s="12" t="s">
        <v>2367</v>
      </c>
    </row>
    <row r="1777" spans="1:27" ht="14.25" x14ac:dyDescent="0.45">
      <c r="A1777" s="12" t="s">
        <v>22</v>
      </c>
      <c r="B1777" s="12" t="s">
        <v>1986</v>
      </c>
      <c r="C1777" s="12" t="s">
        <v>1981</v>
      </c>
      <c r="D1777" s="12" t="s">
        <v>1982</v>
      </c>
      <c r="E1777" s="20">
        <v>36521</v>
      </c>
      <c r="F1777" s="20">
        <v>44194</v>
      </c>
      <c r="G1777" s="12">
        <v>2.0499999999999998</v>
      </c>
      <c r="H1777" s="12">
        <v>12.233333333333301</v>
      </c>
      <c r="I1777" s="13">
        <v>0.167574931880109</v>
      </c>
      <c r="J1777" s="12" t="s">
        <v>22</v>
      </c>
      <c r="K1777" s="14">
        <v>1386</v>
      </c>
      <c r="L1777" s="14">
        <v>745</v>
      </c>
      <c r="M1777" s="14">
        <v>1351</v>
      </c>
      <c r="N1777" s="12">
        <v>2.0499999999999998</v>
      </c>
      <c r="O1777" s="12" t="s">
        <v>22</v>
      </c>
      <c r="P1777" s="12">
        <v>3.2977020646832199E-4</v>
      </c>
      <c r="Q1777" s="12">
        <v>7.6305701322624999E-4</v>
      </c>
      <c r="R1777" s="12">
        <v>0.18497983870967699</v>
      </c>
      <c r="S1777" s="14">
        <v>23</v>
      </c>
      <c r="T1777" s="12">
        <v>6.00574460692027E-2</v>
      </c>
      <c r="U1777" s="14">
        <v>1480</v>
      </c>
      <c r="V1777" s="14">
        <v>1</v>
      </c>
      <c r="W1777" s="12">
        <v>5.4999999999999997E-3</v>
      </c>
      <c r="X1777" s="12">
        <v>6.5557446069202704E-2</v>
      </c>
      <c r="Y1777" s="14">
        <v>1480</v>
      </c>
      <c r="Z1777" s="14">
        <v>22</v>
      </c>
      <c r="AA1777" s="12" t="s">
        <v>2370</v>
      </c>
    </row>
    <row r="1778" spans="1:27" ht="14.25" x14ac:dyDescent="0.45">
      <c r="A1778" s="12" t="s">
        <v>38</v>
      </c>
      <c r="B1778" s="12" t="s">
        <v>2016</v>
      </c>
      <c r="C1778" s="12" t="s">
        <v>1996</v>
      </c>
      <c r="D1778" s="12" t="s">
        <v>1987</v>
      </c>
      <c r="E1778" s="20">
        <v>32175</v>
      </c>
      <c r="F1778" s="20">
        <v>44174</v>
      </c>
      <c r="G1778" s="12">
        <v>0.19</v>
      </c>
      <c r="H1778" s="12">
        <v>12.9</v>
      </c>
      <c r="I1778" s="13">
        <v>1.4728682170542601E-2</v>
      </c>
      <c r="J1778" s="12" t="s">
        <v>38</v>
      </c>
      <c r="K1778" s="14">
        <v>1713</v>
      </c>
      <c r="L1778" s="14">
        <v>687</v>
      </c>
      <c r="M1778" s="14">
        <v>1786</v>
      </c>
      <c r="N1778" s="12">
        <v>0.19</v>
      </c>
      <c r="O1778" s="12" t="s">
        <v>38</v>
      </c>
      <c r="P1778" s="12">
        <v>3.0564067916576199E-5</v>
      </c>
      <c r="Q1778" s="12">
        <v>6.7067455136152304E-5</v>
      </c>
      <c r="R1778" s="12">
        <v>0.195060483870968</v>
      </c>
      <c r="S1778" s="14">
        <v>34</v>
      </c>
      <c r="T1778" s="12">
        <v>5.3378684928811204E-3</v>
      </c>
      <c r="U1778" s="14">
        <v>1812</v>
      </c>
      <c r="V1778" s="14">
        <v>1</v>
      </c>
      <c r="W1778" s="12">
        <v>5.4999999999999997E-3</v>
      </c>
      <c r="X1778" s="12">
        <v>1.0837868492881099E-2</v>
      </c>
      <c r="Y1778" s="14">
        <v>1813</v>
      </c>
      <c r="Z1778" s="14">
        <v>34</v>
      </c>
      <c r="AA1778" s="12" t="s">
        <v>2367</v>
      </c>
    </row>
    <row r="1779" spans="1:27" ht="14.25" x14ac:dyDescent="0.45">
      <c r="A1779" s="12" t="s">
        <v>40</v>
      </c>
      <c r="B1779" s="12" t="s">
        <v>1986</v>
      </c>
      <c r="C1779" s="12" t="s">
        <v>1972</v>
      </c>
      <c r="D1779" s="12" t="s">
        <v>1997</v>
      </c>
      <c r="E1779" s="20">
        <v>34945</v>
      </c>
      <c r="F1779" s="20">
        <v>43781</v>
      </c>
      <c r="G1779" s="12">
        <v>0.01</v>
      </c>
      <c r="H1779" s="12">
        <v>26</v>
      </c>
      <c r="I1779" s="13">
        <v>3.8461538461538499E-4</v>
      </c>
      <c r="J1779" s="12" t="s">
        <v>40</v>
      </c>
      <c r="K1779" s="14">
        <v>1845</v>
      </c>
      <c r="L1779" s="14">
        <v>366</v>
      </c>
      <c r="M1779" s="14">
        <v>1944</v>
      </c>
      <c r="N1779" s="12">
        <v>0.01</v>
      </c>
      <c r="O1779" s="12" t="s">
        <v>40</v>
      </c>
      <c r="P1779" s="12">
        <v>1.6086351535040101E-6</v>
      </c>
      <c r="Q1779" s="12">
        <v>1.75135662197645E-6</v>
      </c>
      <c r="R1779" s="12">
        <v>0.39314516129032301</v>
      </c>
      <c r="S1779" s="14">
        <v>27</v>
      </c>
      <c r="T1779" s="12">
        <v>1.6978360712992799E-4</v>
      </c>
      <c r="U1779" s="14">
        <v>1961</v>
      </c>
      <c r="V1779" s="14">
        <v>1</v>
      </c>
      <c r="W1779" s="12">
        <v>5.4999999999999997E-3</v>
      </c>
      <c r="X1779" s="12">
        <v>5.66978360712993E-3</v>
      </c>
      <c r="Y1779" s="14">
        <v>1961</v>
      </c>
      <c r="Z1779" s="14">
        <v>26</v>
      </c>
      <c r="AA1779" s="12" t="s">
        <v>2367</v>
      </c>
    </row>
    <row r="1780" spans="1:27" ht="14.25" x14ac:dyDescent="0.45">
      <c r="A1780" s="12" t="s">
        <v>48</v>
      </c>
      <c r="B1780" s="12" t="s">
        <v>2021</v>
      </c>
      <c r="C1780" s="12" t="s">
        <v>1972</v>
      </c>
      <c r="D1780" s="12" t="s">
        <v>1987</v>
      </c>
      <c r="E1780" s="20">
        <v>35065</v>
      </c>
      <c r="F1780" s="20">
        <v>44068</v>
      </c>
      <c r="G1780" s="12">
        <v>474.2</v>
      </c>
      <c r="H1780" s="12">
        <v>16.433333333333302</v>
      </c>
      <c r="I1780" s="13">
        <v>28.855983772819499</v>
      </c>
      <c r="J1780" s="12" t="s">
        <v>48</v>
      </c>
      <c r="K1780" s="14">
        <v>82</v>
      </c>
      <c r="L1780" s="14">
        <v>479</v>
      </c>
      <c r="M1780" s="14">
        <v>151</v>
      </c>
      <c r="N1780" s="12">
        <v>474.2</v>
      </c>
      <c r="O1780" s="12" t="s">
        <v>48</v>
      </c>
      <c r="P1780" s="12">
        <v>7.62814789791601E-2</v>
      </c>
      <c r="Q1780" s="12">
        <v>0.131396507486848</v>
      </c>
      <c r="R1780" s="12">
        <v>0.24848790322580599</v>
      </c>
      <c r="S1780" s="14">
        <v>26</v>
      </c>
      <c r="T1780" s="12">
        <v>11.0728371796465</v>
      </c>
      <c r="U1780" s="14">
        <v>97</v>
      </c>
      <c r="V1780" s="14">
        <v>28</v>
      </c>
      <c r="W1780" s="12">
        <v>7.6E-3</v>
      </c>
      <c r="X1780" s="12">
        <v>11.0804371796465</v>
      </c>
      <c r="Y1780" s="14">
        <v>97</v>
      </c>
      <c r="Z1780" s="14">
        <v>26</v>
      </c>
      <c r="AA1780" s="12" t="s">
        <v>2367</v>
      </c>
    </row>
    <row r="1781" spans="1:27" ht="14.25" x14ac:dyDescent="0.45">
      <c r="A1781" s="12" t="s">
        <v>54</v>
      </c>
      <c r="B1781" s="12" t="s">
        <v>2025</v>
      </c>
      <c r="C1781" s="12" t="s">
        <v>1972</v>
      </c>
      <c r="D1781" s="12" t="s">
        <v>1990</v>
      </c>
      <c r="E1781" s="20">
        <v>35094</v>
      </c>
      <c r="F1781" s="20">
        <v>44109</v>
      </c>
      <c r="G1781" s="12">
        <v>7.12</v>
      </c>
      <c r="H1781" s="12">
        <v>15.0666666666667</v>
      </c>
      <c r="I1781" s="13">
        <v>0.47256637168141602</v>
      </c>
      <c r="J1781" s="12" t="s">
        <v>54</v>
      </c>
      <c r="K1781" s="14">
        <v>1075</v>
      </c>
      <c r="L1781" s="14">
        <v>501</v>
      </c>
      <c r="M1781" s="14">
        <v>917</v>
      </c>
      <c r="N1781" s="12">
        <v>7.12</v>
      </c>
      <c r="O1781" s="12" t="s">
        <v>54</v>
      </c>
      <c r="P1781" s="12">
        <v>1.1453482292948501E-3</v>
      </c>
      <c r="Q1781" s="12">
        <v>2.1518438353558401E-3</v>
      </c>
      <c r="R1781" s="12">
        <v>0.227822580645161</v>
      </c>
      <c r="S1781" s="14">
        <v>26</v>
      </c>
      <c r="T1781" s="12">
        <v>0.17744079830829701</v>
      </c>
      <c r="U1781" s="14">
        <v>1093</v>
      </c>
      <c r="V1781" s="14">
        <v>4</v>
      </c>
      <c r="W1781" s="12">
        <v>5.7999999999999996E-3</v>
      </c>
      <c r="X1781" s="12">
        <v>0.18324079830829701</v>
      </c>
      <c r="Y1781" s="14">
        <v>1092</v>
      </c>
      <c r="Z1781" s="14">
        <v>26</v>
      </c>
      <c r="AA1781" s="12" t="s">
        <v>2367</v>
      </c>
    </row>
    <row r="1782" spans="1:27" ht="14.25" x14ac:dyDescent="0.45">
      <c r="A1782" s="12" t="s">
        <v>60</v>
      </c>
      <c r="B1782" s="12" t="s">
        <v>1986</v>
      </c>
      <c r="C1782" s="12" t="s">
        <v>1977</v>
      </c>
      <c r="D1782" s="12" t="s">
        <v>2007</v>
      </c>
      <c r="E1782" s="20">
        <v>29088</v>
      </c>
      <c r="F1782" s="20">
        <v>43900</v>
      </c>
      <c r="G1782" s="12">
        <v>1.07</v>
      </c>
      <c r="H1782" s="12">
        <v>22.033333333333299</v>
      </c>
      <c r="I1782" s="13">
        <v>4.8562783661119498E-2</v>
      </c>
      <c r="J1782" s="12" t="s">
        <v>60</v>
      </c>
      <c r="K1782" s="14">
        <v>1611</v>
      </c>
      <c r="L1782" s="14">
        <v>425</v>
      </c>
      <c r="M1782" s="14">
        <v>1536</v>
      </c>
      <c r="N1782" s="12">
        <v>1.07</v>
      </c>
      <c r="O1782" s="12" t="s">
        <v>60</v>
      </c>
      <c r="P1782" s="12">
        <v>1.72123961424929E-4</v>
      </c>
      <c r="Q1782" s="12">
        <v>2.2113195714092899E-4</v>
      </c>
      <c r="R1782" s="12">
        <v>0.33316532258064502</v>
      </c>
      <c r="S1782" s="14">
        <v>43</v>
      </c>
      <c r="T1782" s="12">
        <v>2.0275395874742901E-2</v>
      </c>
      <c r="U1782" s="14">
        <v>1682</v>
      </c>
      <c r="V1782" s="14">
        <v>1</v>
      </c>
      <c r="W1782" s="12">
        <v>5.4999999999999997E-3</v>
      </c>
      <c r="X1782" s="12">
        <v>2.5775395874742899E-2</v>
      </c>
      <c r="Y1782" s="14">
        <v>1682</v>
      </c>
      <c r="Z1782" s="14">
        <v>42</v>
      </c>
      <c r="AA1782" s="12" t="s">
        <v>2369</v>
      </c>
    </row>
    <row r="1783" spans="1:27" ht="14.25" x14ac:dyDescent="0.45">
      <c r="A1783" s="12" t="s">
        <v>64</v>
      </c>
      <c r="B1783" s="12" t="s">
        <v>1986</v>
      </c>
      <c r="C1783" s="12" t="s">
        <v>1972</v>
      </c>
      <c r="D1783" s="12" t="s">
        <v>1974</v>
      </c>
      <c r="E1783" s="20">
        <v>30798</v>
      </c>
      <c r="F1783" s="20">
        <v>43868</v>
      </c>
      <c r="G1783" s="12">
        <v>13.01</v>
      </c>
      <c r="H1783" s="12">
        <v>23.1</v>
      </c>
      <c r="I1783" s="13">
        <v>0.56320346320346304</v>
      </c>
      <c r="J1783" s="12" t="s">
        <v>64</v>
      </c>
      <c r="K1783" s="14">
        <v>1013</v>
      </c>
      <c r="L1783" s="14">
        <v>406</v>
      </c>
      <c r="M1783" s="14">
        <v>790</v>
      </c>
      <c r="N1783" s="12">
        <v>13.01</v>
      </c>
      <c r="O1783" s="12" t="s">
        <v>64</v>
      </c>
      <c r="P1783" s="12">
        <v>2.09283433470872E-3</v>
      </c>
      <c r="Q1783" s="12">
        <v>2.5645622984837801E-3</v>
      </c>
      <c r="R1783" s="12">
        <v>0.34929435483871002</v>
      </c>
      <c r="S1783" s="14">
        <v>38</v>
      </c>
      <c r="T1783" s="12">
        <v>0.23876643120681301</v>
      </c>
      <c r="U1783" s="14">
        <v>985</v>
      </c>
      <c r="V1783" s="14">
        <v>2</v>
      </c>
      <c r="W1783" s="12">
        <v>5.5999999999999999E-3</v>
      </c>
      <c r="X1783" s="12">
        <v>0.24436643120681301</v>
      </c>
      <c r="Y1783" s="14">
        <v>985</v>
      </c>
      <c r="Z1783" s="14">
        <v>38</v>
      </c>
      <c r="AA1783" s="12" t="s">
        <v>2369</v>
      </c>
    </row>
    <row r="1784" spans="1:27" ht="14.25" x14ac:dyDescent="0.45">
      <c r="A1784" s="12" t="s">
        <v>66</v>
      </c>
      <c r="B1784" s="12" t="s">
        <v>1986</v>
      </c>
      <c r="C1784" s="12" t="s">
        <v>1972</v>
      </c>
      <c r="D1784" s="12" t="s">
        <v>1982</v>
      </c>
      <c r="E1784" s="20">
        <v>33824</v>
      </c>
      <c r="F1784" s="20">
        <v>43053</v>
      </c>
      <c r="G1784" s="12">
        <v>1917.58</v>
      </c>
      <c r="H1784" s="12">
        <v>50.266666666666701</v>
      </c>
      <c r="I1784" s="13">
        <v>38.148143236074297</v>
      </c>
      <c r="J1784" s="12" t="s">
        <v>66</v>
      </c>
      <c r="K1784" s="14">
        <v>63</v>
      </c>
      <c r="L1784" s="14">
        <v>61</v>
      </c>
      <c r="M1784" s="14">
        <v>23</v>
      </c>
      <c r="N1784" s="12">
        <v>1917.58</v>
      </c>
      <c r="O1784" s="12" t="s">
        <v>66</v>
      </c>
      <c r="P1784" s="12">
        <v>0.30846865976562199</v>
      </c>
      <c r="Q1784" s="12">
        <v>0.17370860850877201</v>
      </c>
      <c r="R1784" s="12">
        <v>0.76008064516129004</v>
      </c>
      <c r="S1784" s="14">
        <v>30</v>
      </c>
      <c r="T1784" s="12">
        <v>22.424362773009101</v>
      </c>
      <c r="U1784" s="14">
        <v>46</v>
      </c>
      <c r="V1784" s="14">
        <v>30</v>
      </c>
      <c r="W1784" s="12">
        <v>7.7000000000000002E-3</v>
      </c>
      <c r="X1784" s="12">
        <v>22.4320627730091</v>
      </c>
      <c r="Y1784" s="14">
        <v>46</v>
      </c>
      <c r="Z1784" s="14">
        <v>29</v>
      </c>
      <c r="AA1784" s="12" t="s">
        <v>2367</v>
      </c>
    </row>
    <row r="1785" spans="1:27" ht="14.25" x14ac:dyDescent="0.45">
      <c r="A1785" s="12" t="s">
        <v>70</v>
      </c>
      <c r="B1785" s="12" t="s">
        <v>1986</v>
      </c>
      <c r="C1785" s="12" t="s">
        <v>1981</v>
      </c>
      <c r="D1785" s="12" t="s">
        <v>1982</v>
      </c>
      <c r="E1785" s="20">
        <v>37381</v>
      </c>
      <c r="F1785" s="20">
        <v>44207</v>
      </c>
      <c r="G1785" s="12">
        <v>5.9</v>
      </c>
      <c r="H1785" s="12">
        <v>11.8</v>
      </c>
      <c r="I1785" s="13">
        <v>0.5</v>
      </c>
      <c r="J1785" s="12" t="s">
        <v>70</v>
      </c>
      <c r="K1785" s="14">
        <v>1050</v>
      </c>
      <c r="L1785" s="14">
        <v>798</v>
      </c>
      <c r="M1785" s="14">
        <v>975</v>
      </c>
      <c r="N1785" s="12">
        <v>5.9</v>
      </c>
      <c r="O1785" s="12" t="s">
        <v>70</v>
      </c>
      <c r="P1785" s="12">
        <v>9.4909474056736496E-4</v>
      </c>
      <c r="Q1785" s="12">
        <v>2.27676360856938E-3</v>
      </c>
      <c r="R1785" s="12">
        <v>0.178427419354839</v>
      </c>
      <c r="S1785" s="14">
        <v>20</v>
      </c>
      <c r="T1785" s="12">
        <v>0.17788877830686201</v>
      </c>
      <c r="U1785" s="14">
        <v>1091</v>
      </c>
      <c r="V1785" s="14">
        <v>2</v>
      </c>
      <c r="W1785" s="12">
        <v>5.5999999999999999E-3</v>
      </c>
      <c r="X1785" s="12">
        <v>0.183488778306862</v>
      </c>
      <c r="Y1785" s="14">
        <v>1091</v>
      </c>
      <c r="Z1785" s="14">
        <v>20</v>
      </c>
      <c r="AA1785" s="12" t="s">
        <v>2370</v>
      </c>
    </row>
    <row r="1786" spans="1:27" ht="14.25" x14ac:dyDescent="0.45">
      <c r="A1786" s="12" t="s">
        <v>71</v>
      </c>
      <c r="B1786" s="12" t="s">
        <v>2025</v>
      </c>
      <c r="C1786" s="12" t="s">
        <v>1972</v>
      </c>
      <c r="D1786" s="12" t="s">
        <v>1975</v>
      </c>
      <c r="E1786" s="20">
        <v>34946</v>
      </c>
      <c r="F1786" s="20">
        <v>43900</v>
      </c>
      <c r="G1786" s="12">
        <v>9.93</v>
      </c>
      <c r="H1786" s="12">
        <v>22.033333333333299</v>
      </c>
      <c r="I1786" s="13">
        <v>0.45068078668683798</v>
      </c>
      <c r="J1786" s="12" t="s">
        <v>71</v>
      </c>
      <c r="K1786" s="14">
        <v>1101</v>
      </c>
      <c r="L1786" s="14">
        <v>425</v>
      </c>
      <c r="M1786" s="14">
        <v>847</v>
      </c>
      <c r="N1786" s="12">
        <v>9.93</v>
      </c>
      <c r="O1786" s="12" t="s">
        <v>71</v>
      </c>
      <c r="P1786" s="12">
        <v>1.5973747074294799E-3</v>
      </c>
      <c r="Q1786" s="12">
        <v>2.0521872284200199E-3</v>
      </c>
      <c r="R1786" s="12">
        <v>0.33316532258064502</v>
      </c>
      <c r="S1786" s="14">
        <v>27</v>
      </c>
      <c r="T1786" s="12">
        <v>0.188163253304857</v>
      </c>
      <c r="U1786" s="14">
        <v>1072</v>
      </c>
      <c r="V1786" s="14">
        <v>10</v>
      </c>
      <c r="W1786" s="12">
        <v>6.4000000000000003E-3</v>
      </c>
      <c r="X1786" s="12">
        <v>0.19456325330485699</v>
      </c>
      <c r="Y1786" s="14">
        <v>1072</v>
      </c>
      <c r="Z1786" s="14">
        <v>26</v>
      </c>
      <c r="AA1786" s="12" t="s">
        <v>2367</v>
      </c>
    </row>
    <row r="1787" spans="1:27" ht="14.25" x14ac:dyDescent="0.45">
      <c r="A1787" s="12" t="s">
        <v>73</v>
      </c>
      <c r="B1787" s="12" t="s">
        <v>2025</v>
      </c>
      <c r="C1787" s="12" t="s">
        <v>1981</v>
      </c>
      <c r="D1787" s="12" t="s">
        <v>1982</v>
      </c>
      <c r="E1787" s="20">
        <v>36101</v>
      </c>
      <c r="F1787" s="20">
        <v>44179</v>
      </c>
      <c r="G1787" s="12">
        <v>9.11</v>
      </c>
      <c r="H1787" s="12">
        <v>12.733333333333301</v>
      </c>
      <c r="I1787" s="13">
        <v>0.71544502617800998</v>
      </c>
      <c r="J1787" s="12" t="s">
        <v>73</v>
      </c>
      <c r="K1787" s="14">
        <v>929</v>
      </c>
      <c r="L1787" s="14">
        <v>700</v>
      </c>
      <c r="M1787" s="14">
        <v>865</v>
      </c>
      <c r="N1787" s="12">
        <v>9.11</v>
      </c>
      <c r="O1787" s="12" t="s">
        <v>73</v>
      </c>
      <c r="P1787" s="12">
        <v>1.4654666248421499E-3</v>
      </c>
      <c r="Q1787" s="12">
        <v>3.2577983990681198E-3</v>
      </c>
      <c r="R1787" s="12">
        <v>0.19254032258064499</v>
      </c>
      <c r="S1787" s="14">
        <v>24</v>
      </c>
      <c r="T1787" s="12">
        <v>0.25856739837333798</v>
      </c>
      <c r="U1787" s="14">
        <v>959</v>
      </c>
      <c r="V1787" s="14">
        <v>1</v>
      </c>
      <c r="W1787" s="12">
        <v>5.4999999999999997E-3</v>
      </c>
      <c r="X1787" s="12">
        <v>0.26406739837333798</v>
      </c>
      <c r="Y1787" s="14">
        <v>959</v>
      </c>
      <c r="Z1787" s="14">
        <v>23</v>
      </c>
      <c r="AA1787" s="12" t="s">
        <v>2370</v>
      </c>
    </row>
    <row r="1788" spans="1:27" ht="14.25" x14ac:dyDescent="0.45">
      <c r="A1788" s="12" t="s">
        <v>77</v>
      </c>
      <c r="B1788" s="12" t="s">
        <v>2025</v>
      </c>
      <c r="C1788" s="12" t="s">
        <v>1972</v>
      </c>
      <c r="D1788" s="12" t="s">
        <v>1997</v>
      </c>
      <c r="E1788" s="20">
        <v>32527</v>
      </c>
      <c r="F1788" s="20">
        <v>43770</v>
      </c>
      <c r="G1788" s="12">
        <v>0.08</v>
      </c>
      <c r="H1788" s="12">
        <v>26.366666666666699</v>
      </c>
      <c r="I1788" s="13">
        <v>3.0341340075853399E-3</v>
      </c>
      <c r="J1788" s="12" t="s">
        <v>77</v>
      </c>
      <c r="K1788" s="14">
        <v>1796</v>
      </c>
      <c r="L1788" s="14">
        <v>355</v>
      </c>
      <c r="M1788" s="14">
        <v>1849</v>
      </c>
      <c r="N1788" s="12">
        <v>0.08</v>
      </c>
      <c r="O1788" s="12" t="s">
        <v>77</v>
      </c>
      <c r="P1788" s="12">
        <v>1.2869081228032099E-5</v>
      </c>
      <c r="Q1788" s="12">
        <v>1.3816011783986099E-5</v>
      </c>
      <c r="R1788" s="12">
        <v>0.39868951612903197</v>
      </c>
      <c r="S1788" s="14">
        <v>33</v>
      </c>
      <c r="T1788" s="12">
        <v>1.3460912825503399E-3</v>
      </c>
      <c r="U1788" s="14">
        <v>1888</v>
      </c>
      <c r="V1788" s="14">
        <v>2</v>
      </c>
      <c r="W1788" s="12">
        <v>5.5999999999999999E-3</v>
      </c>
      <c r="X1788" s="12">
        <v>6.9460912825503396E-3</v>
      </c>
      <c r="Y1788" s="14">
        <v>1888</v>
      </c>
      <c r="Z1788" s="14">
        <v>33</v>
      </c>
      <c r="AA1788" s="12" t="s">
        <v>2367</v>
      </c>
    </row>
    <row r="1789" spans="1:27" ht="14.25" x14ac:dyDescent="0.45">
      <c r="A1789" s="12" t="s">
        <v>86</v>
      </c>
      <c r="B1789" s="12" t="s">
        <v>2021</v>
      </c>
      <c r="C1789" s="12" t="s">
        <v>1996</v>
      </c>
      <c r="D1789" s="12" t="s">
        <v>1982</v>
      </c>
      <c r="E1789" s="20">
        <v>34861</v>
      </c>
      <c r="F1789" s="20">
        <v>43110</v>
      </c>
      <c r="G1789" s="12">
        <v>1526.38</v>
      </c>
      <c r="H1789" s="12">
        <v>48.366666666666703</v>
      </c>
      <c r="I1789" s="13">
        <v>31.558511371468001</v>
      </c>
      <c r="J1789" s="12" t="s">
        <v>86</v>
      </c>
      <c r="K1789" s="14">
        <v>74</v>
      </c>
      <c r="L1789" s="14">
        <v>64</v>
      </c>
      <c r="M1789" s="14">
        <v>33</v>
      </c>
      <c r="N1789" s="12">
        <v>1526.38</v>
      </c>
      <c r="O1789" s="12" t="s">
        <v>86</v>
      </c>
      <c r="P1789" s="12">
        <v>0.245538852560545</v>
      </c>
      <c r="Q1789" s="12">
        <v>0.143702540462362</v>
      </c>
      <c r="R1789" s="12">
        <v>0.73135080645161299</v>
      </c>
      <c r="S1789" s="14">
        <v>27</v>
      </c>
      <c r="T1789" s="12">
        <v>18.189115749918098</v>
      </c>
      <c r="U1789" s="14">
        <v>58</v>
      </c>
      <c r="V1789" s="14">
        <v>16</v>
      </c>
      <c r="W1789" s="12">
        <v>6.8999999999999999E-3</v>
      </c>
      <c r="X1789" s="12">
        <v>18.1960157499181</v>
      </c>
      <c r="Y1789" s="14">
        <v>58</v>
      </c>
      <c r="Z1789" s="14">
        <v>27</v>
      </c>
      <c r="AA1789" s="12" t="s">
        <v>2367</v>
      </c>
    </row>
    <row r="1790" spans="1:27" ht="14.25" x14ac:dyDescent="0.45">
      <c r="A1790" s="12" t="s">
        <v>89</v>
      </c>
      <c r="B1790" s="12" t="s">
        <v>1986</v>
      </c>
      <c r="C1790" s="12" t="s">
        <v>1981</v>
      </c>
      <c r="D1790" s="12" t="s">
        <v>1990</v>
      </c>
      <c r="E1790" s="20">
        <v>37103</v>
      </c>
      <c r="F1790" s="20">
        <v>44132</v>
      </c>
      <c r="G1790" s="12">
        <v>2.61</v>
      </c>
      <c r="H1790" s="12">
        <v>14.3</v>
      </c>
      <c r="I1790" s="13">
        <v>0.18251748251748301</v>
      </c>
      <c r="J1790" s="12" t="s">
        <v>89</v>
      </c>
      <c r="K1790" s="14">
        <v>1365</v>
      </c>
      <c r="L1790" s="14">
        <v>588</v>
      </c>
      <c r="M1790" s="14">
        <v>1264</v>
      </c>
      <c r="N1790" s="12">
        <v>2.61</v>
      </c>
      <c r="O1790" s="12" t="s">
        <v>89</v>
      </c>
      <c r="P1790" s="12">
        <v>4.19853775064546E-4</v>
      </c>
      <c r="Q1790" s="12">
        <v>8.3109832424700398E-4</v>
      </c>
      <c r="R1790" s="12">
        <v>0.21622983870967699</v>
      </c>
      <c r="S1790" s="14">
        <v>21</v>
      </c>
      <c r="T1790" s="12">
        <v>6.7688161830358196E-2</v>
      </c>
      <c r="U1790" s="14">
        <v>1453</v>
      </c>
      <c r="V1790" s="14">
        <v>2</v>
      </c>
      <c r="W1790" s="12">
        <v>5.5999999999999999E-3</v>
      </c>
      <c r="X1790" s="12">
        <v>7.3288161830358203E-2</v>
      </c>
      <c r="Y1790" s="14">
        <v>1453</v>
      </c>
      <c r="Z1790" s="14">
        <v>20</v>
      </c>
      <c r="AA1790" s="12" t="s">
        <v>2370</v>
      </c>
    </row>
    <row r="1791" spans="1:27" ht="14.25" x14ac:dyDescent="0.45">
      <c r="A1791" s="12" t="s">
        <v>92</v>
      </c>
      <c r="B1791" s="12" t="s">
        <v>1986</v>
      </c>
      <c r="C1791" s="12" t="s">
        <v>1972</v>
      </c>
      <c r="D1791" s="12" t="s">
        <v>1995</v>
      </c>
      <c r="E1791" s="20">
        <v>34360</v>
      </c>
      <c r="F1791" s="20">
        <v>44202</v>
      </c>
      <c r="G1791" s="12">
        <v>0.03</v>
      </c>
      <c r="H1791" s="12">
        <v>11.966666666666701</v>
      </c>
      <c r="I1791" s="13">
        <v>2.50696378830084E-3</v>
      </c>
      <c r="J1791" s="12" t="s">
        <v>92</v>
      </c>
      <c r="K1791" s="14">
        <v>1804</v>
      </c>
      <c r="L1791" s="14">
        <v>784</v>
      </c>
      <c r="M1791" s="14">
        <v>1895</v>
      </c>
      <c r="N1791" s="12">
        <v>0.03</v>
      </c>
      <c r="O1791" s="12" t="s">
        <v>92</v>
      </c>
      <c r="P1791" s="12">
        <v>4.8259054605120303E-6</v>
      </c>
      <c r="Q1791" s="12">
        <v>1.1415527842409099E-5</v>
      </c>
      <c r="R1791" s="12">
        <v>0.180947580645161</v>
      </c>
      <c r="S1791" s="14">
        <v>28</v>
      </c>
      <c r="T1791" s="12">
        <v>8.9444194491977204E-4</v>
      </c>
      <c r="U1791" s="14">
        <v>1911</v>
      </c>
      <c r="V1791" s="14">
        <v>1</v>
      </c>
      <c r="W1791" s="12">
        <v>5.4999999999999997E-3</v>
      </c>
      <c r="X1791" s="12">
        <v>6.3944419449197699E-3</v>
      </c>
      <c r="Y1791" s="14">
        <v>1912</v>
      </c>
      <c r="Z1791" s="14">
        <v>28</v>
      </c>
      <c r="AA1791" s="12" t="s">
        <v>2367</v>
      </c>
    </row>
    <row r="1792" spans="1:27" ht="14.25" x14ac:dyDescent="0.45">
      <c r="A1792" s="12" t="s">
        <v>99</v>
      </c>
      <c r="B1792" s="12" t="s">
        <v>1986</v>
      </c>
      <c r="C1792" s="12" t="s">
        <v>1981</v>
      </c>
      <c r="D1792" s="12" t="s">
        <v>2003</v>
      </c>
      <c r="E1792" s="20">
        <v>35644</v>
      </c>
      <c r="F1792" s="20">
        <v>43754</v>
      </c>
      <c r="G1792" s="12">
        <v>0.02</v>
      </c>
      <c r="H1792" s="12">
        <v>26.9</v>
      </c>
      <c r="I1792" s="13">
        <v>7.4349442379182198E-4</v>
      </c>
      <c r="J1792" s="12" t="s">
        <v>99</v>
      </c>
      <c r="K1792" s="14">
        <v>1837</v>
      </c>
      <c r="L1792" s="14">
        <v>331</v>
      </c>
      <c r="M1792" s="14">
        <v>1922</v>
      </c>
      <c r="N1792" s="12">
        <v>0.02</v>
      </c>
      <c r="O1792" s="12" t="s">
        <v>99</v>
      </c>
      <c r="P1792" s="12">
        <v>3.2172703070080202E-6</v>
      </c>
      <c r="Q1792" s="12">
        <v>3.3855220945269599E-6</v>
      </c>
      <c r="R1792" s="12">
        <v>0.406754032258064</v>
      </c>
      <c r="S1792" s="14">
        <v>25</v>
      </c>
      <c r="T1792" s="12">
        <v>3.3224276742073602E-4</v>
      </c>
      <c r="U1792" s="14">
        <v>1949</v>
      </c>
      <c r="V1792" s="14">
        <v>1</v>
      </c>
      <c r="W1792" s="12">
        <v>5.4999999999999997E-3</v>
      </c>
      <c r="X1792" s="12">
        <v>5.8322427674207403E-3</v>
      </c>
      <c r="Y1792" s="14">
        <v>1950</v>
      </c>
      <c r="Z1792" s="14">
        <v>24</v>
      </c>
      <c r="AA1792" s="12" t="s">
        <v>2370</v>
      </c>
    </row>
    <row r="1793" spans="1:27" ht="14.25" x14ac:dyDescent="0.45">
      <c r="A1793" s="12" t="s">
        <v>103</v>
      </c>
      <c r="B1793" s="12" t="s">
        <v>1986</v>
      </c>
      <c r="C1793" s="12" t="s">
        <v>1972</v>
      </c>
      <c r="D1793" s="12" t="s">
        <v>1974</v>
      </c>
      <c r="E1793" s="20">
        <v>34392</v>
      </c>
      <c r="F1793" s="20">
        <v>43910</v>
      </c>
      <c r="G1793" s="12">
        <v>731.42</v>
      </c>
      <c r="H1793" s="12">
        <v>21.7</v>
      </c>
      <c r="I1793" s="13">
        <v>33.705990783410101</v>
      </c>
      <c r="J1793" s="12" t="s">
        <v>103</v>
      </c>
      <c r="K1793" s="14">
        <v>71</v>
      </c>
      <c r="L1793" s="14">
        <v>437</v>
      </c>
      <c r="M1793" s="14">
        <v>85</v>
      </c>
      <c r="N1793" s="12">
        <v>731.42</v>
      </c>
      <c r="O1793" s="12" t="s">
        <v>103</v>
      </c>
      <c r="P1793" s="12">
        <v>0.11765879239759</v>
      </c>
      <c r="Q1793" s="12">
        <v>0.15348114641288599</v>
      </c>
      <c r="R1793" s="12">
        <v>0.328125</v>
      </c>
      <c r="S1793" s="14">
        <v>28</v>
      </c>
      <c r="T1793" s="12">
        <v>14.004776365714999</v>
      </c>
      <c r="U1793" s="14">
        <v>72</v>
      </c>
      <c r="V1793" s="14">
        <v>54</v>
      </c>
      <c r="W1793" s="12">
        <v>8.6999999999999994E-3</v>
      </c>
      <c r="X1793" s="12">
        <v>14.013476365715</v>
      </c>
      <c r="Y1793" s="14">
        <v>72</v>
      </c>
      <c r="Z1793" s="14">
        <v>28</v>
      </c>
      <c r="AA1793" s="12" t="s">
        <v>2367</v>
      </c>
    </row>
    <row r="1794" spans="1:27" ht="14.25" x14ac:dyDescent="0.45">
      <c r="A1794" s="12" t="s">
        <v>105</v>
      </c>
      <c r="B1794" s="12" t="s">
        <v>1986</v>
      </c>
      <c r="C1794" s="12" t="s">
        <v>1972</v>
      </c>
      <c r="D1794" s="12" t="s">
        <v>2026</v>
      </c>
      <c r="E1794" s="20">
        <v>34478</v>
      </c>
      <c r="F1794" s="20">
        <v>44211</v>
      </c>
      <c r="G1794" s="12">
        <v>6.88</v>
      </c>
      <c r="H1794" s="12">
        <v>11.6666666666667</v>
      </c>
      <c r="I1794" s="13">
        <v>0.58971428571428597</v>
      </c>
      <c r="J1794" s="12" t="s">
        <v>105</v>
      </c>
      <c r="K1794" s="14">
        <v>1002</v>
      </c>
      <c r="L1794" s="14">
        <v>823</v>
      </c>
      <c r="M1794" s="14">
        <v>928</v>
      </c>
      <c r="N1794" s="12">
        <v>6.88</v>
      </c>
      <c r="O1794" s="12" t="s">
        <v>105</v>
      </c>
      <c r="P1794" s="12">
        <v>1.10674098561076E-3</v>
      </c>
      <c r="Q1794" s="12">
        <v>2.6852800503355399E-3</v>
      </c>
      <c r="R1794" s="12">
        <v>0.17641129032258099</v>
      </c>
      <c r="S1794" s="14">
        <v>28</v>
      </c>
      <c r="T1794" s="12">
        <v>0.20933279010637501</v>
      </c>
      <c r="U1794" s="14">
        <v>1031</v>
      </c>
      <c r="V1794" s="14">
        <v>2</v>
      </c>
      <c r="W1794" s="12">
        <v>5.5999999999999999E-3</v>
      </c>
      <c r="X1794" s="12">
        <v>0.214932790106375</v>
      </c>
      <c r="Y1794" s="14">
        <v>1031</v>
      </c>
      <c r="Z1794" s="14">
        <v>28</v>
      </c>
      <c r="AA1794" s="12" t="s">
        <v>2367</v>
      </c>
    </row>
    <row r="1795" spans="1:27" ht="14.25" x14ac:dyDescent="0.45">
      <c r="A1795" s="12" t="s">
        <v>109</v>
      </c>
      <c r="B1795" s="12" t="s">
        <v>2048</v>
      </c>
      <c r="C1795" s="12" t="s">
        <v>1977</v>
      </c>
      <c r="D1795" s="12" t="s">
        <v>1995</v>
      </c>
      <c r="E1795" s="20">
        <v>33523</v>
      </c>
      <c r="F1795" s="20">
        <v>44110</v>
      </c>
      <c r="G1795" s="12">
        <v>275.64999999999998</v>
      </c>
      <c r="H1795" s="12">
        <v>15.033333333333299</v>
      </c>
      <c r="I1795" s="13">
        <v>18.335920177383599</v>
      </c>
      <c r="J1795" s="12" t="s">
        <v>109</v>
      </c>
      <c r="K1795" s="14">
        <v>149</v>
      </c>
      <c r="L1795" s="14">
        <v>515</v>
      </c>
      <c r="M1795" s="14">
        <v>244</v>
      </c>
      <c r="N1795" s="12">
        <v>275.64999999999998</v>
      </c>
      <c r="O1795" s="12" t="s">
        <v>109</v>
      </c>
      <c r="P1795" s="12">
        <v>4.4342028006337998E-2</v>
      </c>
      <c r="Q1795" s="12">
        <v>8.3493111578999898E-2</v>
      </c>
      <c r="R1795" s="12">
        <v>0.227318548387097</v>
      </c>
      <c r="S1795" s="14">
        <v>31</v>
      </c>
      <c r="T1795" s="12">
        <v>6.88114552392517</v>
      </c>
      <c r="U1795" s="14">
        <v>194</v>
      </c>
      <c r="V1795" s="14">
        <v>4</v>
      </c>
      <c r="W1795" s="12">
        <v>5.7999999999999996E-3</v>
      </c>
      <c r="X1795" s="12">
        <v>6.8869455239251698</v>
      </c>
      <c r="Y1795" s="14">
        <v>194</v>
      </c>
      <c r="Z1795" s="14">
        <v>30</v>
      </c>
      <c r="AA1795" s="12" t="s">
        <v>2367</v>
      </c>
    </row>
    <row r="1796" spans="1:27" ht="14.25" x14ac:dyDescent="0.45">
      <c r="A1796" s="12" t="s">
        <v>114</v>
      </c>
      <c r="B1796" s="12" t="s">
        <v>1986</v>
      </c>
      <c r="C1796" s="12" t="s">
        <v>1972</v>
      </c>
      <c r="D1796" s="12" t="s">
        <v>1997</v>
      </c>
      <c r="E1796" s="20">
        <v>33545</v>
      </c>
      <c r="F1796" s="20">
        <v>44131</v>
      </c>
      <c r="G1796" s="12">
        <v>2.82</v>
      </c>
      <c r="H1796" s="12">
        <v>14.3333333333333</v>
      </c>
      <c r="I1796" s="13">
        <v>0.196744186046512</v>
      </c>
      <c r="J1796" s="12" t="s">
        <v>114</v>
      </c>
      <c r="K1796" s="14">
        <v>1355</v>
      </c>
      <c r="L1796" s="14">
        <v>584</v>
      </c>
      <c r="M1796" s="14">
        <v>1248</v>
      </c>
      <c r="N1796" s="12">
        <v>2.82</v>
      </c>
      <c r="O1796" s="12" t="s">
        <v>114</v>
      </c>
      <c r="P1796" s="12">
        <v>4.5363511328813102E-4</v>
      </c>
      <c r="Q1796" s="12">
        <v>8.9588000597660197E-4</v>
      </c>
      <c r="R1796" s="12">
        <v>0.21673387096774199</v>
      </c>
      <c r="S1796" s="14">
        <v>31</v>
      </c>
      <c r="T1796" s="12">
        <v>7.3003817121842507E-2</v>
      </c>
      <c r="U1796" s="14">
        <v>1422</v>
      </c>
      <c r="V1796" s="14">
        <v>1</v>
      </c>
      <c r="W1796" s="12">
        <v>5.4999999999999997E-3</v>
      </c>
      <c r="X1796" s="12">
        <v>7.8503817121842498E-2</v>
      </c>
      <c r="Y1796" s="14">
        <v>1423</v>
      </c>
      <c r="Z1796" s="14">
        <v>30</v>
      </c>
      <c r="AA1796" s="12" t="s">
        <v>2367</v>
      </c>
    </row>
    <row r="1797" spans="1:27" ht="14.25" x14ac:dyDescent="0.45">
      <c r="A1797" s="12" t="s">
        <v>120</v>
      </c>
      <c r="B1797" s="12" t="s">
        <v>1986</v>
      </c>
      <c r="C1797" s="12" t="s">
        <v>1972</v>
      </c>
      <c r="D1797" s="12" t="s">
        <v>2026</v>
      </c>
      <c r="E1797" s="20">
        <v>29299</v>
      </c>
      <c r="F1797" s="20">
        <v>43707</v>
      </c>
      <c r="G1797" s="12">
        <v>0.03</v>
      </c>
      <c r="H1797" s="12">
        <v>28.466666666666701</v>
      </c>
      <c r="I1797" s="13">
        <v>1.05386416861827E-3</v>
      </c>
      <c r="J1797" s="12" t="s">
        <v>120</v>
      </c>
      <c r="K1797" s="14">
        <v>1829</v>
      </c>
      <c r="L1797" s="14">
        <v>271</v>
      </c>
      <c r="M1797" s="14">
        <v>1895</v>
      </c>
      <c r="N1797" s="12">
        <v>0.03</v>
      </c>
      <c r="O1797" s="12" t="s">
        <v>120</v>
      </c>
      <c r="P1797" s="12">
        <v>4.8259054605120303E-6</v>
      </c>
      <c r="Q1797" s="12">
        <v>4.7987991749705899E-6</v>
      </c>
      <c r="R1797" s="12">
        <v>0.43044354838709697</v>
      </c>
      <c r="S1797" s="14">
        <v>42</v>
      </c>
      <c r="T1797" s="12">
        <v>4.8089640320486302E-4</v>
      </c>
      <c r="U1797" s="14">
        <v>1936</v>
      </c>
      <c r="V1797" s="14">
        <v>1</v>
      </c>
      <c r="W1797" s="12">
        <v>5.4999999999999997E-3</v>
      </c>
      <c r="X1797" s="12">
        <v>5.9808964032048604E-3</v>
      </c>
      <c r="Y1797" s="14">
        <v>1936</v>
      </c>
      <c r="Z1797" s="14">
        <v>42</v>
      </c>
      <c r="AA1797" s="12" t="s">
        <v>2369</v>
      </c>
    </row>
    <row r="1798" spans="1:27" ht="14.25" x14ac:dyDescent="0.45">
      <c r="A1798" s="12" t="s">
        <v>134</v>
      </c>
      <c r="B1798" s="12" t="s">
        <v>1986</v>
      </c>
      <c r="C1798" s="12" t="s">
        <v>1972</v>
      </c>
      <c r="D1798" s="12" t="s">
        <v>1974</v>
      </c>
      <c r="E1798" s="20">
        <v>29371</v>
      </c>
      <c r="F1798" s="20">
        <v>43850</v>
      </c>
      <c r="G1798" s="12">
        <v>203.92</v>
      </c>
      <c r="H1798" s="12">
        <v>23.7</v>
      </c>
      <c r="I1798" s="13">
        <v>8.6042194092827007</v>
      </c>
      <c r="J1798" s="12" t="s">
        <v>134</v>
      </c>
      <c r="K1798" s="14">
        <v>334</v>
      </c>
      <c r="L1798" s="14">
        <v>390</v>
      </c>
      <c r="M1798" s="14">
        <v>283</v>
      </c>
      <c r="N1798" s="12">
        <v>203.92</v>
      </c>
      <c r="O1798" s="12" t="s">
        <v>134</v>
      </c>
      <c r="P1798" s="12">
        <v>3.2803288050253801E-2</v>
      </c>
      <c r="Q1798" s="12">
        <v>3.9179547262402303E-2</v>
      </c>
      <c r="R1798" s="12">
        <v>0.358366935483871</v>
      </c>
      <c r="S1798" s="14">
        <v>42</v>
      </c>
      <c r="T1798" s="12">
        <v>3.6788450057846598</v>
      </c>
      <c r="U1798" s="14">
        <v>331</v>
      </c>
      <c r="V1798" s="14">
        <v>12</v>
      </c>
      <c r="W1798" s="12">
        <v>6.6E-3</v>
      </c>
      <c r="X1798" s="12">
        <v>3.6854450057846599</v>
      </c>
      <c r="Y1798" s="14">
        <v>331</v>
      </c>
      <c r="Z1798" s="14">
        <v>42</v>
      </c>
      <c r="AA1798" s="12" t="s">
        <v>2369</v>
      </c>
    </row>
    <row r="1799" spans="1:27" ht="14.25" x14ac:dyDescent="0.45">
      <c r="A1799" s="12" t="s">
        <v>136</v>
      </c>
      <c r="B1799" s="12" t="s">
        <v>2064</v>
      </c>
      <c r="C1799" s="12" t="s">
        <v>1977</v>
      </c>
      <c r="D1799" s="12" t="s">
        <v>1984</v>
      </c>
      <c r="E1799" s="20">
        <v>30623</v>
      </c>
      <c r="F1799" s="20">
        <v>44116</v>
      </c>
      <c r="G1799" s="12">
        <v>10.51</v>
      </c>
      <c r="H1799" s="12">
        <v>14.8333333333333</v>
      </c>
      <c r="I1799" s="13">
        <v>0.70853932584269697</v>
      </c>
      <c r="J1799" s="12" t="s">
        <v>136</v>
      </c>
      <c r="K1799" s="14">
        <v>930</v>
      </c>
      <c r="L1799" s="14">
        <v>534</v>
      </c>
      <c r="M1799" s="14">
        <v>833</v>
      </c>
      <c r="N1799" s="12">
        <v>10.51</v>
      </c>
      <c r="O1799" s="12" t="s">
        <v>136</v>
      </c>
      <c r="P1799" s="12">
        <v>1.69067554633271E-3</v>
      </c>
      <c r="Q1799" s="12">
        <v>3.2263531046378699E-3</v>
      </c>
      <c r="R1799" s="12">
        <v>0.22429435483870999</v>
      </c>
      <c r="S1799" s="14">
        <v>39</v>
      </c>
      <c r="T1799" s="12">
        <v>0.265047402027343</v>
      </c>
      <c r="U1799" s="14">
        <v>954</v>
      </c>
      <c r="V1799" s="14">
        <v>1</v>
      </c>
      <c r="W1799" s="12">
        <v>5.4999999999999997E-3</v>
      </c>
      <c r="X1799" s="12">
        <v>0.27054740202734301</v>
      </c>
      <c r="Y1799" s="14">
        <v>954</v>
      </c>
      <c r="Z1799" s="14">
        <v>38</v>
      </c>
      <c r="AA1799" s="12" t="s">
        <v>2369</v>
      </c>
    </row>
    <row r="1800" spans="1:27" ht="14.25" x14ac:dyDescent="0.45">
      <c r="A1800" s="12" t="s">
        <v>137</v>
      </c>
      <c r="B1800" s="12" t="s">
        <v>1986</v>
      </c>
      <c r="C1800" s="12" t="s">
        <v>1972</v>
      </c>
      <c r="D1800" s="12" t="s">
        <v>1995</v>
      </c>
      <c r="E1800" s="20">
        <v>35862</v>
      </c>
      <c r="F1800" s="20">
        <v>44106</v>
      </c>
      <c r="G1800" s="12">
        <v>11.87</v>
      </c>
      <c r="H1800" s="12">
        <v>15.1666666666667</v>
      </c>
      <c r="I1800" s="13">
        <v>0.78263736263736305</v>
      </c>
      <c r="J1800" s="12" t="s">
        <v>137</v>
      </c>
      <c r="K1800" s="14">
        <v>894</v>
      </c>
      <c r="L1800" s="14">
        <v>498</v>
      </c>
      <c r="M1800" s="14">
        <v>811</v>
      </c>
      <c r="N1800" s="12">
        <v>11.87</v>
      </c>
      <c r="O1800" s="12" t="s">
        <v>137</v>
      </c>
      <c r="P1800" s="12">
        <v>1.90944992720926E-3</v>
      </c>
      <c r="Q1800" s="12">
        <v>3.5637605319189299E-3</v>
      </c>
      <c r="R1800" s="12">
        <v>0.22933467741935501</v>
      </c>
      <c r="S1800" s="14">
        <v>24</v>
      </c>
      <c r="T1800" s="12">
        <v>0.29433940551527998</v>
      </c>
      <c r="U1800" s="14">
        <v>926</v>
      </c>
      <c r="V1800" s="14">
        <v>4</v>
      </c>
      <c r="W1800" s="12">
        <v>5.7999999999999996E-3</v>
      </c>
      <c r="X1800" s="12">
        <v>0.30013940551528001</v>
      </c>
      <c r="Y1800" s="14">
        <v>926</v>
      </c>
      <c r="Z1800" s="14">
        <v>24</v>
      </c>
      <c r="AA1800" s="12" t="s">
        <v>2370</v>
      </c>
    </row>
    <row r="1801" spans="1:27" ht="14.25" x14ac:dyDescent="0.45">
      <c r="A1801" s="12" t="s">
        <v>140</v>
      </c>
      <c r="B1801" s="12" t="s">
        <v>1986</v>
      </c>
      <c r="C1801" s="12" t="s">
        <v>1972</v>
      </c>
      <c r="D1801" s="12" t="s">
        <v>1974</v>
      </c>
      <c r="E1801" s="20">
        <v>33446</v>
      </c>
      <c r="F1801" s="20">
        <v>43871</v>
      </c>
      <c r="G1801" s="12">
        <v>3.92</v>
      </c>
      <c r="H1801" s="12">
        <v>23</v>
      </c>
      <c r="I1801" s="13">
        <v>0.17043478260869599</v>
      </c>
      <c r="J1801" s="12" t="s">
        <v>140</v>
      </c>
      <c r="K1801" s="14">
        <v>1382</v>
      </c>
      <c r="L1801" s="14">
        <v>408</v>
      </c>
      <c r="M1801" s="14">
        <v>1123</v>
      </c>
      <c r="N1801" s="12">
        <v>3.92</v>
      </c>
      <c r="O1801" s="12" t="s">
        <v>140</v>
      </c>
      <c r="P1801" s="12">
        <v>6.3058498017357198E-4</v>
      </c>
      <c r="Q1801" s="12">
        <v>7.76079421355823E-4</v>
      </c>
      <c r="R1801" s="12">
        <v>0.34778225806451601</v>
      </c>
      <c r="S1801" s="14">
        <v>31</v>
      </c>
      <c r="T1801" s="12">
        <v>7.2151900591247903E-2</v>
      </c>
      <c r="U1801" s="14">
        <v>1431</v>
      </c>
      <c r="V1801" s="14">
        <v>1</v>
      </c>
      <c r="W1801" s="12">
        <v>5.4999999999999997E-3</v>
      </c>
      <c r="X1801" s="12">
        <v>7.7651900591247894E-2</v>
      </c>
      <c r="Y1801" s="14">
        <v>1431</v>
      </c>
      <c r="Z1801" s="14">
        <v>30</v>
      </c>
      <c r="AA1801" s="12" t="s">
        <v>2367</v>
      </c>
    </row>
    <row r="1802" spans="1:27" ht="14.25" x14ac:dyDescent="0.45">
      <c r="A1802" s="12" t="s">
        <v>156</v>
      </c>
      <c r="B1802" s="12" t="s">
        <v>1986</v>
      </c>
      <c r="C1802" s="12" t="s">
        <v>1972</v>
      </c>
      <c r="D1802" s="12" t="s">
        <v>2072</v>
      </c>
      <c r="E1802" s="20">
        <v>32475</v>
      </c>
      <c r="F1802" s="20">
        <v>43537</v>
      </c>
      <c r="G1802" s="12">
        <v>3.63</v>
      </c>
      <c r="H1802" s="12">
        <v>34.133333333333297</v>
      </c>
      <c r="I1802" s="13">
        <v>0.10634765625000001</v>
      </c>
      <c r="J1802" s="12" t="s">
        <v>156</v>
      </c>
      <c r="K1802" s="14">
        <v>1473</v>
      </c>
      <c r="L1802" s="14">
        <v>234</v>
      </c>
      <c r="M1802" s="14">
        <v>1153</v>
      </c>
      <c r="N1802" s="12">
        <v>3.63</v>
      </c>
      <c r="O1802" s="12" t="s">
        <v>156</v>
      </c>
      <c r="P1802" s="12">
        <v>5.8393456072195502E-4</v>
      </c>
      <c r="Q1802" s="12">
        <v>4.8425694721329198E-4</v>
      </c>
      <c r="R1802" s="12">
        <v>0.51612903225806495</v>
      </c>
      <c r="S1802" s="14">
        <v>34</v>
      </c>
      <c r="T1802" s="12">
        <v>5.21636052279041E-2</v>
      </c>
      <c r="U1802" s="14">
        <v>1511</v>
      </c>
      <c r="V1802" s="14">
        <v>4</v>
      </c>
      <c r="W1802" s="12">
        <v>5.7999999999999996E-3</v>
      </c>
      <c r="X1802" s="12">
        <v>5.79636052279041E-2</v>
      </c>
      <c r="Y1802" s="14">
        <v>1509</v>
      </c>
      <c r="Z1802" s="14">
        <v>33</v>
      </c>
      <c r="AA1802" s="12" t="s">
        <v>2367</v>
      </c>
    </row>
    <row r="1803" spans="1:27" ht="14.25" x14ac:dyDescent="0.45">
      <c r="A1803" s="12" t="s">
        <v>185</v>
      </c>
      <c r="B1803" s="12" t="s">
        <v>1986</v>
      </c>
      <c r="C1803" s="12" t="s">
        <v>1972</v>
      </c>
      <c r="D1803" s="12" t="s">
        <v>1995</v>
      </c>
      <c r="E1803" s="20">
        <v>26822</v>
      </c>
      <c r="F1803" s="20">
        <v>43752</v>
      </c>
      <c r="G1803" s="12">
        <v>1.1000000000000001</v>
      </c>
      <c r="H1803" s="12">
        <v>26.966666666666701</v>
      </c>
      <c r="I1803" s="13">
        <v>4.0791100123609397E-2</v>
      </c>
      <c r="J1803" s="12" t="s">
        <v>185</v>
      </c>
      <c r="K1803" s="14">
        <v>1630</v>
      </c>
      <c r="L1803" s="14">
        <v>325</v>
      </c>
      <c r="M1803" s="14">
        <v>1530</v>
      </c>
      <c r="N1803" s="12">
        <v>1.1000000000000001</v>
      </c>
      <c r="O1803" s="12" t="s">
        <v>185</v>
      </c>
      <c r="P1803" s="12">
        <v>1.7694986688544101E-4</v>
      </c>
      <c r="Q1803" s="12">
        <v>1.8574338462988801E-4</v>
      </c>
      <c r="R1803" s="12">
        <v>0.40776209677419401</v>
      </c>
      <c r="S1803" s="14">
        <v>49</v>
      </c>
      <c r="T1803" s="12">
        <v>1.8244581547572001E-2</v>
      </c>
      <c r="U1803" s="14">
        <v>1697</v>
      </c>
      <c r="V1803" s="14">
        <v>2</v>
      </c>
      <c r="W1803" s="12">
        <v>5.5999999999999999E-3</v>
      </c>
      <c r="X1803" s="12">
        <v>2.3844581547571998E-2</v>
      </c>
      <c r="Y1803" s="14">
        <v>1696</v>
      </c>
      <c r="Z1803" s="14">
        <v>49</v>
      </c>
      <c r="AA1803" s="12" t="s">
        <v>2371</v>
      </c>
    </row>
    <row r="1804" spans="1:27" ht="14.25" x14ac:dyDescent="0.45">
      <c r="A1804" s="12" t="s">
        <v>196</v>
      </c>
      <c r="B1804" s="12" t="s">
        <v>1986</v>
      </c>
      <c r="C1804" s="12" t="s">
        <v>1981</v>
      </c>
      <c r="D1804" s="12" t="s">
        <v>1982</v>
      </c>
      <c r="E1804" s="20">
        <v>36641</v>
      </c>
      <c r="F1804" s="20">
        <v>44172</v>
      </c>
      <c r="G1804" s="12">
        <v>1.95</v>
      </c>
      <c r="H1804" s="12">
        <v>12.966666666666701</v>
      </c>
      <c r="I1804" s="13">
        <v>0.150385604113111</v>
      </c>
      <c r="J1804" s="12" t="s">
        <v>196</v>
      </c>
      <c r="K1804" s="14">
        <v>1413</v>
      </c>
      <c r="L1804" s="14">
        <v>677</v>
      </c>
      <c r="M1804" s="14">
        <v>1422</v>
      </c>
      <c r="N1804" s="12">
        <v>1.95</v>
      </c>
      <c r="O1804" s="12" t="s">
        <v>196</v>
      </c>
      <c r="P1804" s="12">
        <v>3.1368385493328198E-4</v>
      </c>
      <c r="Q1804" s="12">
        <v>6.8478494139490303E-4</v>
      </c>
      <c r="R1804" s="12">
        <v>0.196068548387097</v>
      </c>
      <c r="S1804" s="14">
        <v>22</v>
      </c>
      <c r="T1804" s="12">
        <v>5.4562203397179501E-2</v>
      </c>
      <c r="U1804" s="14">
        <v>1500</v>
      </c>
      <c r="V1804" s="14">
        <v>2</v>
      </c>
      <c r="W1804" s="12">
        <v>5.5999999999999999E-3</v>
      </c>
      <c r="X1804" s="12">
        <v>6.0162203397179502E-2</v>
      </c>
      <c r="Y1804" s="14">
        <v>1500</v>
      </c>
      <c r="Z1804" s="14">
        <v>22</v>
      </c>
      <c r="AA1804" s="12" t="s">
        <v>2370</v>
      </c>
    </row>
    <row r="1805" spans="1:27" ht="14.25" x14ac:dyDescent="0.45">
      <c r="A1805" s="12" t="s">
        <v>202</v>
      </c>
      <c r="B1805" s="12" t="s">
        <v>2025</v>
      </c>
      <c r="C1805" s="12" t="s">
        <v>1977</v>
      </c>
      <c r="D1805" s="12" t="s">
        <v>2014</v>
      </c>
      <c r="E1805" s="20">
        <v>33131</v>
      </c>
      <c r="F1805" s="20">
        <v>43714</v>
      </c>
      <c r="G1805" s="12">
        <v>29.93</v>
      </c>
      <c r="H1805" s="12">
        <v>28.233333333333299</v>
      </c>
      <c r="I1805" s="13">
        <v>1.0600944510035399</v>
      </c>
      <c r="J1805" s="12" t="s">
        <v>202</v>
      </c>
      <c r="K1805" s="14">
        <v>804</v>
      </c>
      <c r="L1805" s="14">
        <v>280</v>
      </c>
      <c r="M1805" s="14">
        <v>565</v>
      </c>
      <c r="N1805" s="12">
        <v>29.93</v>
      </c>
      <c r="O1805" s="12" t="s">
        <v>202</v>
      </c>
      <c r="P1805" s="12">
        <v>4.8146450144375E-3</v>
      </c>
      <c r="Q1805" s="12">
        <v>4.8271689353823997E-3</v>
      </c>
      <c r="R1805" s="12">
        <v>0.42691532258064502</v>
      </c>
      <c r="S1805" s="14">
        <v>32</v>
      </c>
      <c r="T1805" s="12">
        <v>0.48224724650280598</v>
      </c>
      <c r="U1805" s="14">
        <v>792</v>
      </c>
      <c r="V1805" s="14">
        <v>2</v>
      </c>
      <c r="W1805" s="12">
        <v>5.5999999999999999E-3</v>
      </c>
      <c r="X1805" s="12">
        <v>0.48784724650280598</v>
      </c>
      <c r="Y1805" s="14">
        <v>792</v>
      </c>
      <c r="Z1805" s="14">
        <v>31</v>
      </c>
      <c r="AA1805" s="12" t="s">
        <v>2367</v>
      </c>
    </row>
    <row r="1806" spans="1:27" ht="14.25" x14ac:dyDescent="0.45">
      <c r="A1806" s="12" t="s">
        <v>207</v>
      </c>
      <c r="B1806" s="12" t="s">
        <v>2092</v>
      </c>
      <c r="C1806" s="12" t="s">
        <v>1972</v>
      </c>
      <c r="D1806" s="12" t="s">
        <v>2003</v>
      </c>
      <c r="E1806" s="20">
        <v>33433</v>
      </c>
      <c r="F1806" s="20">
        <v>44169</v>
      </c>
      <c r="G1806" s="12">
        <v>0.15</v>
      </c>
      <c r="H1806" s="12">
        <v>13.0666666666667</v>
      </c>
      <c r="I1806" s="13">
        <v>1.14795918367347E-2</v>
      </c>
      <c r="J1806" s="12" t="s">
        <v>207</v>
      </c>
      <c r="K1806" s="14">
        <v>1734</v>
      </c>
      <c r="L1806" s="14">
        <v>668</v>
      </c>
      <c r="M1806" s="14">
        <v>1807</v>
      </c>
      <c r="N1806" s="12">
        <v>0.15</v>
      </c>
      <c r="O1806" s="12" t="s">
        <v>207</v>
      </c>
      <c r="P1806" s="12">
        <v>2.4129527302560101E-5</v>
      </c>
      <c r="Q1806" s="12">
        <v>5.2272633870215299E-5</v>
      </c>
      <c r="R1806" s="12">
        <v>0.19758064516129001</v>
      </c>
      <c r="S1806" s="14">
        <v>31</v>
      </c>
      <c r="T1806" s="12">
        <v>4.1718968907344597E-3</v>
      </c>
      <c r="U1806" s="14">
        <v>1834</v>
      </c>
      <c r="V1806" s="14">
        <v>1</v>
      </c>
      <c r="W1806" s="12">
        <v>5.4999999999999997E-3</v>
      </c>
      <c r="X1806" s="12">
        <v>9.6718968907344594E-3</v>
      </c>
      <c r="Y1806" s="14">
        <v>1834</v>
      </c>
      <c r="Z1806" s="14">
        <v>30</v>
      </c>
      <c r="AA1806" s="12" t="s">
        <v>2367</v>
      </c>
    </row>
    <row r="1807" spans="1:27" ht="14.25" x14ac:dyDescent="0.45">
      <c r="A1807" s="12" t="s">
        <v>210</v>
      </c>
      <c r="B1807" s="12" t="s">
        <v>1986</v>
      </c>
      <c r="C1807" s="12" t="s">
        <v>1972</v>
      </c>
      <c r="D1807" s="12" t="s">
        <v>1974</v>
      </c>
      <c r="E1807" s="20">
        <v>33674</v>
      </c>
      <c r="F1807" s="20">
        <v>44174</v>
      </c>
      <c r="G1807" s="12">
        <v>70.180000000000007</v>
      </c>
      <c r="H1807" s="12">
        <v>12.9</v>
      </c>
      <c r="I1807" s="13">
        <v>5.4403100775193796</v>
      </c>
      <c r="J1807" s="12" t="s">
        <v>210</v>
      </c>
      <c r="K1807" s="14">
        <v>425</v>
      </c>
      <c r="L1807" s="14">
        <v>687</v>
      </c>
      <c r="M1807" s="14">
        <v>425</v>
      </c>
      <c r="N1807" s="12">
        <v>70.180000000000007</v>
      </c>
      <c r="O1807" s="12" t="s">
        <v>210</v>
      </c>
      <c r="P1807" s="12">
        <v>1.1289401507291101E-2</v>
      </c>
      <c r="Q1807" s="12">
        <v>2.4772600007658799E-2</v>
      </c>
      <c r="R1807" s="12">
        <v>0.195060483870968</v>
      </c>
      <c r="S1807" s="14">
        <v>30</v>
      </c>
      <c r="T1807" s="12">
        <v>1.97164005700209</v>
      </c>
      <c r="U1807" s="14">
        <v>440</v>
      </c>
      <c r="V1807" s="14">
        <v>2</v>
      </c>
      <c r="W1807" s="12">
        <v>5.5999999999999999E-3</v>
      </c>
      <c r="X1807" s="12">
        <v>1.97724005700209</v>
      </c>
      <c r="Y1807" s="14">
        <v>440</v>
      </c>
      <c r="Z1807" s="14">
        <v>30</v>
      </c>
      <c r="AA1807" s="12" t="s">
        <v>2367</v>
      </c>
    </row>
    <row r="1808" spans="1:27" ht="14.25" x14ac:dyDescent="0.45">
      <c r="A1808" s="12" t="s">
        <v>215</v>
      </c>
      <c r="B1808" s="12" t="s">
        <v>1986</v>
      </c>
      <c r="C1808" s="12" t="s">
        <v>1972</v>
      </c>
      <c r="D1808" s="12" t="s">
        <v>2007</v>
      </c>
      <c r="E1808" s="20">
        <v>34474</v>
      </c>
      <c r="F1808" s="20">
        <v>42828</v>
      </c>
      <c r="G1808" s="12">
        <v>665.01</v>
      </c>
      <c r="H1808" s="12">
        <v>57.766666666666701</v>
      </c>
      <c r="I1808" s="13">
        <v>11.5120023081362</v>
      </c>
      <c r="J1808" s="12" t="s">
        <v>215</v>
      </c>
      <c r="K1808" s="14">
        <v>256</v>
      </c>
      <c r="L1808" s="14">
        <v>19</v>
      </c>
      <c r="M1808" s="14">
        <v>97</v>
      </c>
      <c r="N1808" s="12">
        <v>665.01</v>
      </c>
      <c r="O1808" s="12" t="s">
        <v>215</v>
      </c>
      <c r="P1808" s="12">
        <v>0.10697584634317001</v>
      </c>
      <c r="Q1808" s="12">
        <v>5.2420215833862298E-2</v>
      </c>
      <c r="R1808" s="12">
        <v>0.87348790322580605</v>
      </c>
      <c r="S1808" s="14">
        <v>28</v>
      </c>
      <c r="T1808" s="12">
        <v>7.2878577274852701</v>
      </c>
      <c r="U1808" s="14">
        <v>179</v>
      </c>
      <c r="V1808" s="14">
        <v>63</v>
      </c>
      <c r="W1808" s="12">
        <v>9.1000000000000004E-3</v>
      </c>
      <c r="X1808" s="12">
        <v>7.2969577274852702</v>
      </c>
      <c r="Y1808" s="14">
        <v>179</v>
      </c>
      <c r="Z1808" s="14">
        <v>28</v>
      </c>
      <c r="AA1808" s="12" t="s">
        <v>2367</v>
      </c>
    </row>
    <row r="1809" spans="1:27" ht="14.25" x14ac:dyDescent="0.45">
      <c r="A1809" s="12" t="s">
        <v>224</v>
      </c>
      <c r="B1809" s="12" t="s">
        <v>1986</v>
      </c>
      <c r="C1809" s="12" t="s">
        <v>1972</v>
      </c>
      <c r="D1809" s="12" t="s">
        <v>1993</v>
      </c>
      <c r="E1809" s="20">
        <v>34862</v>
      </c>
      <c r="F1809" s="20">
        <v>44172</v>
      </c>
      <c r="G1809" s="12">
        <v>1.3</v>
      </c>
      <c r="H1809" s="12">
        <v>12.966666666666701</v>
      </c>
      <c r="I1809" s="13">
        <v>0.10025706940874</v>
      </c>
      <c r="J1809" s="12" t="s">
        <v>224</v>
      </c>
      <c r="K1809" s="14">
        <v>1494</v>
      </c>
      <c r="L1809" s="14">
        <v>677</v>
      </c>
      <c r="M1809" s="14">
        <v>1504</v>
      </c>
      <c r="N1809" s="12">
        <v>1.3</v>
      </c>
      <c r="O1809" s="12" t="s">
        <v>224</v>
      </c>
      <c r="P1809" s="12">
        <v>2.0912256995552099E-4</v>
      </c>
      <c r="Q1809" s="12">
        <v>4.5652329426326899E-4</v>
      </c>
      <c r="R1809" s="12">
        <v>0.196068548387097</v>
      </c>
      <c r="S1809" s="14">
        <v>27</v>
      </c>
      <c r="T1809" s="12">
        <v>3.6374802264786399E-2</v>
      </c>
      <c r="U1809" s="14">
        <v>1575</v>
      </c>
      <c r="V1809" s="14">
        <v>1</v>
      </c>
      <c r="W1809" s="12">
        <v>5.4999999999999997E-3</v>
      </c>
      <c r="X1809" s="12">
        <v>4.18748022647863E-2</v>
      </c>
      <c r="Y1809" s="14">
        <v>1575</v>
      </c>
      <c r="Z1809" s="14">
        <v>27</v>
      </c>
      <c r="AA1809" s="12" t="s">
        <v>2367</v>
      </c>
    </row>
    <row r="1810" spans="1:27" ht="14.25" x14ac:dyDescent="0.45">
      <c r="A1810" s="12" t="s">
        <v>246</v>
      </c>
      <c r="B1810" s="12" t="s">
        <v>1986</v>
      </c>
      <c r="C1810" s="12" t="s">
        <v>1972</v>
      </c>
      <c r="D1810" s="12" t="s">
        <v>1997</v>
      </c>
      <c r="E1810" s="20">
        <v>35706</v>
      </c>
      <c r="F1810" s="20">
        <v>44165</v>
      </c>
      <c r="G1810" s="12">
        <v>4.74</v>
      </c>
      <c r="H1810" s="12">
        <v>13.2</v>
      </c>
      <c r="I1810" s="13">
        <v>0.35909090909090902</v>
      </c>
      <c r="J1810" s="12" t="s">
        <v>246</v>
      </c>
      <c r="K1810" s="14">
        <v>1178</v>
      </c>
      <c r="L1810" s="14">
        <v>658</v>
      </c>
      <c r="M1810" s="14">
        <v>1051</v>
      </c>
      <c r="N1810" s="12">
        <v>4.74</v>
      </c>
      <c r="O1810" s="12" t="s">
        <v>246</v>
      </c>
      <c r="P1810" s="12">
        <v>7.6249306276090004E-4</v>
      </c>
      <c r="Q1810" s="12">
        <v>1.63513022797255E-3</v>
      </c>
      <c r="R1810" s="12">
        <v>0.19959677419354799</v>
      </c>
      <c r="S1810" s="14">
        <v>25</v>
      </c>
      <c r="T1810" s="12">
        <v>0.130789129101818</v>
      </c>
      <c r="U1810" s="14">
        <v>1204</v>
      </c>
      <c r="V1810" s="14">
        <v>1</v>
      </c>
      <c r="W1810" s="12">
        <v>5.4999999999999997E-3</v>
      </c>
      <c r="X1810" s="12">
        <v>0.13628912910181801</v>
      </c>
      <c r="Y1810" s="14">
        <v>1204</v>
      </c>
      <c r="Z1810" s="14">
        <v>24</v>
      </c>
      <c r="AA1810" s="12" t="s">
        <v>2370</v>
      </c>
    </row>
    <row r="1811" spans="1:27" ht="14.25" x14ac:dyDescent="0.45">
      <c r="A1811" s="12" t="s">
        <v>253</v>
      </c>
      <c r="B1811" s="12" t="s">
        <v>1986</v>
      </c>
      <c r="C1811" s="12" t="s">
        <v>1972</v>
      </c>
      <c r="D1811" s="12" t="s">
        <v>1974</v>
      </c>
      <c r="E1811" s="20">
        <v>35513</v>
      </c>
      <c r="F1811" s="20">
        <v>44148</v>
      </c>
      <c r="G1811" s="12">
        <v>183.12</v>
      </c>
      <c r="H1811" s="12">
        <v>13.766666666666699</v>
      </c>
      <c r="I1811" s="13">
        <v>13.301694915254201</v>
      </c>
      <c r="J1811" s="12" t="s">
        <v>253</v>
      </c>
      <c r="K1811" s="14">
        <v>217</v>
      </c>
      <c r="L1811" s="14">
        <v>622</v>
      </c>
      <c r="M1811" s="14">
        <v>298</v>
      </c>
      <c r="N1811" s="12">
        <v>183.12</v>
      </c>
      <c r="O1811" s="12" t="s">
        <v>253</v>
      </c>
      <c r="P1811" s="12">
        <v>2.9457326930965401E-2</v>
      </c>
      <c r="Q1811" s="12">
        <v>6.0569629830686401E-2</v>
      </c>
      <c r="R1811" s="12">
        <v>0.20816532258064499</v>
      </c>
      <c r="S1811" s="14">
        <v>25</v>
      </c>
      <c r="T1811" s="12">
        <v>4.8902516243290997</v>
      </c>
      <c r="U1811" s="14">
        <v>265</v>
      </c>
      <c r="V1811" s="14">
        <v>21</v>
      </c>
      <c r="W1811" s="12">
        <v>7.1999999999999998E-3</v>
      </c>
      <c r="X1811" s="12">
        <v>4.8974516243290998</v>
      </c>
      <c r="Y1811" s="14">
        <v>265</v>
      </c>
      <c r="Z1811" s="14">
        <v>25</v>
      </c>
      <c r="AA1811" s="12" t="s">
        <v>2367</v>
      </c>
    </row>
    <row r="1812" spans="1:27" ht="14.25" x14ac:dyDescent="0.45">
      <c r="A1812" s="12" t="s">
        <v>259</v>
      </c>
      <c r="B1812" s="12" t="s">
        <v>1986</v>
      </c>
      <c r="C1812" s="12" t="s">
        <v>1996</v>
      </c>
      <c r="D1812" s="12" t="s">
        <v>1975</v>
      </c>
      <c r="E1812" s="20">
        <v>31685</v>
      </c>
      <c r="F1812" s="20">
        <v>43570</v>
      </c>
      <c r="G1812" s="12">
        <v>516.4</v>
      </c>
      <c r="H1812" s="12">
        <v>33.033333333333303</v>
      </c>
      <c r="I1812" s="13">
        <v>15.632694248234101</v>
      </c>
      <c r="J1812" s="12" t="s">
        <v>259</v>
      </c>
      <c r="K1812" s="14">
        <v>181</v>
      </c>
      <c r="L1812" s="14">
        <v>238</v>
      </c>
      <c r="M1812" s="14">
        <v>142</v>
      </c>
      <c r="N1812" s="12">
        <v>516.4</v>
      </c>
      <c r="O1812" s="12" t="s">
        <v>259</v>
      </c>
      <c r="P1812" s="12">
        <v>8.3069919326947003E-2</v>
      </c>
      <c r="Q1812" s="12">
        <v>7.1183898736542503E-2</v>
      </c>
      <c r="R1812" s="12">
        <v>0.499495967741935</v>
      </c>
      <c r="S1812" s="14">
        <v>36</v>
      </c>
      <c r="T1812" s="12">
        <v>7.5641156457944199</v>
      </c>
      <c r="U1812" s="14">
        <v>169</v>
      </c>
      <c r="V1812" s="14">
        <v>16</v>
      </c>
      <c r="W1812" s="12">
        <v>6.8999999999999999E-3</v>
      </c>
      <c r="X1812" s="12">
        <v>7.5710156457944198</v>
      </c>
      <c r="Y1812" s="14">
        <v>169</v>
      </c>
      <c r="Z1812" s="14">
        <v>35</v>
      </c>
      <c r="AA1812" s="12" t="s">
        <v>2369</v>
      </c>
    </row>
    <row r="1813" spans="1:27" ht="14.25" x14ac:dyDescent="0.45">
      <c r="A1813" s="12" t="s">
        <v>260</v>
      </c>
      <c r="B1813" s="12" t="s">
        <v>1986</v>
      </c>
      <c r="C1813" s="12" t="s">
        <v>1977</v>
      </c>
      <c r="D1813" s="12" t="s">
        <v>2026</v>
      </c>
      <c r="E1813" s="20">
        <v>34970</v>
      </c>
      <c r="F1813" s="20">
        <v>44203</v>
      </c>
      <c r="G1813" s="12">
        <v>0.57999999999999996</v>
      </c>
      <c r="H1813" s="12">
        <v>11.9333333333333</v>
      </c>
      <c r="I1813" s="13">
        <v>4.8603351955307302E-2</v>
      </c>
      <c r="J1813" s="12" t="s">
        <v>260</v>
      </c>
      <c r="K1813" s="14">
        <v>1610</v>
      </c>
      <c r="L1813" s="14">
        <v>787</v>
      </c>
      <c r="M1813" s="14">
        <v>1661</v>
      </c>
      <c r="N1813" s="12">
        <v>0.57999999999999996</v>
      </c>
      <c r="O1813" s="12" t="s">
        <v>260</v>
      </c>
      <c r="P1813" s="12">
        <v>9.3300838903232503E-5</v>
      </c>
      <c r="Q1813" s="12">
        <v>2.2131668597266601E-4</v>
      </c>
      <c r="R1813" s="12">
        <v>0.180443548387097</v>
      </c>
      <c r="S1813" s="14">
        <v>27</v>
      </c>
      <c r="T1813" s="12">
        <v>1.7331074332162799E-2</v>
      </c>
      <c r="U1813" s="14">
        <v>1699</v>
      </c>
      <c r="V1813" s="14">
        <v>1</v>
      </c>
      <c r="W1813" s="12">
        <v>5.4999999999999997E-3</v>
      </c>
      <c r="X1813" s="12">
        <v>2.2831074332162801E-2</v>
      </c>
      <c r="Y1813" s="14">
        <v>1700</v>
      </c>
      <c r="Z1813" s="14">
        <v>26</v>
      </c>
      <c r="AA1813" s="12" t="s">
        <v>2367</v>
      </c>
    </row>
    <row r="1814" spans="1:27" ht="14.25" x14ac:dyDescent="0.45">
      <c r="A1814" s="12" t="s">
        <v>263</v>
      </c>
      <c r="B1814" s="12" t="s">
        <v>1986</v>
      </c>
      <c r="C1814" s="12" t="s">
        <v>1972</v>
      </c>
      <c r="D1814" s="12" t="s">
        <v>1997</v>
      </c>
      <c r="E1814" s="20">
        <v>32543</v>
      </c>
      <c r="F1814" s="20">
        <v>43794</v>
      </c>
      <c r="G1814" s="12">
        <v>0.83</v>
      </c>
      <c r="H1814" s="12">
        <v>25.566666666666698</v>
      </c>
      <c r="I1814" s="13">
        <v>3.2464146023468102E-2</v>
      </c>
      <c r="J1814" s="12" t="s">
        <v>263</v>
      </c>
      <c r="K1814" s="14">
        <v>1648</v>
      </c>
      <c r="L1814" s="14">
        <v>370</v>
      </c>
      <c r="M1814" s="14">
        <v>1592</v>
      </c>
      <c r="N1814" s="12">
        <v>0.83</v>
      </c>
      <c r="O1814" s="12" t="s">
        <v>263</v>
      </c>
      <c r="P1814" s="12">
        <v>1.3351671774083299E-4</v>
      </c>
      <c r="Q1814" s="12">
        <v>1.4782637249902901E-4</v>
      </c>
      <c r="R1814" s="12">
        <v>0.38659274193548399</v>
      </c>
      <c r="S1814" s="14">
        <v>33</v>
      </c>
      <c r="T1814" s="12">
        <v>1.42460251964705E-2</v>
      </c>
      <c r="U1814" s="14">
        <v>1723</v>
      </c>
      <c r="V1814" s="14">
        <v>5</v>
      </c>
      <c r="W1814" s="12">
        <v>5.8999999999999999E-3</v>
      </c>
      <c r="X1814" s="12">
        <v>2.0146025196470501E-2</v>
      </c>
      <c r="Y1814" s="14">
        <v>1719</v>
      </c>
      <c r="Z1814" s="14">
        <v>33</v>
      </c>
      <c r="AA1814" s="12" t="s">
        <v>2367</v>
      </c>
    </row>
    <row r="1815" spans="1:27" ht="14.25" x14ac:dyDescent="0.45">
      <c r="A1815" s="12" t="s">
        <v>295</v>
      </c>
      <c r="B1815" s="12" t="s">
        <v>1986</v>
      </c>
      <c r="C1815" s="12" t="s">
        <v>1972</v>
      </c>
      <c r="D1815" s="12" t="s">
        <v>1974</v>
      </c>
      <c r="E1815" s="20">
        <v>35612</v>
      </c>
      <c r="F1815" s="20">
        <v>43910</v>
      </c>
      <c r="G1815" s="12">
        <v>365.49</v>
      </c>
      <c r="H1815" s="12">
        <v>21.7</v>
      </c>
      <c r="I1815" s="13">
        <v>16.842857142857099</v>
      </c>
      <c r="J1815" s="12" t="s">
        <v>295</v>
      </c>
      <c r="K1815" s="14">
        <v>161</v>
      </c>
      <c r="L1815" s="14">
        <v>437</v>
      </c>
      <c r="M1815" s="14">
        <v>194</v>
      </c>
      <c r="N1815" s="12">
        <v>365.49</v>
      </c>
      <c r="O1815" s="12" t="s">
        <v>295</v>
      </c>
      <c r="P1815" s="12">
        <v>5.8794006225418E-2</v>
      </c>
      <c r="Q1815" s="12">
        <v>7.6694408414379994E-2</v>
      </c>
      <c r="R1815" s="12">
        <v>0.328125</v>
      </c>
      <c r="S1815" s="14">
        <v>25</v>
      </c>
      <c r="T1815" s="12">
        <v>6.9981757593519198</v>
      </c>
      <c r="U1815" s="14">
        <v>187</v>
      </c>
      <c r="V1815" s="14">
        <v>20</v>
      </c>
      <c r="W1815" s="12">
        <v>7.1000000000000004E-3</v>
      </c>
      <c r="X1815" s="12">
        <v>7.0052757593519202</v>
      </c>
      <c r="Y1815" s="14">
        <v>187</v>
      </c>
      <c r="Z1815" s="14">
        <v>25</v>
      </c>
      <c r="AA1815" s="12" t="s">
        <v>2367</v>
      </c>
    </row>
    <row r="1816" spans="1:27" ht="14.25" x14ac:dyDescent="0.45">
      <c r="A1816" s="12" t="s">
        <v>298</v>
      </c>
      <c r="B1816" s="12" t="s">
        <v>2021</v>
      </c>
      <c r="C1816" s="12" t="s">
        <v>1981</v>
      </c>
      <c r="D1816" s="12" t="s">
        <v>1982</v>
      </c>
      <c r="E1816" s="20">
        <v>35175</v>
      </c>
      <c r="F1816" s="20">
        <v>44186</v>
      </c>
      <c r="G1816" s="12">
        <v>957.64</v>
      </c>
      <c r="H1816" s="12">
        <v>12.5</v>
      </c>
      <c r="I1816" s="13">
        <v>76.611199999999997</v>
      </c>
      <c r="J1816" s="12" t="s">
        <v>298</v>
      </c>
      <c r="K1816" s="14">
        <v>31</v>
      </c>
      <c r="L1816" s="14">
        <v>723</v>
      </c>
      <c r="M1816" s="14">
        <v>55</v>
      </c>
      <c r="N1816" s="12">
        <v>957.64</v>
      </c>
      <c r="O1816" s="12" t="s">
        <v>298</v>
      </c>
      <c r="P1816" s="12">
        <v>0.15404933684015801</v>
      </c>
      <c r="Q1816" s="12">
        <v>0.34885118433766099</v>
      </c>
      <c r="R1816" s="12">
        <v>0.18901209677419401</v>
      </c>
      <c r="S1816" s="14">
        <v>26</v>
      </c>
      <c r="T1816" s="12">
        <v>27.5800491526097</v>
      </c>
      <c r="U1816" s="14">
        <v>32</v>
      </c>
      <c r="V1816" s="14">
        <v>10</v>
      </c>
      <c r="W1816" s="12">
        <v>6.4000000000000003E-3</v>
      </c>
      <c r="X1816" s="12">
        <v>27.586449152609699</v>
      </c>
      <c r="Y1816" s="14">
        <v>32</v>
      </c>
      <c r="Z1816" s="14">
        <v>26</v>
      </c>
      <c r="AA1816" s="12" t="s">
        <v>2367</v>
      </c>
    </row>
    <row r="1817" spans="1:27" ht="14.25" x14ac:dyDescent="0.45">
      <c r="A1817" s="12" t="s">
        <v>299</v>
      </c>
      <c r="B1817" s="12" t="s">
        <v>1986</v>
      </c>
      <c r="C1817" s="12" t="s">
        <v>1981</v>
      </c>
      <c r="D1817" s="12" t="s">
        <v>1983</v>
      </c>
      <c r="E1817" s="20">
        <v>32586</v>
      </c>
      <c r="F1817" s="20">
        <v>43434</v>
      </c>
      <c r="G1817" s="12">
        <v>208.07</v>
      </c>
      <c r="H1817" s="12">
        <v>37.566666666666698</v>
      </c>
      <c r="I1817" s="13">
        <v>5.5386867790594501</v>
      </c>
      <c r="J1817" s="12" t="s">
        <v>299</v>
      </c>
      <c r="K1817" s="14">
        <v>422</v>
      </c>
      <c r="L1817" s="14">
        <v>213</v>
      </c>
      <c r="M1817" s="14">
        <v>281</v>
      </c>
      <c r="N1817" s="12">
        <v>208.07</v>
      </c>
      <c r="O1817" s="12" t="s">
        <v>299</v>
      </c>
      <c r="P1817" s="12">
        <v>3.34708716389579E-2</v>
      </c>
      <c r="Q1817" s="12">
        <v>2.5220560995653798E-2</v>
      </c>
      <c r="R1817" s="12">
        <v>0.56804435483870996</v>
      </c>
      <c r="S1817" s="14">
        <v>33</v>
      </c>
      <c r="T1817" s="12">
        <v>2.8314427486892799</v>
      </c>
      <c r="U1817" s="14">
        <v>384</v>
      </c>
      <c r="V1817" s="14">
        <v>12</v>
      </c>
      <c r="W1817" s="12">
        <v>6.6E-3</v>
      </c>
      <c r="X1817" s="12">
        <v>2.8380427486892801</v>
      </c>
      <c r="Y1817" s="14">
        <v>384</v>
      </c>
      <c r="Z1817" s="14">
        <v>33</v>
      </c>
      <c r="AA1817" s="12" t="s">
        <v>2367</v>
      </c>
    </row>
    <row r="1818" spans="1:27" ht="14.25" x14ac:dyDescent="0.45">
      <c r="A1818" s="12" t="s">
        <v>300</v>
      </c>
      <c r="B1818" s="12" t="s">
        <v>1986</v>
      </c>
      <c r="C1818" s="12" t="s">
        <v>1972</v>
      </c>
      <c r="D1818" s="12" t="s">
        <v>1974</v>
      </c>
      <c r="E1818" s="20">
        <v>29538</v>
      </c>
      <c r="F1818" s="20">
        <v>43777</v>
      </c>
      <c r="G1818" s="12">
        <v>0.06</v>
      </c>
      <c r="H1818" s="12">
        <v>26.133333333333301</v>
      </c>
      <c r="I1818" s="13">
        <v>2.2959183673469398E-3</v>
      </c>
      <c r="J1818" s="12" t="s">
        <v>300</v>
      </c>
      <c r="K1818" s="14">
        <v>1806</v>
      </c>
      <c r="L1818" s="14">
        <v>364</v>
      </c>
      <c r="M1818" s="14">
        <v>1867</v>
      </c>
      <c r="N1818" s="12">
        <v>0.06</v>
      </c>
      <c r="O1818" s="12" t="s">
        <v>300</v>
      </c>
      <c r="P1818" s="12">
        <v>9.6518109210240504E-6</v>
      </c>
      <c r="Q1818" s="12">
        <v>1.0454526774043101E-5</v>
      </c>
      <c r="R1818" s="12">
        <v>0.39516129032258102</v>
      </c>
      <c r="S1818" s="14">
        <v>42</v>
      </c>
      <c r="T1818" s="12">
        <v>1.01535083291609E-3</v>
      </c>
      <c r="U1818" s="14">
        <v>1906</v>
      </c>
      <c r="V1818" s="14">
        <v>1</v>
      </c>
      <c r="W1818" s="12">
        <v>5.4999999999999997E-3</v>
      </c>
      <c r="X1818" s="12">
        <v>6.5153508329160899E-3</v>
      </c>
      <c r="Y1818" s="14">
        <v>1906</v>
      </c>
      <c r="Z1818" s="14">
        <v>41</v>
      </c>
      <c r="AA1818" s="12" t="s">
        <v>2369</v>
      </c>
    </row>
    <row r="1819" spans="1:27" ht="14.25" x14ac:dyDescent="0.45">
      <c r="A1819" s="12" t="s">
        <v>302</v>
      </c>
      <c r="B1819" s="12" t="s">
        <v>1986</v>
      </c>
      <c r="C1819" s="12" t="s">
        <v>1972</v>
      </c>
      <c r="D1819" s="12" t="s">
        <v>1973</v>
      </c>
      <c r="E1819" s="20">
        <v>34632</v>
      </c>
      <c r="F1819" s="20">
        <v>44214</v>
      </c>
      <c r="G1819" s="12">
        <v>275.83999999999997</v>
      </c>
      <c r="H1819" s="12">
        <v>11.5666666666667</v>
      </c>
      <c r="I1819" s="13">
        <v>23.8478386167147</v>
      </c>
      <c r="J1819" s="12" t="s">
        <v>302</v>
      </c>
      <c r="K1819" s="14">
        <v>110</v>
      </c>
      <c r="L1819" s="14">
        <v>834</v>
      </c>
      <c r="M1819" s="14">
        <v>242</v>
      </c>
      <c r="N1819" s="12">
        <v>275.83999999999997</v>
      </c>
      <c r="O1819" s="12" t="s">
        <v>302</v>
      </c>
      <c r="P1819" s="12">
        <v>4.4372592074254598E-2</v>
      </c>
      <c r="Q1819" s="12">
        <v>0.108591782211143</v>
      </c>
      <c r="R1819" s="12">
        <v>0.17489919354838701</v>
      </c>
      <c r="S1819" s="14">
        <v>28</v>
      </c>
      <c r="T1819" s="12">
        <v>8.4509585909809903</v>
      </c>
      <c r="U1819" s="14">
        <v>137</v>
      </c>
      <c r="V1819" s="14">
        <v>7</v>
      </c>
      <c r="W1819" s="12">
        <v>6.1000000000000004E-3</v>
      </c>
      <c r="X1819" s="12">
        <v>8.4570585909809903</v>
      </c>
      <c r="Y1819" s="14">
        <v>137</v>
      </c>
      <c r="Z1819" s="14">
        <v>27</v>
      </c>
      <c r="AA1819" s="12" t="s">
        <v>2367</v>
      </c>
    </row>
    <row r="1820" spans="1:27" ht="14.25" x14ac:dyDescent="0.45">
      <c r="A1820" s="12" t="s">
        <v>305</v>
      </c>
      <c r="B1820" s="12" t="s">
        <v>1986</v>
      </c>
      <c r="C1820" s="12" t="s">
        <v>1996</v>
      </c>
      <c r="D1820" s="12" t="s">
        <v>1993</v>
      </c>
      <c r="E1820" s="20">
        <v>34235</v>
      </c>
      <c r="F1820" s="20">
        <v>44200</v>
      </c>
      <c r="G1820" s="12">
        <v>1.31</v>
      </c>
      <c r="H1820" s="12">
        <v>12.033333333333299</v>
      </c>
      <c r="I1820" s="13">
        <v>0.108864265927978</v>
      </c>
      <c r="J1820" s="12" t="s">
        <v>305</v>
      </c>
      <c r="K1820" s="14">
        <v>1470</v>
      </c>
      <c r="L1820" s="14">
        <v>767</v>
      </c>
      <c r="M1820" s="14">
        <v>1502</v>
      </c>
      <c r="N1820" s="12">
        <v>1.31</v>
      </c>
      <c r="O1820" s="12" t="s">
        <v>305</v>
      </c>
      <c r="P1820" s="12">
        <v>2.1073120510902501E-4</v>
      </c>
      <c r="Q1820" s="12">
        <v>4.9571639787687901E-4</v>
      </c>
      <c r="R1820" s="12">
        <v>0.18195564516129001</v>
      </c>
      <c r="S1820" s="14">
        <v>29</v>
      </c>
      <c r="T1820" s="12">
        <v>3.8884695058893401E-2</v>
      </c>
      <c r="U1820" s="14">
        <v>1562</v>
      </c>
      <c r="V1820" s="14">
        <v>3</v>
      </c>
      <c r="W1820" s="12">
        <v>5.7000000000000002E-3</v>
      </c>
      <c r="X1820" s="12">
        <v>4.4584695058893398E-2</v>
      </c>
      <c r="Y1820" s="14">
        <v>1562</v>
      </c>
      <c r="Z1820" s="14">
        <v>28</v>
      </c>
      <c r="AA1820" s="12" t="s">
        <v>2367</v>
      </c>
    </row>
    <row r="1821" spans="1:27" ht="14.25" x14ac:dyDescent="0.45">
      <c r="A1821" s="12" t="s">
        <v>319</v>
      </c>
      <c r="B1821" s="12" t="s">
        <v>2123</v>
      </c>
      <c r="C1821" s="12" t="s">
        <v>1972</v>
      </c>
      <c r="D1821" s="12" t="s">
        <v>2124</v>
      </c>
      <c r="E1821" s="20">
        <v>35319</v>
      </c>
      <c r="F1821" s="20">
        <v>44169</v>
      </c>
      <c r="G1821" s="12">
        <v>103.81</v>
      </c>
      <c r="H1821" s="12">
        <v>13.0666666666667</v>
      </c>
      <c r="I1821" s="13">
        <v>7.9446428571428598</v>
      </c>
      <c r="J1821" s="12" t="s">
        <v>319</v>
      </c>
      <c r="K1821" s="14">
        <v>354</v>
      </c>
      <c r="L1821" s="14">
        <v>668</v>
      </c>
      <c r="M1821" s="14">
        <v>379</v>
      </c>
      <c r="N1821" s="12">
        <v>103.81</v>
      </c>
      <c r="O1821" s="12" t="s">
        <v>319</v>
      </c>
      <c r="P1821" s="12">
        <v>1.6699241528525099E-2</v>
      </c>
      <c r="Q1821" s="12">
        <v>3.6176147480447E-2</v>
      </c>
      <c r="R1821" s="12">
        <v>0.19758064516129001</v>
      </c>
      <c r="S1821" s="14">
        <v>26</v>
      </c>
      <c r="T1821" s="12">
        <v>2.8872307748476298</v>
      </c>
      <c r="U1821" s="14">
        <v>381</v>
      </c>
      <c r="V1821" s="14">
        <v>7</v>
      </c>
      <c r="W1821" s="12">
        <v>6.1000000000000004E-3</v>
      </c>
      <c r="X1821" s="12">
        <v>2.8933307748476298</v>
      </c>
      <c r="Y1821" s="14">
        <v>381</v>
      </c>
      <c r="Z1821" s="14">
        <v>25</v>
      </c>
      <c r="AA1821" s="12" t="s">
        <v>2367</v>
      </c>
    </row>
    <row r="1822" spans="1:27" ht="14.25" x14ac:dyDescent="0.45">
      <c r="A1822" s="12" t="s">
        <v>328</v>
      </c>
      <c r="B1822" s="12" t="s">
        <v>2021</v>
      </c>
      <c r="C1822" s="12" t="s">
        <v>1996</v>
      </c>
      <c r="D1822" s="12" t="s">
        <v>1978</v>
      </c>
      <c r="E1822" s="20">
        <v>31495</v>
      </c>
      <c r="F1822" s="20">
        <v>43964</v>
      </c>
      <c r="G1822" s="12">
        <v>127.5</v>
      </c>
      <c r="H1822" s="12">
        <v>19.899999999999999</v>
      </c>
      <c r="I1822" s="13">
        <v>6.4070351758794004</v>
      </c>
      <c r="J1822" s="12" t="s">
        <v>328</v>
      </c>
      <c r="K1822" s="14">
        <v>398</v>
      </c>
      <c r="L1822" s="14">
        <v>453</v>
      </c>
      <c r="M1822" s="14">
        <v>346</v>
      </c>
      <c r="N1822" s="12">
        <v>127.5</v>
      </c>
      <c r="O1822" s="12" t="s">
        <v>328</v>
      </c>
      <c r="P1822" s="12">
        <v>2.05100982071761E-2</v>
      </c>
      <c r="Q1822" s="12">
        <v>2.9174609054532299E-2</v>
      </c>
      <c r="R1822" s="12">
        <v>0.30090725806451601</v>
      </c>
      <c r="S1822" s="14">
        <v>36</v>
      </c>
      <c r="T1822" s="12">
        <v>2.5925417486773701</v>
      </c>
      <c r="U1822" s="14">
        <v>397</v>
      </c>
      <c r="V1822" s="14">
        <v>36</v>
      </c>
      <c r="W1822" s="12">
        <v>8.0999999999999996E-3</v>
      </c>
      <c r="X1822" s="12">
        <v>2.6006417486773699</v>
      </c>
      <c r="Y1822" s="14">
        <v>397</v>
      </c>
      <c r="Z1822" s="14">
        <v>36</v>
      </c>
      <c r="AA1822" s="12" t="s">
        <v>2369</v>
      </c>
    </row>
    <row r="1823" spans="1:27" ht="14.25" x14ac:dyDescent="0.45">
      <c r="A1823" s="12" t="s">
        <v>336</v>
      </c>
      <c r="B1823" s="12" t="s">
        <v>1986</v>
      </c>
      <c r="C1823" s="12" t="s">
        <v>1972</v>
      </c>
      <c r="D1823" s="12" t="s">
        <v>1973</v>
      </c>
      <c r="E1823" s="20">
        <v>33366</v>
      </c>
      <c r="F1823" s="20">
        <v>44130</v>
      </c>
      <c r="G1823" s="12">
        <v>2370.33</v>
      </c>
      <c r="H1823" s="12">
        <v>14.366666666666699</v>
      </c>
      <c r="I1823" s="13">
        <v>164.98816705336401</v>
      </c>
      <c r="J1823" s="12" t="s">
        <v>336</v>
      </c>
      <c r="K1823" s="14">
        <v>7</v>
      </c>
      <c r="L1823" s="14">
        <v>577</v>
      </c>
      <c r="M1823" s="14">
        <v>16</v>
      </c>
      <c r="N1823" s="12">
        <v>2370.33</v>
      </c>
      <c r="O1823" s="12" t="s">
        <v>336</v>
      </c>
      <c r="P1823" s="12">
        <v>0.38129961634051601</v>
      </c>
      <c r="Q1823" s="12">
        <v>0.75127810918333005</v>
      </c>
      <c r="R1823" s="12">
        <v>0.21723790322580599</v>
      </c>
      <c r="S1823" s="14">
        <v>31</v>
      </c>
      <c r="T1823" s="12">
        <v>61.253617436727502</v>
      </c>
      <c r="U1823" s="14">
        <v>6</v>
      </c>
      <c r="V1823" s="14">
        <v>24</v>
      </c>
      <c r="W1823" s="12">
        <v>7.4000000000000003E-3</v>
      </c>
      <c r="X1823" s="12">
        <v>61.261017436727499</v>
      </c>
      <c r="Y1823" s="14">
        <v>6</v>
      </c>
      <c r="Z1823" s="14">
        <v>31</v>
      </c>
      <c r="AA1823" s="12" t="s">
        <v>2367</v>
      </c>
    </row>
    <row r="1824" spans="1:27" ht="14.25" x14ac:dyDescent="0.45">
      <c r="A1824" s="12" t="s">
        <v>341</v>
      </c>
      <c r="B1824" s="12" t="s">
        <v>1986</v>
      </c>
      <c r="C1824" s="12" t="s">
        <v>1977</v>
      </c>
      <c r="D1824" s="12" t="s">
        <v>1990</v>
      </c>
      <c r="E1824" s="20">
        <v>31528</v>
      </c>
      <c r="F1824" s="20">
        <v>44180</v>
      </c>
      <c r="G1824" s="12">
        <v>44.19</v>
      </c>
      <c r="H1824" s="12">
        <v>12.7</v>
      </c>
      <c r="I1824" s="13">
        <v>3.47952755905512</v>
      </c>
      <c r="J1824" s="12" t="s">
        <v>341</v>
      </c>
      <c r="K1824" s="14">
        <v>521</v>
      </c>
      <c r="L1824" s="14">
        <v>704</v>
      </c>
      <c r="M1824" s="14">
        <v>501</v>
      </c>
      <c r="N1824" s="12">
        <v>44.19</v>
      </c>
      <c r="O1824" s="12" t="s">
        <v>341</v>
      </c>
      <c r="P1824" s="12">
        <v>7.1085587433342198E-3</v>
      </c>
      <c r="Q1824" s="12">
        <v>1.58441234429419E-2</v>
      </c>
      <c r="R1824" s="12">
        <v>0.19203629032258099</v>
      </c>
      <c r="S1824" s="14">
        <v>36</v>
      </c>
      <c r="T1824" s="12">
        <v>1.2568286680589</v>
      </c>
      <c r="U1824" s="14">
        <v>529</v>
      </c>
      <c r="V1824" s="14">
        <v>3</v>
      </c>
      <c r="W1824" s="12">
        <v>5.7000000000000002E-3</v>
      </c>
      <c r="X1824" s="12">
        <v>1.2625286680589001</v>
      </c>
      <c r="Y1824" s="14">
        <v>529</v>
      </c>
      <c r="Z1824" s="14">
        <v>36</v>
      </c>
      <c r="AA1824" s="12" t="s">
        <v>2369</v>
      </c>
    </row>
    <row r="1825" spans="1:27" ht="14.25" x14ac:dyDescent="0.45">
      <c r="A1825" s="12" t="s">
        <v>355</v>
      </c>
      <c r="B1825" s="12" t="s">
        <v>2021</v>
      </c>
      <c r="C1825" s="12" t="s">
        <v>1972</v>
      </c>
      <c r="D1825" s="12" t="s">
        <v>1982</v>
      </c>
      <c r="E1825" s="20">
        <v>35554</v>
      </c>
      <c r="F1825" s="20">
        <v>43914</v>
      </c>
      <c r="G1825" s="12">
        <v>20.89</v>
      </c>
      <c r="H1825" s="12">
        <v>21.566666666666698</v>
      </c>
      <c r="I1825" s="13">
        <v>0.96862442040185504</v>
      </c>
      <c r="J1825" s="12" t="s">
        <v>355</v>
      </c>
      <c r="K1825" s="14">
        <v>832</v>
      </c>
      <c r="L1825" s="14">
        <v>443</v>
      </c>
      <c r="M1825" s="14">
        <v>714</v>
      </c>
      <c r="N1825" s="12">
        <v>20.89</v>
      </c>
      <c r="O1825" s="12" t="s">
        <v>355</v>
      </c>
      <c r="P1825" s="12">
        <v>3.36043883566988E-3</v>
      </c>
      <c r="Q1825" s="12">
        <v>4.4106576614851003E-3</v>
      </c>
      <c r="R1825" s="12">
        <v>0.32610887096774199</v>
      </c>
      <c r="S1825" s="14">
        <v>25</v>
      </c>
      <c r="T1825" s="12">
        <v>0.40168256018043902</v>
      </c>
      <c r="U1825" s="14">
        <v>827</v>
      </c>
      <c r="V1825" s="14">
        <v>4</v>
      </c>
      <c r="W1825" s="12">
        <v>5.7999999999999996E-3</v>
      </c>
      <c r="X1825" s="12">
        <v>0.40748256018043899</v>
      </c>
      <c r="Y1825" s="14">
        <v>826</v>
      </c>
      <c r="Z1825" s="14">
        <v>25</v>
      </c>
      <c r="AA1825" s="12" t="s">
        <v>2367</v>
      </c>
    </row>
    <row r="1826" spans="1:27" ht="14.25" x14ac:dyDescent="0.45">
      <c r="A1826" s="12" t="s">
        <v>359</v>
      </c>
      <c r="B1826" s="12" t="s">
        <v>1986</v>
      </c>
      <c r="C1826" s="12" t="s">
        <v>1981</v>
      </c>
      <c r="D1826" s="12" t="s">
        <v>1982</v>
      </c>
      <c r="E1826" s="20">
        <v>36020</v>
      </c>
      <c r="F1826" s="20">
        <v>43788</v>
      </c>
      <c r="G1826" s="12">
        <v>0.16</v>
      </c>
      <c r="H1826" s="12">
        <v>25.766666666666701</v>
      </c>
      <c r="I1826" s="13">
        <v>6.2095730918499403E-3</v>
      </c>
      <c r="J1826" s="12" t="s">
        <v>359</v>
      </c>
      <c r="K1826" s="14">
        <v>1772</v>
      </c>
      <c r="L1826" s="14">
        <v>369</v>
      </c>
      <c r="M1826" s="14">
        <v>1801</v>
      </c>
      <c r="N1826" s="12">
        <v>0.16</v>
      </c>
      <c r="O1826" s="12" t="s">
        <v>359</v>
      </c>
      <c r="P1826" s="12">
        <v>2.5738162456064101E-5</v>
      </c>
      <c r="Q1826" s="12">
        <v>2.8275460080551201E-5</v>
      </c>
      <c r="R1826" s="12">
        <v>0.389616935483871</v>
      </c>
      <c r="S1826" s="14">
        <v>24</v>
      </c>
      <c r="T1826" s="12">
        <v>2.7323973471368502E-3</v>
      </c>
      <c r="U1826" s="14">
        <v>1861</v>
      </c>
      <c r="V1826" s="14">
        <v>1</v>
      </c>
      <c r="W1826" s="12">
        <v>5.4999999999999997E-3</v>
      </c>
      <c r="X1826" s="12">
        <v>8.2323973471368495E-3</v>
      </c>
      <c r="Y1826" s="14">
        <v>1861</v>
      </c>
      <c r="Z1826" s="14">
        <v>23</v>
      </c>
      <c r="AA1826" s="12" t="s">
        <v>2370</v>
      </c>
    </row>
    <row r="1827" spans="1:27" ht="14.25" x14ac:dyDescent="0.45">
      <c r="A1827" s="12" t="s">
        <v>364</v>
      </c>
      <c r="B1827" s="12" t="s">
        <v>2021</v>
      </c>
      <c r="C1827" s="12" t="s">
        <v>1972</v>
      </c>
      <c r="D1827" s="12" t="s">
        <v>1974</v>
      </c>
      <c r="E1827" s="20">
        <v>34797</v>
      </c>
      <c r="F1827" s="20">
        <v>43861</v>
      </c>
      <c r="G1827" s="12">
        <v>218.09</v>
      </c>
      <c r="H1827" s="12">
        <v>23.3333333333333</v>
      </c>
      <c r="I1827" s="13">
        <v>9.3467142857142793</v>
      </c>
      <c r="J1827" s="12" t="s">
        <v>364</v>
      </c>
      <c r="K1827" s="14">
        <v>313</v>
      </c>
      <c r="L1827" s="14">
        <v>403</v>
      </c>
      <c r="M1827" s="14">
        <v>275</v>
      </c>
      <c r="N1827" s="12">
        <v>218.09</v>
      </c>
      <c r="O1827" s="12" t="s">
        <v>364</v>
      </c>
      <c r="P1827" s="12">
        <v>3.5082724062768897E-2</v>
      </c>
      <c r="Q1827" s="12">
        <v>4.2560517890819598E-2</v>
      </c>
      <c r="R1827" s="12">
        <v>0.35282258064516098</v>
      </c>
      <c r="S1827" s="14">
        <v>27</v>
      </c>
      <c r="T1827" s="12">
        <v>3.9756345205300598</v>
      </c>
      <c r="U1827" s="14">
        <v>308</v>
      </c>
      <c r="V1827" s="14">
        <v>7</v>
      </c>
      <c r="W1827" s="12">
        <v>6.1000000000000004E-3</v>
      </c>
      <c r="X1827" s="12">
        <v>3.9817345205300598</v>
      </c>
      <c r="Y1827" s="14">
        <v>308</v>
      </c>
      <c r="Z1827" s="14">
        <v>27</v>
      </c>
      <c r="AA1827" s="12" t="s">
        <v>2367</v>
      </c>
    </row>
    <row r="1828" spans="1:27" ht="14.25" x14ac:dyDescent="0.45">
      <c r="A1828" s="12" t="s">
        <v>365</v>
      </c>
      <c r="B1828" s="12" t="s">
        <v>1986</v>
      </c>
      <c r="C1828" s="12" t="s">
        <v>1972</v>
      </c>
      <c r="D1828" s="12" t="s">
        <v>1982</v>
      </c>
      <c r="E1828" s="20">
        <v>35728</v>
      </c>
      <c r="F1828" s="20">
        <v>43826</v>
      </c>
      <c r="G1828" s="12">
        <v>10.8</v>
      </c>
      <c r="H1828" s="12">
        <v>24.5</v>
      </c>
      <c r="I1828" s="13">
        <v>0.44081632653061198</v>
      </c>
      <c r="J1828" s="12" t="s">
        <v>365</v>
      </c>
      <c r="K1828" s="14">
        <v>1109</v>
      </c>
      <c r="L1828" s="14">
        <v>380</v>
      </c>
      <c r="M1828" s="14">
        <v>829</v>
      </c>
      <c r="N1828" s="12">
        <v>10.8</v>
      </c>
      <c r="O1828" s="12" t="s">
        <v>365</v>
      </c>
      <c r="P1828" s="12">
        <v>1.73732596578433E-3</v>
      </c>
      <c r="Q1828" s="12">
        <v>2.0072691406162698E-3</v>
      </c>
      <c r="R1828" s="12">
        <v>0.37046370967741898</v>
      </c>
      <c r="S1828" s="14">
        <v>25</v>
      </c>
      <c r="T1828" s="12">
        <v>0.19060404500542899</v>
      </c>
      <c r="U1828" s="14">
        <v>1069</v>
      </c>
      <c r="V1828" s="14">
        <v>4</v>
      </c>
      <c r="W1828" s="12">
        <v>5.7999999999999996E-3</v>
      </c>
      <c r="X1828" s="12">
        <v>0.19640404500542899</v>
      </c>
      <c r="Y1828" s="14">
        <v>1069</v>
      </c>
      <c r="Z1828" s="14">
        <v>24</v>
      </c>
      <c r="AA1828" s="12" t="s">
        <v>2370</v>
      </c>
    </row>
    <row r="1829" spans="1:27" ht="14.25" x14ac:dyDescent="0.45">
      <c r="A1829" s="12" t="s">
        <v>367</v>
      </c>
      <c r="B1829" s="12" t="s">
        <v>1986</v>
      </c>
      <c r="C1829" s="12" t="s">
        <v>1996</v>
      </c>
      <c r="D1829" s="12" t="s">
        <v>1987</v>
      </c>
      <c r="E1829" s="20">
        <v>34455</v>
      </c>
      <c r="F1829" s="20">
        <v>44186</v>
      </c>
      <c r="G1829" s="12">
        <v>2.4700000000000002</v>
      </c>
      <c r="H1829" s="12">
        <v>12.5</v>
      </c>
      <c r="I1829" s="13">
        <v>0.1976</v>
      </c>
      <c r="J1829" s="12" t="s">
        <v>367</v>
      </c>
      <c r="K1829" s="14">
        <v>1351</v>
      </c>
      <c r="L1829" s="14">
        <v>723</v>
      </c>
      <c r="M1829" s="14">
        <v>1281</v>
      </c>
      <c r="N1829" s="12">
        <v>2.4700000000000002</v>
      </c>
      <c r="O1829" s="12" t="s">
        <v>367</v>
      </c>
      <c r="P1829" s="12">
        <v>3.9733288291548998E-4</v>
      </c>
      <c r="Q1829" s="12">
        <v>8.9977697810661905E-4</v>
      </c>
      <c r="R1829" s="12">
        <v>0.18901209677419401</v>
      </c>
      <c r="S1829" s="14">
        <v>28</v>
      </c>
      <c r="T1829" s="12">
        <v>7.1136044240994595E-2</v>
      </c>
      <c r="U1829" s="14">
        <v>1437</v>
      </c>
      <c r="V1829" s="14">
        <v>1</v>
      </c>
      <c r="W1829" s="12">
        <v>5.4999999999999997E-3</v>
      </c>
      <c r="X1829" s="12">
        <v>7.66360442409946E-2</v>
      </c>
      <c r="Y1829" s="14">
        <v>1438</v>
      </c>
      <c r="Z1829" s="14">
        <v>28</v>
      </c>
      <c r="AA1829" s="12" t="s">
        <v>2367</v>
      </c>
    </row>
    <row r="1830" spans="1:27" ht="14.25" x14ac:dyDescent="0.45">
      <c r="A1830" s="12" t="s">
        <v>369</v>
      </c>
      <c r="B1830" s="12" t="s">
        <v>1986</v>
      </c>
      <c r="C1830" s="12" t="s">
        <v>1981</v>
      </c>
      <c r="D1830" s="12" t="s">
        <v>1982</v>
      </c>
      <c r="E1830" s="20">
        <v>36330</v>
      </c>
      <c r="F1830" s="20">
        <v>44151</v>
      </c>
      <c r="G1830" s="12">
        <v>41.24</v>
      </c>
      <c r="H1830" s="12">
        <v>13.6666666666667</v>
      </c>
      <c r="I1830" s="13">
        <v>3.0175609756097601</v>
      </c>
      <c r="J1830" s="12" t="s">
        <v>369</v>
      </c>
      <c r="K1830" s="14">
        <v>558</v>
      </c>
      <c r="L1830" s="14">
        <v>625</v>
      </c>
      <c r="M1830" s="14">
        <v>511</v>
      </c>
      <c r="N1830" s="12">
        <v>41.24</v>
      </c>
      <c r="O1830" s="12" t="s">
        <v>369</v>
      </c>
      <c r="P1830" s="12">
        <v>6.6340113730505301E-3</v>
      </c>
      <c r="Q1830" s="12">
        <v>1.37405460318148E-2</v>
      </c>
      <c r="R1830" s="12">
        <v>0.20665322580645201</v>
      </c>
      <c r="S1830" s="14">
        <v>23</v>
      </c>
      <c r="T1830" s="12">
        <v>1.10755955347782</v>
      </c>
      <c r="U1830" s="14">
        <v>552</v>
      </c>
      <c r="V1830" s="14">
        <v>3</v>
      </c>
      <c r="W1830" s="12">
        <v>5.7000000000000002E-3</v>
      </c>
      <c r="X1830" s="12">
        <v>1.11325955347782</v>
      </c>
      <c r="Y1830" s="14">
        <v>552</v>
      </c>
      <c r="Z1830" s="14">
        <v>23</v>
      </c>
      <c r="AA1830" s="12" t="s">
        <v>2370</v>
      </c>
    </row>
    <row r="1831" spans="1:27" ht="14.25" x14ac:dyDescent="0.45">
      <c r="A1831" s="12" t="s">
        <v>373</v>
      </c>
      <c r="B1831" s="12" t="s">
        <v>1986</v>
      </c>
      <c r="C1831" s="12" t="s">
        <v>1972</v>
      </c>
      <c r="D1831" s="12" t="s">
        <v>2077</v>
      </c>
      <c r="E1831" s="20">
        <v>27223</v>
      </c>
      <c r="F1831" s="20">
        <v>44062</v>
      </c>
      <c r="G1831" s="12">
        <v>17.600000000000001</v>
      </c>
      <c r="H1831" s="12">
        <v>16.633333333333301</v>
      </c>
      <c r="I1831" s="13">
        <v>1.05811623246493</v>
      </c>
      <c r="J1831" s="12" t="s">
        <v>373</v>
      </c>
      <c r="K1831" s="14">
        <v>805</v>
      </c>
      <c r="L1831" s="14">
        <v>463</v>
      </c>
      <c r="M1831" s="14">
        <v>744</v>
      </c>
      <c r="N1831" s="12">
        <v>17.600000000000001</v>
      </c>
      <c r="O1831" s="12" t="s">
        <v>373</v>
      </c>
      <c r="P1831" s="12">
        <v>2.8311978701670601E-3</v>
      </c>
      <c r="Q1831" s="12">
        <v>4.81816106342538E-3</v>
      </c>
      <c r="R1831" s="12">
        <v>0.25151209677419401</v>
      </c>
      <c r="S1831" s="14">
        <v>48</v>
      </c>
      <c r="T1831" s="12">
        <v>0.40730498659535103</v>
      </c>
      <c r="U1831" s="14">
        <v>822</v>
      </c>
      <c r="V1831" s="14">
        <v>3</v>
      </c>
      <c r="W1831" s="12">
        <v>5.7000000000000002E-3</v>
      </c>
      <c r="X1831" s="12">
        <v>0.41300498659535101</v>
      </c>
      <c r="Y1831" s="14">
        <v>821</v>
      </c>
      <c r="Z1831" s="14">
        <v>48</v>
      </c>
      <c r="AA1831" s="12" t="s">
        <v>2371</v>
      </c>
    </row>
    <row r="1832" spans="1:27" ht="14.25" x14ac:dyDescent="0.45">
      <c r="A1832" s="12" t="s">
        <v>380</v>
      </c>
      <c r="B1832" s="12" t="s">
        <v>1986</v>
      </c>
      <c r="C1832" s="12" t="s">
        <v>1972</v>
      </c>
      <c r="D1832" s="12" t="s">
        <v>1974</v>
      </c>
      <c r="E1832" s="20">
        <v>31771</v>
      </c>
      <c r="F1832" s="20">
        <v>43906</v>
      </c>
      <c r="G1832" s="12">
        <v>4.3099999999999996</v>
      </c>
      <c r="H1832" s="12">
        <v>21.8333333333333</v>
      </c>
      <c r="I1832" s="13">
        <v>0.19740458015267201</v>
      </c>
      <c r="J1832" s="12" t="s">
        <v>380</v>
      </c>
      <c r="K1832" s="14">
        <v>1352</v>
      </c>
      <c r="L1832" s="14">
        <v>431</v>
      </c>
      <c r="M1832" s="14">
        <v>1084</v>
      </c>
      <c r="N1832" s="12">
        <v>4.3099999999999996</v>
      </c>
      <c r="O1832" s="12" t="s">
        <v>380</v>
      </c>
      <c r="P1832" s="12">
        <v>6.9332175116022798E-4</v>
      </c>
      <c r="Q1832" s="12">
        <v>8.9888712851303996E-4</v>
      </c>
      <c r="R1832" s="12">
        <v>0.33014112903225801</v>
      </c>
      <c r="S1832" s="14">
        <v>36</v>
      </c>
      <c r="T1832" s="12">
        <v>8.2180011200573597E-2</v>
      </c>
      <c r="U1832" s="14">
        <v>1348</v>
      </c>
      <c r="V1832" s="14">
        <v>8</v>
      </c>
      <c r="W1832" s="12">
        <v>6.1999999999999998E-3</v>
      </c>
      <c r="X1832" s="12">
        <v>8.8380011200573594E-2</v>
      </c>
      <c r="Y1832" s="14">
        <v>1345</v>
      </c>
      <c r="Z1832" s="14">
        <v>35</v>
      </c>
      <c r="AA1832" s="12" t="s">
        <v>2369</v>
      </c>
    </row>
    <row r="1833" spans="1:27" ht="14.25" x14ac:dyDescent="0.45">
      <c r="A1833" s="12" t="s">
        <v>385</v>
      </c>
      <c r="B1833" s="12" t="s">
        <v>2092</v>
      </c>
      <c r="C1833" s="12" t="s">
        <v>1972</v>
      </c>
      <c r="D1833" s="12" t="s">
        <v>1974</v>
      </c>
      <c r="E1833" s="20">
        <v>35244</v>
      </c>
      <c r="F1833" s="20">
        <v>44201</v>
      </c>
      <c r="G1833" s="12">
        <v>26.79</v>
      </c>
      <c r="H1833" s="12">
        <v>12</v>
      </c>
      <c r="I1833" s="13">
        <v>2.2324999999999999</v>
      </c>
      <c r="J1833" s="12" t="s">
        <v>385</v>
      </c>
      <c r="K1833" s="14">
        <v>625</v>
      </c>
      <c r="L1833" s="14">
        <v>782</v>
      </c>
      <c r="M1833" s="14">
        <v>672</v>
      </c>
      <c r="N1833" s="12">
        <v>26.79</v>
      </c>
      <c r="O1833" s="12" t="s">
        <v>385</v>
      </c>
      <c r="P1833" s="12">
        <v>4.3095335762372402E-3</v>
      </c>
      <c r="Q1833" s="12">
        <v>1.01657495122623E-2</v>
      </c>
      <c r="R1833" s="12">
        <v>0.18145161290322601</v>
      </c>
      <c r="S1833" s="14">
        <v>26</v>
      </c>
      <c r="T1833" s="12">
        <v>0.79696685362528896</v>
      </c>
      <c r="U1833" s="14">
        <v>673</v>
      </c>
      <c r="V1833" s="14">
        <v>1</v>
      </c>
      <c r="W1833" s="12">
        <v>5.4999999999999997E-3</v>
      </c>
      <c r="X1833" s="12">
        <v>0.80246685362528902</v>
      </c>
      <c r="Y1833" s="14">
        <v>673</v>
      </c>
      <c r="Z1833" s="14">
        <v>26</v>
      </c>
      <c r="AA1833" s="12" t="s">
        <v>2367</v>
      </c>
    </row>
    <row r="1834" spans="1:27" ht="14.25" x14ac:dyDescent="0.45">
      <c r="A1834" s="12" t="s">
        <v>391</v>
      </c>
      <c r="B1834" s="12" t="s">
        <v>2092</v>
      </c>
      <c r="C1834" s="12" t="s">
        <v>1972</v>
      </c>
      <c r="D1834" s="12" t="s">
        <v>1975</v>
      </c>
      <c r="E1834" s="20">
        <v>34059</v>
      </c>
      <c r="F1834" s="20">
        <v>44116</v>
      </c>
      <c r="G1834" s="12">
        <v>72.14</v>
      </c>
      <c r="H1834" s="12">
        <v>14.8333333333333</v>
      </c>
      <c r="I1834" s="13">
        <v>4.8633707865168496</v>
      </c>
      <c r="J1834" s="12" t="s">
        <v>391</v>
      </c>
      <c r="K1834" s="14">
        <v>453</v>
      </c>
      <c r="L1834" s="14">
        <v>534</v>
      </c>
      <c r="M1834" s="14">
        <v>421</v>
      </c>
      <c r="N1834" s="12">
        <v>72.14</v>
      </c>
      <c r="O1834" s="12" t="s">
        <v>391</v>
      </c>
      <c r="P1834" s="12">
        <v>1.16046939973779E-2</v>
      </c>
      <c r="Q1834" s="12">
        <v>2.2145491243441999E-2</v>
      </c>
      <c r="R1834" s="12">
        <v>0.22429435483870999</v>
      </c>
      <c r="S1834" s="14">
        <v>29</v>
      </c>
      <c r="T1834" s="12">
        <v>1.8192692276168001</v>
      </c>
      <c r="U1834" s="14">
        <v>452</v>
      </c>
      <c r="V1834" s="14">
        <v>6</v>
      </c>
      <c r="W1834" s="12">
        <v>6.0000000000000001E-3</v>
      </c>
      <c r="X1834" s="12">
        <v>1.8252692276168001</v>
      </c>
      <c r="Y1834" s="14">
        <v>451</v>
      </c>
      <c r="Z1834" s="14">
        <v>29</v>
      </c>
      <c r="AA1834" s="12" t="s">
        <v>2367</v>
      </c>
    </row>
    <row r="1835" spans="1:27" ht="14.25" x14ac:dyDescent="0.45">
      <c r="A1835" s="12" t="s">
        <v>405</v>
      </c>
      <c r="B1835" s="12" t="s">
        <v>2016</v>
      </c>
      <c r="C1835" s="12" t="s">
        <v>1972</v>
      </c>
      <c r="D1835" s="12" t="s">
        <v>1974</v>
      </c>
      <c r="E1835" s="20">
        <v>33415</v>
      </c>
      <c r="F1835" s="20">
        <v>44175</v>
      </c>
      <c r="G1835" s="12">
        <v>23.15</v>
      </c>
      <c r="H1835" s="12">
        <v>12.866666666666699</v>
      </c>
      <c r="I1835" s="13">
        <v>1.79922279792746</v>
      </c>
      <c r="J1835" s="12" t="s">
        <v>405</v>
      </c>
      <c r="K1835" s="14">
        <v>691</v>
      </c>
      <c r="L1835" s="14">
        <v>692</v>
      </c>
      <c r="M1835" s="14">
        <v>696</v>
      </c>
      <c r="N1835" s="12">
        <v>23.15</v>
      </c>
      <c r="O1835" s="12" t="s">
        <v>405</v>
      </c>
      <c r="P1835" s="12">
        <v>3.7239903803617802E-3</v>
      </c>
      <c r="Q1835" s="12">
        <v>8.1928099800592392E-3</v>
      </c>
      <c r="R1835" s="12">
        <v>0.194556451612903</v>
      </c>
      <c r="S1835" s="14">
        <v>31</v>
      </c>
      <c r="T1835" s="12">
        <v>0.65170026301726902</v>
      </c>
      <c r="U1835" s="14">
        <v>737</v>
      </c>
      <c r="V1835" s="14">
        <v>1</v>
      </c>
      <c r="W1835" s="12">
        <v>5.4999999999999997E-3</v>
      </c>
      <c r="X1835" s="12">
        <v>0.65720026301726897</v>
      </c>
      <c r="Y1835" s="14">
        <v>737</v>
      </c>
      <c r="Z1835" s="14">
        <v>31</v>
      </c>
      <c r="AA1835" s="12" t="s">
        <v>2367</v>
      </c>
    </row>
    <row r="1836" spans="1:27" ht="14.25" x14ac:dyDescent="0.45">
      <c r="A1836" s="12" t="s">
        <v>407</v>
      </c>
      <c r="B1836" s="12" t="s">
        <v>2092</v>
      </c>
      <c r="C1836" s="12" t="s">
        <v>1972</v>
      </c>
      <c r="D1836" s="12" t="s">
        <v>1973</v>
      </c>
      <c r="E1836" s="20">
        <v>32175</v>
      </c>
      <c r="F1836" s="20">
        <v>43746</v>
      </c>
      <c r="G1836" s="12">
        <v>287.2</v>
      </c>
      <c r="H1836" s="12">
        <v>27.1666666666667</v>
      </c>
      <c r="I1836" s="13">
        <v>10.571779141104299</v>
      </c>
      <c r="J1836" s="12" t="s">
        <v>407</v>
      </c>
      <c r="K1836" s="14">
        <v>274</v>
      </c>
      <c r="L1836" s="14">
        <v>314</v>
      </c>
      <c r="M1836" s="14">
        <v>233</v>
      </c>
      <c r="N1836" s="12">
        <v>287.2</v>
      </c>
      <c r="O1836" s="12" t="s">
        <v>407</v>
      </c>
      <c r="P1836" s="12">
        <v>4.6200001608635098E-2</v>
      </c>
      <c r="Q1836" s="12">
        <v>4.8138884052598203E-2</v>
      </c>
      <c r="R1836" s="12">
        <v>0.41078629032258102</v>
      </c>
      <c r="S1836" s="14">
        <v>34</v>
      </c>
      <c r="T1836" s="12">
        <v>4.7411803136112098</v>
      </c>
      <c r="U1836" s="14">
        <v>275</v>
      </c>
      <c r="V1836" s="14">
        <v>20</v>
      </c>
      <c r="W1836" s="12">
        <v>7.1000000000000004E-3</v>
      </c>
      <c r="X1836" s="12">
        <v>4.7482803136112102</v>
      </c>
      <c r="Y1836" s="14">
        <v>275</v>
      </c>
      <c r="Z1836" s="14">
        <v>34</v>
      </c>
      <c r="AA1836" s="12" t="s">
        <v>2367</v>
      </c>
    </row>
    <row r="1837" spans="1:27" ht="14.25" x14ac:dyDescent="0.45">
      <c r="A1837" s="12" t="s">
        <v>409</v>
      </c>
      <c r="B1837" s="12" t="s">
        <v>1986</v>
      </c>
      <c r="C1837" s="12" t="s">
        <v>1972</v>
      </c>
      <c r="D1837" s="12" t="s">
        <v>1997</v>
      </c>
      <c r="E1837" s="20">
        <v>35047</v>
      </c>
      <c r="F1837" s="20">
        <v>44068</v>
      </c>
      <c r="G1837" s="12">
        <v>14.64</v>
      </c>
      <c r="H1837" s="12">
        <v>16.433333333333302</v>
      </c>
      <c r="I1837" s="13">
        <v>0.89087221095334701</v>
      </c>
      <c r="J1837" s="12" t="s">
        <v>409</v>
      </c>
      <c r="K1837" s="14">
        <v>858</v>
      </c>
      <c r="L1837" s="14">
        <v>479</v>
      </c>
      <c r="M1837" s="14">
        <v>772</v>
      </c>
      <c r="N1837" s="12">
        <v>14.64</v>
      </c>
      <c r="O1837" s="12" t="s">
        <v>409</v>
      </c>
      <c r="P1837" s="12">
        <v>2.3550418647298702E-3</v>
      </c>
      <c r="Q1837" s="12">
        <v>4.0566108595686502E-3</v>
      </c>
      <c r="R1837" s="12">
        <v>0.24848790322580599</v>
      </c>
      <c r="S1837" s="14">
        <v>27</v>
      </c>
      <c r="T1837" s="12">
        <v>0.34185224865041097</v>
      </c>
      <c r="U1837" s="14">
        <v>879</v>
      </c>
      <c r="V1837" s="14">
        <v>3</v>
      </c>
      <c r="W1837" s="12">
        <v>5.7000000000000002E-3</v>
      </c>
      <c r="X1837" s="12">
        <v>0.34755224865041101</v>
      </c>
      <c r="Y1837" s="14">
        <v>879</v>
      </c>
      <c r="Z1837" s="14">
        <v>26</v>
      </c>
      <c r="AA1837" s="12" t="s">
        <v>2367</v>
      </c>
    </row>
    <row r="1838" spans="1:27" ht="14.25" x14ac:dyDescent="0.45">
      <c r="A1838" s="12" t="s">
        <v>410</v>
      </c>
      <c r="B1838" s="12" t="s">
        <v>1986</v>
      </c>
      <c r="C1838" s="12" t="s">
        <v>1981</v>
      </c>
      <c r="D1838" s="12" t="s">
        <v>1982</v>
      </c>
      <c r="E1838" s="20">
        <v>37391</v>
      </c>
      <c r="F1838" s="20">
        <v>44169</v>
      </c>
      <c r="G1838" s="12">
        <v>88.67</v>
      </c>
      <c r="H1838" s="12">
        <v>13.0666666666667</v>
      </c>
      <c r="I1838" s="13">
        <v>6.7859693877550997</v>
      </c>
      <c r="J1838" s="12" t="s">
        <v>410</v>
      </c>
      <c r="K1838" s="14">
        <v>386</v>
      </c>
      <c r="L1838" s="14">
        <v>668</v>
      </c>
      <c r="M1838" s="14">
        <v>396</v>
      </c>
      <c r="N1838" s="12">
        <v>88.67</v>
      </c>
      <c r="O1838" s="12" t="s">
        <v>410</v>
      </c>
      <c r="P1838" s="12">
        <v>1.426376790612E-2</v>
      </c>
      <c r="Q1838" s="12">
        <v>3.0900096301813298E-2</v>
      </c>
      <c r="R1838" s="12">
        <v>0.19758064516129001</v>
      </c>
      <c r="S1838" s="14">
        <v>20</v>
      </c>
      <c r="T1838" s="12">
        <v>2.4661473153428299</v>
      </c>
      <c r="U1838" s="14">
        <v>402</v>
      </c>
      <c r="V1838" s="14">
        <v>8</v>
      </c>
      <c r="W1838" s="12">
        <v>6.1999999999999998E-3</v>
      </c>
      <c r="X1838" s="12">
        <v>2.4723473153428301</v>
      </c>
      <c r="Y1838" s="14">
        <v>402</v>
      </c>
      <c r="Z1838" s="14">
        <v>20</v>
      </c>
      <c r="AA1838" s="12" t="s">
        <v>2370</v>
      </c>
    </row>
    <row r="1839" spans="1:27" ht="14.25" x14ac:dyDescent="0.45">
      <c r="A1839" s="12" t="s">
        <v>412</v>
      </c>
      <c r="B1839" s="12" t="s">
        <v>1986</v>
      </c>
      <c r="C1839" s="12" t="s">
        <v>1972</v>
      </c>
      <c r="D1839" s="12" t="s">
        <v>1975</v>
      </c>
      <c r="E1839" s="20">
        <v>34854</v>
      </c>
      <c r="F1839" s="20">
        <v>44147</v>
      </c>
      <c r="G1839" s="12">
        <v>417.81</v>
      </c>
      <c r="H1839" s="12">
        <v>13.8</v>
      </c>
      <c r="I1839" s="13">
        <v>30.276086956521699</v>
      </c>
      <c r="J1839" s="12" t="s">
        <v>412</v>
      </c>
      <c r="K1839" s="14">
        <v>80</v>
      </c>
      <c r="L1839" s="14">
        <v>620</v>
      </c>
      <c r="M1839" s="14">
        <v>180</v>
      </c>
      <c r="N1839" s="12">
        <v>417.81</v>
      </c>
      <c r="O1839" s="12" t="s">
        <v>412</v>
      </c>
      <c r="P1839" s="12">
        <v>6.7210385348551005E-2</v>
      </c>
      <c r="Q1839" s="12">
        <v>0.13786298598498101</v>
      </c>
      <c r="R1839" s="12">
        <v>0.20866935483870999</v>
      </c>
      <c r="S1839" s="14">
        <v>27</v>
      </c>
      <c r="T1839" s="12">
        <v>11.136826074631999</v>
      </c>
      <c r="U1839" s="14">
        <v>96</v>
      </c>
      <c r="V1839" s="14">
        <v>24</v>
      </c>
      <c r="W1839" s="12">
        <v>7.4000000000000003E-3</v>
      </c>
      <c r="X1839" s="12">
        <v>11.144226074632</v>
      </c>
      <c r="Y1839" s="14">
        <v>96</v>
      </c>
      <c r="Z1839" s="14">
        <v>27</v>
      </c>
      <c r="AA1839" s="12" t="s">
        <v>2367</v>
      </c>
    </row>
    <row r="1840" spans="1:27" ht="14.25" x14ac:dyDescent="0.45">
      <c r="A1840" s="12" t="s">
        <v>418</v>
      </c>
      <c r="B1840" s="12" t="s">
        <v>1986</v>
      </c>
      <c r="C1840" s="12" t="s">
        <v>1972</v>
      </c>
      <c r="D1840" s="12" t="s">
        <v>1982</v>
      </c>
      <c r="E1840" s="20">
        <v>35978</v>
      </c>
      <c r="F1840" s="20">
        <v>44209</v>
      </c>
      <c r="G1840" s="12">
        <v>14.34</v>
      </c>
      <c r="H1840" s="12">
        <v>11.733333333333301</v>
      </c>
      <c r="I1840" s="13">
        <v>1.22215909090909</v>
      </c>
      <c r="J1840" s="12" t="s">
        <v>418</v>
      </c>
      <c r="K1840" s="14">
        <v>763</v>
      </c>
      <c r="L1840" s="14">
        <v>812</v>
      </c>
      <c r="M1840" s="14">
        <v>777</v>
      </c>
      <c r="N1840" s="12">
        <v>14.34</v>
      </c>
      <c r="O1840" s="12" t="s">
        <v>418</v>
      </c>
      <c r="P1840" s="12">
        <v>2.3067828101247501E-3</v>
      </c>
      <c r="Q1840" s="12">
        <v>5.5651346841281103E-3</v>
      </c>
      <c r="R1840" s="12">
        <v>0.17741935483870999</v>
      </c>
      <c r="S1840" s="14">
        <v>24</v>
      </c>
      <c r="T1840" s="12">
        <v>0.43432527313768499</v>
      </c>
      <c r="U1840" s="14">
        <v>803</v>
      </c>
      <c r="V1840" s="14">
        <v>4</v>
      </c>
      <c r="W1840" s="12">
        <v>5.7999999999999996E-3</v>
      </c>
      <c r="X1840" s="12">
        <v>0.44012527313768501</v>
      </c>
      <c r="Y1840" s="14">
        <v>803</v>
      </c>
      <c r="Z1840" s="14">
        <v>24</v>
      </c>
      <c r="AA1840" s="12" t="s">
        <v>2370</v>
      </c>
    </row>
    <row r="1841" spans="1:27" ht="14.25" x14ac:dyDescent="0.45">
      <c r="A1841" s="12" t="s">
        <v>420</v>
      </c>
      <c r="B1841" s="12" t="s">
        <v>1986</v>
      </c>
      <c r="C1841" s="12" t="s">
        <v>1972</v>
      </c>
      <c r="D1841" s="12" t="s">
        <v>1975</v>
      </c>
      <c r="E1841" s="20">
        <v>35558</v>
      </c>
      <c r="F1841" s="20">
        <v>44222</v>
      </c>
      <c r="G1841" s="12">
        <v>0.71</v>
      </c>
      <c r="H1841" s="12">
        <v>11.3</v>
      </c>
      <c r="I1841" s="13">
        <v>6.2831858407079597E-2</v>
      </c>
      <c r="J1841" s="12" t="s">
        <v>420</v>
      </c>
      <c r="K1841" s="14">
        <v>1579</v>
      </c>
      <c r="L1841" s="14">
        <v>879</v>
      </c>
      <c r="M1841" s="14">
        <v>1624</v>
      </c>
      <c r="N1841" s="12">
        <v>0.71</v>
      </c>
      <c r="O1841" s="12" t="s">
        <v>420</v>
      </c>
      <c r="P1841" s="12">
        <v>1.1421309589878501E-4</v>
      </c>
      <c r="Q1841" s="12">
        <v>2.86106577360046E-4</v>
      </c>
      <c r="R1841" s="12">
        <v>0.170866935483871</v>
      </c>
      <c r="S1841" s="14">
        <v>25</v>
      </c>
      <c r="T1841" s="12">
        <v>2.2164652181207299E-2</v>
      </c>
      <c r="U1841" s="14">
        <v>1674</v>
      </c>
      <c r="V1841" s="14">
        <v>1</v>
      </c>
      <c r="W1841" s="12">
        <v>5.4999999999999997E-3</v>
      </c>
      <c r="X1841" s="12">
        <v>2.7664652181207301E-2</v>
      </c>
      <c r="Y1841" s="14">
        <v>1675</v>
      </c>
      <c r="Z1841" s="14">
        <v>25</v>
      </c>
      <c r="AA1841" s="12" t="s">
        <v>2367</v>
      </c>
    </row>
    <row r="1842" spans="1:27" ht="14.25" x14ac:dyDescent="0.45">
      <c r="A1842" s="12" t="s">
        <v>422</v>
      </c>
      <c r="B1842" s="12" t="s">
        <v>2025</v>
      </c>
      <c r="C1842" s="12" t="s">
        <v>1977</v>
      </c>
      <c r="D1842" s="12" t="s">
        <v>1982</v>
      </c>
      <c r="E1842" s="20">
        <v>36396</v>
      </c>
      <c r="F1842" s="20">
        <v>44067</v>
      </c>
      <c r="G1842" s="12">
        <v>0.18</v>
      </c>
      <c r="H1842" s="12">
        <v>16.466666666666701</v>
      </c>
      <c r="I1842" s="13">
        <v>1.0931174089068799E-2</v>
      </c>
      <c r="J1842" s="12" t="s">
        <v>422</v>
      </c>
      <c r="K1842" s="14">
        <v>1739</v>
      </c>
      <c r="L1842" s="14">
        <v>474</v>
      </c>
      <c r="M1842" s="14">
        <v>1788</v>
      </c>
      <c r="N1842" s="12">
        <v>0.18</v>
      </c>
      <c r="O1842" s="12" t="s">
        <v>422</v>
      </c>
      <c r="P1842" s="12">
        <v>2.89554327630722E-5</v>
      </c>
      <c r="Q1842" s="12">
        <v>4.9775398729856902E-5</v>
      </c>
      <c r="R1842" s="12">
        <v>0.248991935483871</v>
      </c>
      <c r="S1842" s="14">
        <v>23</v>
      </c>
      <c r="T1842" s="12">
        <v>4.1967911492312602E-3</v>
      </c>
      <c r="U1842" s="14">
        <v>1833</v>
      </c>
      <c r="V1842" s="14">
        <v>1</v>
      </c>
      <c r="W1842" s="12">
        <v>5.4999999999999997E-3</v>
      </c>
      <c r="X1842" s="12">
        <v>9.6967911492312608E-3</v>
      </c>
      <c r="Y1842" s="14">
        <v>1833</v>
      </c>
      <c r="Z1842" s="14">
        <v>22</v>
      </c>
      <c r="AA1842" s="12" t="s">
        <v>2370</v>
      </c>
    </row>
    <row r="1843" spans="1:27" ht="14.25" x14ac:dyDescent="0.45">
      <c r="A1843" s="12" t="s">
        <v>423</v>
      </c>
      <c r="B1843" s="12" t="s">
        <v>1986</v>
      </c>
      <c r="C1843" s="12" t="s">
        <v>1972</v>
      </c>
      <c r="D1843" s="12" t="s">
        <v>1974</v>
      </c>
      <c r="E1843" s="20">
        <v>33751</v>
      </c>
      <c r="F1843" s="20">
        <v>44109</v>
      </c>
      <c r="G1843" s="12">
        <v>0.88</v>
      </c>
      <c r="H1843" s="12">
        <v>15.0666666666667</v>
      </c>
      <c r="I1843" s="13">
        <v>5.8407079646017698E-2</v>
      </c>
      <c r="J1843" s="12" t="s">
        <v>423</v>
      </c>
      <c r="K1843" s="14">
        <v>1583</v>
      </c>
      <c r="L1843" s="14">
        <v>501</v>
      </c>
      <c r="M1843" s="14">
        <v>1583</v>
      </c>
      <c r="N1843" s="12">
        <v>0.88</v>
      </c>
      <c r="O1843" s="12" t="s">
        <v>423</v>
      </c>
      <c r="P1843" s="12">
        <v>1.41559893508353E-4</v>
      </c>
      <c r="Q1843" s="12">
        <v>2.6595822684173301E-4</v>
      </c>
      <c r="R1843" s="12">
        <v>0.227822580645161</v>
      </c>
      <c r="S1843" s="14">
        <v>30</v>
      </c>
      <c r="T1843" s="12">
        <v>2.1930885184171502E-2</v>
      </c>
      <c r="U1843" s="14">
        <v>1677</v>
      </c>
      <c r="V1843" s="14">
        <v>1</v>
      </c>
      <c r="W1843" s="12">
        <v>5.4999999999999997E-3</v>
      </c>
      <c r="X1843" s="12">
        <v>2.74308851841715E-2</v>
      </c>
      <c r="Y1843" s="14">
        <v>1677</v>
      </c>
      <c r="Z1843" s="14">
        <v>30</v>
      </c>
      <c r="AA1843" s="12" t="s">
        <v>2367</v>
      </c>
    </row>
    <row r="1844" spans="1:27" ht="14.25" x14ac:dyDescent="0.45">
      <c r="A1844" s="12" t="s">
        <v>435</v>
      </c>
      <c r="B1844" s="12" t="s">
        <v>2092</v>
      </c>
      <c r="C1844" s="12" t="s">
        <v>1972</v>
      </c>
      <c r="D1844" s="12" t="s">
        <v>1974</v>
      </c>
      <c r="E1844" s="20">
        <v>32782</v>
      </c>
      <c r="F1844" s="20">
        <v>44050</v>
      </c>
      <c r="G1844" s="12">
        <v>379.89</v>
      </c>
      <c r="H1844" s="12">
        <v>17.033333333333299</v>
      </c>
      <c r="I1844" s="13">
        <v>22.302739726027401</v>
      </c>
      <c r="J1844" s="12" t="s">
        <v>435</v>
      </c>
      <c r="K1844" s="14">
        <v>121</v>
      </c>
      <c r="L1844" s="14">
        <v>459</v>
      </c>
      <c r="M1844" s="14">
        <v>188</v>
      </c>
      <c r="N1844" s="12">
        <v>379.89</v>
      </c>
      <c r="O1844" s="12" t="s">
        <v>435</v>
      </c>
      <c r="P1844" s="12">
        <v>6.1110440846463797E-2</v>
      </c>
      <c r="Q1844" s="12">
        <v>0.101556132359228</v>
      </c>
      <c r="R1844" s="12">
        <v>0.25756048387096803</v>
      </c>
      <c r="S1844" s="14">
        <v>33</v>
      </c>
      <c r="T1844" s="12">
        <v>8.6388998041941107</v>
      </c>
      <c r="U1844" s="14">
        <v>124</v>
      </c>
      <c r="V1844" s="14">
        <v>18</v>
      </c>
      <c r="W1844" s="12">
        <v>7.0000000000000001E-3</v>
      </c>
      <c r="X1844" s="12">
        <v>8.6458998041941104</v>
      </c>
      <c r="Y1844" s="14">
        <v>124</v>
      </c>
      <c r="Z1844" s="14">
        <v>32</v>
      </c>
      <c r="AA1844" s="12" t="s">
        <v>2367</v>
      </c>
    </row>
    <row r="1845" spans="1:27" ht="14.25" x14ac:dyDescent="0.45">
      <c r="A1845" s="12" t="s">
        <v>440</v>
      </c>
      <c r="B1845" s="12" t="s">
        <v>1986</v>
      </c>
      <c r="C1845" s="12" t="s">
        <v>1977</v>
      </c>
      <c r="D1845" s="12" t="s">
        <v>1975</v>
      </c>
      <c r="E1845" s="20">
        <v>31818</v>
      </c>
      <c r="F1845" s="20">
        <v>44221</v>
      </c>
      <c r="G1845" s="12">
        <v>1.66</v>
      </c>
      <c r="H1845" s="12">
        <v>11.3333333333333</v>
      </c>
      <c r="I1845" s="13">
        <v>0.14647058823529399</v>
      </c>
      <c r="J1845" s="12" t="s">
        <v>440</v>
      </c>
      <c r="K1845" s="14">
        <v>1418</v>
      </c>
      <c r="L1845" s="14">
        <v>860</v>
      </c>
      <c r="M1845" s="14">
        <v>1459</v>
      </c>
      <c r="N1845" s="12">
        <v>1.66</v>
      </c>
      <c r="O1845" s="12" t="s">
        <v>440</v>
      </c>
      <c r="P1845" s="12">
        <v>2.6703343548166599E-4</v>
      </c>
      <c r="Q1845" s="12">
        <v>6.6695781003973595E-4</v>
      </c>
      <c r="R1845" s="12">
        <v>0.171370967741935</v>
      </c>
      <c r="S1845" s="14">
        <v>35</v>
      </c>
      <c r="T1845" s="12">
        <v>5.1698616958045902E-2</v>
      </c>
      <c r="U1845" s="14">
        <v>1512</v>
      </c>
      <c r="V1845" s="14">
        <v>2</v>
      </c>
      <c r="W1845" s="12">
        <v>5.5999999999999999E-3</v>
      </c>
      <c r="X1845" s="12">
        <v>5.7298616958045903E-2</v>
      </c>
      <c r="Y1845" s="14">
        <v>1512</v>
      </c>
      <c r="Z1845" s="14">
        <v>35</v>
      </c>
      <c r="AA1845" s="12" t="s">
        <v>2369</v>
      </c>
    </row>
    <row r="1846" spans="1:27" ht="14.25" x14ac:dyDescent="0.45">
      <c r="A1846" s="12" t="s">
        <v>442</v>
      </c>
      <c r="B1846" s="12" t="s">
        <v>1986</v>
      </c>
      <c r="C1846" s="12" t="s">
        <v>1977</v>
      </c>
      <c r="D1846" s="12" t="s">
        <v>1973</v>
      </c>
      <c r="E1846" s="20">
        <v>35739</v>
      </c>
      <c r="F1846" s="20">
        <v>44224</v>
      </c>
      <c r="G1846" s="12">
        <v>7.14</v>
      </c>
      <c r="H1846" s="12">
        <v>11.233333333333301</v>
      </c>
      <c r="I1846" s="13">
        <v>0.63560830860534101</v>
      </c>
      <c r="J1846" s="12" t="s">
        <v>442</v>
      </c>
      <c r="K1846" s="14">
        <v>971</v>
      </c>
      <c r="L1846" s="14">
        <v>889</v>
      </c>
      <c r="M1846" s="14">
        <v>916</v>
      </c>
      <c r="N1846" s="12">
        <v>7.14</v>
      </c>
      <c r="O1846" s="12" t="s">
        <v>442</v>
      </c>
      <c r="P1846" s="12">
        <v>1.1485654996018599E-3</v>
      </c>
      <c r="Q1846" s="12">
        <v>2.8942597326739499E-3</v>
      </c>
      <c r="R1846" s="12">
        <v>0.16985887096774199</v>
      </c>
      <c r="S1846" s="14">
        <v>25</v>
      </c>
      <c r="T1846" s="12">
        <v>0.223962439527192</v>
      </c>
      <c r="U1846" s="14">
        <v>1002</v>
      </c>
      <c r="V1846" s="14">
        <v>2</v>
      </c>
      <c r="W1846" s="12">
        <v>5.5999999999999999E-3</v>
      </c>
      <c r="X1846" s="12">
        <v>0.22956243952719199</v>
      </c>
      <c r="Y1846" s="14">
        <v>1002</v>
      </c>
      <c r="Z1846" s="14">
        <v>24</v>
      </c>
      <c r="AA1846" s="12" t="s">
        <v>2370</v>
      </c>
    </row>
    <row r="1847" spans="1:27" ht="14.25" x14ac:dyDescent="0.45">
      <c r="A1847" s="12" t="s">
        <v>452</v>
      </c>
      <c r="B1847" s="12" t="s">
        <v>1986</v>
      </c>
      <c r="C1847" s="12" t="s">
        <v>1981</v>
      </c>
      <c r="D1847" s="12" t="s">
        <v>1982</v>
      </c>
      <c r="E1847" s="20">
        <v>35101</v>
      </c>
      <c r="F1847" s="20">
        <v>43964</v>
      </c>
      <c r="G1847" s="12">
        <v>3.3</v>
      </c>
      <c r="H1847" s="12">
        <v>19.899999999999999</v>
      </c>
      <c r="I1847" s="13">
        <v>0.16582914572864299</v>
      </c>
      <c r="J1847" s="12" t="s">
        <v>452</v>
      </c>
      <c r="K1847" s="14">
        <v>1390</v>
      </c>
      <c r="L1847" s="14">
        <v>453</v>
      </c>
      <c r="M1847" s="14">
        <v>1192</v>
      </c>
      <c r="N1847" s="12">
        <v>3.3</v>
      </c>
      <c r="O1847" s="12" t="s">
        <v>452</v>
      </c>
      <c r="P1847" s="12">
        <v>5.3084960065632298E-4</v>
      </c>
      <c r="Q1847" s="12">
        <v>7.5510752847024595E-4</v>
      </c>
      <c r="R1847" s="12">
        <v>0.30090725806451601</v>
      </c>
      <c r="S1847" s="14">
        <v>26</v>
      </c>
      <c r="T1847" s="12">
        <v>6.7101080554002504E-2</v>
      </c>
      <c r="U1847" s="14">
        <v>1454</v>
      </c>
      <c r="V1847" s="14">
        <v>1</v>
      </c>
      <c r="W1847" s="12">
        <v>5.4999999999999997E-3</v>
      </c>
      <c r="X1847" s="12">
        <v>7.2601080554002495E-2</v>
      </c>
      <c r="Y1847" s="14">
        <v>1454</v>
      </c>
      <c r="Z1847" s="14">
        <v>26</v>
      </c>
      <c r="AA1847" s="12" t="s">
        <v>2367</v>
      </c>
    </row>
    <row r="1848" spans="1:27" ht="14.25" x14ac:dyDescent="0.45">
      <c r="A1848" s="12" t="s">
        <v>463</v>
      </c>
      <c r="B1848" s="12" t="s">
        <v>1986</v>
      </c>
      <c r="C1848" s="12" t="s">
        <v>1972</v>
      </c>
      <c r="D1848" s="12" t="s">
        <v>1995</v>
      </c>
      <c r="E1848" s="20">
        <v>30010</v>
      </c>
      <c r="F1848" s="20">
        <v>44194</v>
      </c>
      <c r="G1848" s="12">
        <v>23.3</v>
      </c>
      <c r="H1848" s="12">
        <v>12.233333333333301</v>
      </c>
      <c r="I1848" s="13">
        <v>1.9046321525885599</v>
      </c>
      <c r="J1848" s="12" t="s">
        <v>463</v>
      </c>
      <c r="K1848" s="14">
        <v>670</v>
      </c>
      <c r="L1848" s="14">
        <v>745</v>
      </c>
      <c r="M1848" s="14">
        <v>695</v>
      </c>
      <c r="N1848" s="12">
        <v>23.3</v>
      </c>
      <c r="O1848" s="12" t="s">
        <v>463</v>
      </c>
      <c r="P1848" s="12">
        <v>3.7481199076643398E-3</v>
      </c>
      <c r="Q1848" s="12">
        <v>8.6727943454495693E-3</v>
      </c>
      <c r="R1848" s="12">
        <v>0.18497983870967699</v>
      </c>
      <c r="S1848" s="14">
        <v>40</v>
      </c>
      <c r="T1848" s="12">
        <v>0.68260414312801099</v>
      </c>
      <c r="U1848" s="14">
        <v>725</v>
      </c>
      <c r="V1848" s="14">
        <v>2</v>
      </c>
      <c r="W1848" s="12">
        <v>5.5999999999999999E-3</v>
      </c>
      <c r="X1848" s="12">
        <v>0.68820414312801104</v>
      </c>
      <c r="Y1848" s="14">
        <v>725</v>
      </c>
      <c r="Z1848" s="14">
        <v>40</v>
      </c>
      <c r="AA1848" s="12" t="s">
        <v>2369</v>
      </c>
    </row>
    <row r="1849" spans="1:27" ht="14.25" x14ac:dyDescent="0.45">
      <c r="A1849" s="12" t="s">
        <v>478</v>
      </c>
      <c r="B1849" s="12" t="s">
        <v>1986</v>
      </c>
      <c r="C1849" s="12" t="s">
        <v>1972</v>
      </c>
      <c r="D1849" s="12" t="s">
        <v>1974</v>
      </c>
      <c r="E1849" s="20">
        <v>33605</v>
      </c>
      <c r="F1849" s="20">
        <v>43770</v>
      </c>
      <c r="G1849" s="12">
        <v>0.33</v>
      </c>
      <c r="H1849" s="12">
        <v>26.366666666666699</v>
      </c>
      <c r="I1849" s="13">
        <v>1.25158027812895E-2</v>
      </c>
      <c r="J1849" s="12" t="s">
        <v>478</v>
      </c>
      <c r="K1849" s="14">
        <v>1725</v>
      </c>
      <c r="L1849" s="14">
        <v>355</v>
      </c>
      <c r="M1849" s="14">
        <v>1726</v>
      </c>
      <c r="N1849" s="12">
        <v>0.33</v>
      </c>
      <c r="O1849" s="12" t="s">
        <v>478</v>
      </c>
      <c r="P1849" s="12">
        <v>5.3084960065632302E-5</v>
      </c>
      <c r="Q1849" s="12">
        <v>5.6991048608942701E-5</v>
      </c>
      <c r="R1849" s="12">
        <v>0.39868951612903197</v>
      </c>
      <c r="S1849" s="14">
        <v>30</v>
      </c>
      <c r="T1849" s="12">
        <v>5.5526265405201301E-3</v>
      </c>
      <c r="U1849" s="14">
        <v>1810</v>
      </c>
      <c r="V1849" s="14">
        <v>2</v>
      </c>
      <c r="W1849" s="12">
        <v>5.5999999999999999E-3</v>
      </c>
      <c r="X1849" s="12">
        <v>1.11526265405201E-2</v>
      </c>
      <c r="Y1849" s="14">
        <v>1808</v>
      </c>
      <c r="Z1849" s="14">
        <v>30</v>
      </c>
      <c r="AA1849" s="12" t="s">
        <v>2367</v>
      </c>
    </row>
    <row r="1850" spans="1:27" ht="14.25" x14ac:dyDescent="0.45">
      <c r="A1850" s="12" t="s">
        <v>491</v>
      </c>
      <c r="B1850" s="12" t="s">
        <v>2092</v>
      </c>
      <c r="C1850" s="12" t="s">
        <v>1972</v>
      </c>
      <c r="D1850" s="12" t="s">
        <v>1975</v>
      </c>
      <c r="E1850" s="20">
        <v>34362</v>
      </c>
      <c r="F1850" s="20">
        <v>44109</v>
      </c>
      <c r="G1850" s="12">
        <v>0.03</v>
      </c>
      <c r="H1850" s="12">
        <v>15.0666666666667</v>
      </c>
      <c r="I1850" s="13">
        <v>1.99115044247788E-3</v>
      </c>
      <c r="J1850" s="12" t="s">
        <v>491</v>
      </c>
      <c r="K1850" s="14">
        <v>1810</v>
      </c>
      <c r="L1850" s="14">
        <v>501</v>
      </c>
      <c r="M1850" s="14">
        <v>1895</v>
      </c>
      <c r="N1850" s="12">
        <v>0.03</v>
      </c>
      <c r="O1850" s="12" t="s">
        <v>491</v>
      </c>
      <c r="P1850" s="12">
        <v>4.8259054605120303E-6</v>
      </c>
      <c r="Q1850" s="12">
        <v>9.0667577332408894E-6</v>
      </c>
      <c r="R1850" s="12">
        <v>0.227822580645161</v>
      </c>
      <c r="S1850" s="14">
        <v>28</v>
      </c>
      <c r="T1850" s="12">
        <v>7.4764381309675701E-4</v>
      </c>
      <c r="U1850" s="14">
        <v>1925</v>
      </c>
      <c r="V1850" s="14">
        <v>1</v>
      </c>
      <c r="W1850" s="12">
        <v>5.4999999999999997E-3</v>
      </c>
      <c r="X1850" s="12">
        <v>6.2476438130967598E-3</v>
      </c>
      <c r="Y1850" s="14">
        <v>1925</v>
      </c>
      <c r="Z1850" s="14">
        <v>28</v>
      </c>
      <c r="AA1850" s="12" t="s">
        <v>2367</v>
      </c>
    </row>
    <row r="1851" spans="1:27" ht="14.25" x14ac:dyDescent="0.45">
      <c r="A1851" s="12" t="s">
        <v>493</v>
      </c>
      <c r="B1851" s="12" t="s">
        <v>1986</v>
      </c>
      <c r="C1851" s="12" t="s">
        <v>1972</v>
      </c>
      <c r="D1851" s="12" t="s">
        <v>1984</v>
      </c>
      <c r="E1851" s="20">
        <v>32862</v>
      </c>
      <c r="F1851" s="20">
        <v>44131</v>
      </c>
      <c r="G1851" s="12">
        <v>0.18</v>
      </c>
      <c r="H1851" s="12">
        <v>14.3333333333333</v>
      </c>
      <c r="I1851" s="13">
        <v>1.2558139534883699E-2</v>
      </c>
      <c r="J1851" s="12" t="s">
        <v>493</v>
      </c>
      <c r="K1851" s="14">
        <v>1723</v>
      </c>
      <c r="L1851" s="14">
        <v>584</v>
      </c>
      <c r="M1851" s="14">
        <v>1788</v>
      </c>
      <c r="N1851" s="12">
        <v>0.18</v>
      </c>
      <c r="O1851" s="12" t="s">
        <v>493</v>
      </c>
      <c r="P1851" s="12">
        <v>2.89554327630722E-5</v>
      </c>
      <c r="Q1851" s="12">
        <v>5.7183830168719302E-5</v>
      </c>
      <c r="R1851" s="12">
        <v>0.21673387096774199</v>
      </c>
      <c r="S1851" s="14">
        <v>33</v>
      </c>
      <c r="T1851" s="12">
        <v>4.6598181141601601E-3</v>
      </c>
      <c r="U1851" s="14">
        <v>1825</v>
      </c>
      <c r="V1851" s="14">
        <v>1</v>
      </c>
      <c r="W1851" s="12">
        <v>5.4999999999999997E-3</v>
      </c>
      <c r="X1851" s="12">
        <v>1.01598181141602E-2</v>
      </c>
      <c r="Y1851" s="14">
        <v>1825</v>
      </c>
      <c r="Z1851" s="14">
        <v>32</v>
      </c>
      <c r="AA1851" s="12" t="s">
        <v>2367</v>
      </c>
    </row>
    <row r="1852" spans="1:27" ht="14.25" x14ac:dyDescent="0.45">
      <c r="A1852" s="12" t="s">
        <v>494</v>
      </c>
      <c r="B1852" s="12" t="s">
        <v>2016</v>
      </c>
      <c r="C1852" s="12" t="s">
        <v>1972</v>
      </c>
      <c r="D1852" s="12" t="s">
        <v>2088</v>
      </c>
      <c r="E1852" s="20">
        <v>33341</v>
      </c>
      <c r="F1852" s="20">
        <v>44200</v>
      </c>
      <c r="G1852" s="12">
        <v>0.94</v>
      </c>
      <c r="H1852" s="12">
        <v>12.033333333333299</v>
      </c>
      <c r="I1852" s="13">
        <v>7.8116343490304704E-2</v>
      </c>
      <c r="J1852" s="12" t="s">
        <v>494</v>
      </c>
      <c r="K1852" s="14">
        <v>1545</v>
      </c>
      <c r="L1852" s="14">
        <v>767</v>
      </c>
      <c r="M1852" s="14">
        <v>1572</v>
      </c>
      <c r="N1852" s="12">
        <v>0.94</v>
      </c>
      <c r="O1852" s="12" t="s">
        <v>494</v>
      </c>
      <c r="P1852" s="12">
        <v>1.51211704429377E-4</v>
      </c>
      <c r="Q1852" s="12">
        <v>3.5570489618646302E-4</v>
      </c>
      <c r="R1852" s="12">
        <v>0.18195564516129001</v>
      </c>
      <c r="S1852" s="14">
        <v>31</v>
      </c>
      <c r="T1852" s="12">
        <v>2.79019949277555E-2</v>
      </c>
      <c r="U1852" s="14">
        <v>1639</v>
      </c>
      <c r="V1852" s="14">
        <v>1</v>
      </c>
      <c r="W1852" s="12">
        <v>5.4999999999999997E-3</v>
      </c>
      <c r="X1852" s="12">
        <v>3.3401994927755502E-2</v>
      </c>
      <c r="Y1852" s="14">
        <v>1640</v>
      </c>
      <c r="Z1852" s="14">
        <v>31</v>
      </c>
      <c r="AA1852" s="12" t="s">
        <v>2367</v>
      </c>
    </row>
    <row r="1853" spans="1:27" ht="14.25" x14ac:dyDescent="0.45">
      <c r="A1853" s="12" t="s">
        <v>503</v>
      </c>
      <c r="B1853" s="12" t="s">
        <v>1986</v>
      </c>
      <c r="C1853" s="12" t="s">
        <v>1972</v>
      </c>
      <c r="D1853" s="12" t="s">
        <v>1974</v>
      </c>
      <c r="E1853" s="20">
        <v>32234</v>
      </c>
      <c r="F1853" s="20">
        <v>44194</v>
      </c>
      <c r="G1853" s="12">
        <v>109.09</v>
      </c>
      <c r="H1853" s="12">
        <v>12.233333333333301</v>
      </c>
      <c r="I1853" s="13">
        <v>8.9174386920980897</v>
      </c>
      <c r="J1853" s="12" t="s">
        <v>503</v>
      </c>
      <c r="K1853" s="14">
        <v>325</v>
      </c>
      <c r="L1853" s="14">
        <v>745</v>
      </c>
      <c r="M1853" s="14">
        <v>371</v>
      </c>
      <c r="N1853" s="12">
        <v>109.09</v>
      </c>
      <c r="O1853" s="12" t="s">
        <v>503</v>
      </c>
      <c r="P1853" s="12">
        <v>1.7548600889575199E-2</v>
      </c>
      <c r="Q1853" s="12">
        <v>4.0605799791634901E-2</v>
      </c>
      <c r="R1853" s="12">
        <v>0.18497983870967699</v>
      </c>
      <c r="S1853" s="14">
        <v>34</v>
      </c>
      <c r="T1853" s="12">
        <v>3.19593502033625</v>
      </c>
      <c r="U1853" s="14">
        <v>361</v>
      </c>
      <c r="V1853" s="14">
        <v>7</v>
      </c>
      <c r="W1853" s="12">
        <v>6.1000000000000004E-3</v>
      </c>
      <c r="X1853" s="12">
        <v>3.20203502033625</v>
      </c>
      <c r="Y1853" s="14">
        <v>361</v>
      </c>
      <c r="Z1853" s="14">
        <v>34</v>
      </c>
      <c r="AA1853" s="12" t="s">
        <v>2367</v>
      </c>
    </row>
    <row r="1854" spans="1:27" ht="14.25" x14ac:dyDescent="0.45">
      <c r="A1854" s="12" t="s">
        <v>516</v>
      </c>
      <c r="B1854" s="12" t="s">
        <v>2164</v>
      </c>
      <c r="C1854" s="12" t="s">
        <v>1972</v>
      </c>
      <c r="D1854" s="12" t="s">
        <v>1974</v>
      </c>
      <c r="E1854" s="20">
        <v>35614</v>
      </c>
      <c r="F1854" s="20">
        <v>44194</v>
      </c>
      <c r="G1854" s="12">
        <v>0.18</v>
      </c>
      <c r="H1854" s="12">
        <v>12.233333333333301</v>
      </c>
      <c r="I1854" s="13">
        <v>1.4713896457765699E-2</v>
      </c>
      <c r="J1854" s="12" t="s">
        <v>516</v>
      </c>
      <c r="K1854" s="14">
        <v>1714</v>
      </c>
      <c r="L1854" s="14">
        <v>745</v>
      </c>
      <c r="M1854" s="14">
        <v>1788</v>
      </c>
      <c r="N1854" s="12">
        <v>0.18</v>
      </c>
      <c r="O1854" s="12" t="s">
        <v>516</v>
      </c>
      <c r="P1854" s="12">
        <v>2.89554327630722E-5</v>
      </c>
      <c r="Q1854" s="12">
        <v>6.7000127990597506E-5</v>
      </c>
      <c r="R1854" s="12">
        <v>0.18497983870967699</v>
      </c>
      <c r="S1854" s="14">
        <v>25</v>
      </c>
      <c r="T1854" s="12">
        <v>5.2733367280275497E-3</v>
      </c>
      <c r="U1854" s="14">
        <v>1815</v>
      </c>
      <c r="V1854" s="14">
        <v>1</v>
      </c>
      <c r="W1854" s="12">
        <v>5.4999999999999997E-3</v>
      </c>
      <c r="X1854" s="12">
        <v>1.07733367280276E-2</v>
      </c>
      <c r="Y1854" s="14">
        <v>1816</v>
      </c>
      <c r="Z1854" s="14">
        <v>25</v>
      </c>
      <c r="AA1854" s="12" t="s">
        <v>2367</v>
      </c>
    </row>
    <row r="1855" spans="1:27" ht="14.25" x14ac:dyDescent="0.45">
      <c r="A1855" s="12" t="s">
        <v>517</v>
      </c>
      <c r="B1855" s="12" t="s">
        <v>1986</v>
      </c>
      <c r="C1855" s="12" t="s">
        <v>1972</v>
      </c>
      <c r="D1855" s="12" t="s">
        <v>1995</v>
      </c>
      <c r="E1855" s="20">
        <v>35813</v>
      </c>
      <c r="F1855" s="20">
        <v>43768</v>
      </c>
      <c r="G1855" s="12">
        <v>52.77</v>
      </c>
      <c r="H1855" s="12">
        <v>26.433333333333302</v>
      </c>
      <c r="I1855" s="13">
        <v>1.9963430012610299</v>
      </c>
      <c r="J1855" s="12" t="s">
        <v>517</v>
      </c>
      <c r="K1855" s="14">
        <v>659</v>
      </c>
      <c r="L1855" s="14">
        <v>351</v>
      </c>
      <c r="M1855" s="14">
        <v>477</v>
      </c>
      <c r="N1855" s="12">
        <v>52.77</v>
      </c>
      <c r="O1855" s="12" t="s">
        <v>517</v>
      </c>
      <c r="P1855" s="12">
        <v>8.4887677050406608E-3</v>
      </c>
      <c r="Q1855" s="12">
        <v>9.0904021909865903E-3</v>
      </c>
      <c r="R1855" s="12">
        <v>0.39969758064516098</v>
      </c>
      <c r="S1855" s="14">
        <v>24</v>
      </c>
      <c r="T1855" s="12">
        <v>0.886478925875687</v>
      </c>
      <c r="U1855" s="14">
        <v>641</v>
      </c>
      <c r="V1855" s="14">
        <v>15</v>
      </c>
      <c r="W1855" s="12">
        <v>6.7999999999999996E-3</v>
      </c>
      <c r="X1855" s="12">
        <v>0.89327892587568702</v>
      </c>
      <c r="Y1855" s="14">
        <v>641</v>
      </c>
      <c r="Z1855" s="14">
        <v>24</v>
      </c>
      <c r="AA1855" s="12" t="s">
        <v>2370</v>
      </c>
    </row>
    <row r="1856" spans="1:27" ht="14.25" x14ac:dyDescent="0.45">
      <c r="A1856" s="12" t="s">
        <v>530</v>
      </c>
      <c r="B1856" s="12" t="s">
        <v>2021</v>
      </c>
      <c r="C1856" s="12" t="s">
        <v>1972</v>
      </c>
      <c r="D1856" s="12" t="s">
        <v>2167</v>
      </c>
      <c r="E1856" s="20">
        <v>36143</v>
      </c>
      <c r="F1856" s="20">
        <v>44202</v>
      </c>
      <c r="G1856" s="12">
        <v>0.03</v>
      </c>
      <c r="H1856" s="12">
        <v>11.966666666666701</v>
      </c>
      <c r="I1856" s="13">
        <v>2.50696378830084E-3</v>
      </c>
      <c r="J1856" s="12" t="s">
        <v>530</v>
      </c>
      <c r="K1856" s="14">
        <v>1804</v>
      </c>
      <c r="L1856" s="14">
        <v>784</v>
      </c>
      <c r="M1856" s="14">
        <v>1895</v>
      </c>
      <c r="N1856" s="12">
        <v>0.03</v>
      </c>
      <c r="O1856" s="12" t="s">
        <v>530</v>
      </c>
      <c r="P1856" s="12">
        <v>4.8259054605120303E-6</v>
      </c>
      <c r="Q1856" s="12">
        <v>1.1415527842409099E-5</v>
      </c>
      <c r="R1856" s="12">
        <v>0.180947580645161</v>
      </c>
      <c r="S1856" s="14">
        <v>24</v>
      </c>
      <c r="T1856" s="12">
        <v>8.9444194491977204E-4</v>
      </c>
      <c r="U1856" s="14">
        <v>1911</v>
      </c>
      <c r="V1856" s="14">
        <v>1</v>
      </c>
      <c r="W1856" s="12">
        <v>5.4999999999999997E-3</v>
      </c>
      <c r="X1856" s="12">
        <v>6.3944419449197699E-3</v>
      </c>
      <c r="Y1856" s="14">
        <v>1912</v>
      </c>
      <c r="Z1856" s="14">
        <v>23</v>
      </c>
      <c r="AA1856" s="12" t="s">
        <v>2370</v>
      </c>
    </row>
    <row r="1857" spans="1:27" ht="14.25" x14ac:dyDescent="0.45">
      <c r="A1857" s="12" t="s">
        <v>532</v>
      </c>
      <c r="B1857" s="12" t="s">
        <v>1986</v>
      </c>
      <c r="C1857" s="12" t="s">
        <v>1981</v>
      </c>
      <c r="D1857" s="12" t="s">
        <v>1982</v>
      </c>
      <c r="E1857" s="20">
        <v>36389</v>
      </c>
      <c r="F1857" s="20">
        <v>44175</v>
      </c>
      <c r="G1857" s="12">
        <v>10.75</v>
      </c>
      <c r="H1857" s="12">
        <v>12.866666666666699</v>
      </c>
      <c r="I1857" s="13">
        <v>0.83549222797927503</v>
      </c>
      <c r="J1857" s="12" t="s">
        <v>532</v>
      </c>
      <c r="K1857" s="14">
        <v>878</v>
      </c>
      <c r="L1857" s="14">
        <v>692</v>
      </c>
      <c r="M1857" s="14">
        <v>832</v>
      </c>
      <c r="N1857" s="12">
        <v>10.75</v>
      </c>
      <c r="O1857" s="12" t="s">
        <v>532</v>
      </c>
      <c r="P1857" s="12">
        <v>1.72928279001681E-3</v>
      </c>
      <c r="Q1857" s="12">
        <v>3.8044365998115299E-3</v>
      </c>
      <c r="R1857" s="12">
        <v>0.194556451612903</v>
      </c>
      <c r="S1857" s="14">
        <v>23</v>
      </c>
      <c r="T1857" s="12">
        <v>0.30262539211385098</v>
      </c>
      <c r="U1857" s="14">
        <v>914</v>
      </c>
      <c r="V1857" s="14">
        <v>3</v>
      </c>
      <c r="W1857" s="12">
        <v>5.7000000000000002E-3</v>
      </c>
      <c r="X1857" s="12">
        <v>0.30832539211385102</v>
      </c>
      <c r="Y1857" s="14">
        <v>914</v>
      </c>
      <c r="Z1857" s="14">
        <v>22</v>
      </c>
      <c r="AA1857" s="12" t="s">
        <v>2370</v>
      </c>
    </row>
    <row r="1858" spans="1:27" ht="14.25" x14ac:dyDescent="0.45">
      <c r="A1858" s="12" t="s">
        <v>533</v>
      </c>
      <c r="B1858" s="12" t="s">
        <v>2021</v>
      </c>
      <c r="C1858" s="12" t="s">
        <v>1996</v>
      </c>
      <c r="D1858" s="12" t="s">
        <v>2020</v>
      </c>
      <c r="E1858" s="20">
        <v>32927</v>
      </c>
      <c r="F1858" s="20">
        <v>44110</v>
      </c>
      <c r="G1858" s="12">
        <v>96.2</v>
      </c>
      <c r="H1858" s="12">
        <v>15.033333333333299</v>
      </c>
      <c r="I1858" s="13">
        <v>6.3991130820399098</v>
      </c>
      <c r="J1858" s="12" t="s">
        <v>533</v>
      </c>
      <c r="K1858" s="14">
        <v>400</v>
      </c>
      <c r="L1858" s="14">
        <v>515</v>
      </c>
      <c r="M1858" s="14">
        <v>391</v>
      </c>
      <c r="N1858" s="12">
        <v>96.2</v>
      </c>
      <c r="O1858" s="12" t="s">
        <v>533</v>
      </c>
      <c r="P1858" s="12">
        <v>1.54750701767086E-2</v>
      </c>
      <c r="Q1858" s="12">
        <v>2.91385355846174E-2</v>
      </c>
      <c r="R1858" s="12">
        <v>0.227318548387097</v>
      </c>
      <c r="S1858" s="14">
        <v>32</v>
      </c>
      <c r="T1858" s="12">
        <v>2.40147360566516</v>
      </c>
      <c r="U1858" s="14">
        <v>407</v>
      </c>
      <c r="V1858" s="14">
        <v>9</v>
      </c>
      <c r="W1858" s="12">
        <v>6.3E-3</v>
      </c>
      <c r="X1858" s="12">
        <v>2.40777360566516</v>
      </c>
      <c r="Y1858" s="14">
        <v>407</v>
      </c>
      <c r="Z1858" s="14">
        <v>32</v>
      </c>
      <c r="AA1858" s="12" t="s">
        <v>2367</v>
      </c>
    </row>
    <row r="1859" spans="1:27" ht="14.25" x14ac:dyDescent="0.45">
      <c r="A1859" s="12" t="s">
        <v>540</v>
      </c>
      <c r="B1859" s="12" t="s">
        <v>1986</v>
      </c>
      <c r="C1859" s="12" t="s">
        <v>1972</v>
      </c>
      <c r="D1859" s="12" t="s">
        <v>1974</v>
      </c>
      <c r="E1859" s="20">
        <v>33071</v>
      </c>
      <c r="F1859" s="20">
        <v>43843</v>
      </c>
      <c r="G1859" s="12">
        <v>135.37</v>
      </c>
      <c r="H1859" s="12">
        <v>23.933333333333302</v>
      </c>
      <c r="I1859" s="13">
        <v>5.6561281337047404</v>
      </c>
      <c r="J1859" s="12" t="s">
        <v>540</v>
      </c>
      <c r="K1859" s="14">
        <v>420</v>
      </c>
      <c r="L1859" s="14">
        <v>385</v>
      </c>
      <c r="M1859" s="14">
        <v>337</v>
      </c>
      <c r="N1859" s="12">
        <v>135.37</v>
      </c>
      <c r="O1859" s="12" t="s">
        <v>540</v>
      </c>
      <c r="P1859" s="12">
        <v>2.1776094072983799E-2</v>
      </c>
      <c r="Q1859" s="12">
        <v>2.5755333400448801E-2</v>
      </c>
      <c r="R1859" s="12">
        <v>0.36189516129032301</v>
      </c>
      <c r="S1859" s="14">
        <v>32</v>
      </c>
      <c r="T1859" s="12">
        <v>2.4263118652649398</v>
      </c>
      <c r="U1859" s="14">
        <v>404</v>
      </c>
      <c r="V1859" s="14">
        <v>40</v>
      </c>
      <c r="W1859" s="12">
        <v>8.2000000000000007E-3</v>
      </c>
      <c r="X1859" s="12">
        <v>2.4345118652649398</v>
      </c>
      <c r="Y1859" s="14">
        <v>403</v>
      </c>
      <c r="Z1859" s="14">
        <v>31</v>
      </c>
      <c r="AA1859" s="12" t="s">
        <v>2367</v>
      </c>
    </row>
    <row r="1860" spans="1:27" ht="14.25" x14ac:dyDescent="0.45">
      <c r="A1860" s="12" t="s">
        <v>550</v>
      </c>
      <c r="B1860" s="12" t="s">
        <v>2021</v>
      </c>
      <c r="C1860" s="12" t="s">
        <v>1972</v>
      </c>
      <c r="D1860" s="12" t="s">
        <v>1982</v>
      </c>
      <c r="E1860" s="20">
        <v>35433</v>
      </c>
      <c r="F1860" s="20">
        <v>44154</v>
      </c>
      <c r="G1860" s="12">
        <v>157.88999999999999</v>
      </c>
      <c r="H1860" s="12">
        <v>13.5666666666667</v>
      </c>
      <c r="I1860" s="13">
        <v>11.638083538083499</v>
      </c>
      <c r="J1860" s="12" t="s">
        <v>550</v>
      </c>
      <c r="K1860" s="14">
        <v>252</v>
      </c>
      <c r="L1860" s="14">
        <v>640</v>
      </c>
      <c r="M1860" s="14">
        <v>318</v>
      </c>
      <c r="N1860" s="12">
        <v>157.88999999999999</v>
      </c>
      <c r="O1860" s="12" t="s">
        <v>550</v>
      </c>
      <c r="P1860" s="12">
        <v>2.5398740438674801E-2</v>
      </c>
      <c r="Q1860" s="12">
        <v>5.29943301459979E-2</v>
      </c>
      <c r="R1860" s="12">
        <v>0.20514112903225801</v>
      </c>
      <c r="S1860" s="14">
        <v>25</v>
      </c>
      <c r="T1860" s="12">
        <v>4.2645984005751796</v>
      </c>
      <c r="U1860" s="14">
        <v>293</v>
      </c>
      <c r="V1860" s="14">
        <v>4</v>
      </c>
      <c r="W1860" s="12">
        <v>5.7999999999999996E-3</v>
      </c>
      <c r="X1860" s="12">
        <v>4.2703984005751696</v>
      </c>
      <c r="Y1860" s="14">
        <v>293</v>
      </c>
      <c r="Z1860" s="14">
        <v>25</v>
      </c>
      <c r="AA1860" s="12" t="s">
        <v>2367</v>
      </c>
    </row>
    <row r="1861" spans="1:27" ht="14.25" x14ac:dyDescent="0.45">
      <c r="A1861" s="12" t="s">
        <v>557</v>
      </c>
      <c r="B1861" s="12" t="s">
        <v>1986</v>
      </c>
      <c r="C1861" s="12" t="s">
        <v>1977</v>
      </c>
      <c r="D1861" s="12" t="s">
        <v>1974</v>
      </c>
      <c r="E1861" s="20">
        <v>32540</v>
      </c>
      <c r="F1861" s="20">
        <v>44158</v>
      </c>
      <c r="G1861" s="12">
        <v>196.06</v>
      </c>
      <c r="H1861" s="12">
        <v>13.4333333333333</v>
      </c>
      <c r="I1861" s="13">
        <v>14.5950372208437</v>
      </c>
      <c r="J1861" s="12" t="s">
        <v>557</v>
      </c>
      <c r="K1861" s="14">
        <v>195</v>
      </c>
      <c r="L1861" s="14">
        <v>642</v>
      </c>
      <c r="M1861" s="14">
        <v>290</v>
      </c>
      <c r="N1861" s="12">
        <v>196.06</v>
      </c>
      <c r="O1861" s="12" t="s">
        <v>557</v>
      </c>
      <c r="P1861" s="12">
        <v>3.1538900819599598E-2</v>
      </c>
      <c r="Q1861" s="12">
        <v>6.6458899220264905E-2</v>
      </c>
      <c r="R1861" s="12">
        <v>0.203125</v>
      </c>
      <c r="S1861" s="14">
        <v>33</v>
      </c>
      <c r="T1861" s="12">
        <v>5.3363899820015401</v>
      </c>
      <c r="U1861" s="14">
        <v>248</v>
      </c>
      <c r="V1861" s="14">
        <v>18</v>
      </c>
      <c r="W1861" s="12">
        <v>7.0000000000000001E-3</v>
      </c>
      <c r="X1861" s="12">
        <v>5.3433899820015398</v>
      </c>
      <c r="Y1861" s="14">
        <v>248</v>
      </c>
      <c r="Z1861" s="14">
        <v>33</v>
      </c>
      <c r="AA1861" s="12" t="s">
        <v>2367</v>
      </c>
    </row>
    <row r="1862" spans="1:27" ht="14.25" x14ac:dyDescent="0.45">
      <c r="A1862" s="12" t="s">
        <v>564</v>
      </c>
      <c r="B1862" s="12" t="s">
        <v>1986</v>
      </c>
      <c r="C1862" s="12" t="s">
        <v>1972</v>
      </c>
      <c r="D1862" s="12" t="s">
        <v>1984</v>
      </c>
      <c r="E1862" s="20">
        <v>34045</v>
      </c>
      <c r="F1862" s="20">
        <v>44126</v>
      </c>
      <c r="G1862" s="12">
        <v>52.92</v>
      </c>
      <c r="H1862" s="12">
        <v>14.5</v>
      </c>
      <c r="I1862" s="13">
        <v>3.64965517241379</v>
      </c>
      <c r="J1862" s="12" t="s">
        <v>564</v>
      </c>
      <c r="K1862" s="14">
        <v>509</v>
      </c>
      <c r="L1862" s="14">
        <v>568</v>
      </c>
      <c r="M1862" s="14">
        <v>475</v>
      </c>
      <c r="N1862" s="12">
        <v>52.92</v>
      </c>
      <c r="O1862" s="12" t="s">
        <v>564</v>
      </c>
      <c r="P1862" s="12">
        <v>8.5128972323432195E-3</v>
      </c>
      <c r="Q1862" s="12">
        <v>1.6618804160757499E-2</v>
      </c>
      <c r="R1862" s="12">
        <v>0.219254032258065</v>
      </c>
      <c r="S1862" s="14">
        <v>29</v>
      </c>
      <c r="T1862" s="12">
        <v>1.3579089062602101</v>
      </c>
      <c r="U1862" s="14">
        <v>517</v>
      </c>
      <c r="V1862" s="14">
        <v>3</v>
      </c>
      <c r="W1862" s="12">
        <v>5.7000000000000002E-3</v>
      </c>
      <c r="X1862" s="12">
        <v>1.3636089062602099</v>
      </c>
      <c r="Y1862" s="14">
        <v>517</v>
      </c>
      <c r="Z1862" s="14">
        <v>29</v>
      </c>
      <c r="AA1862" s="12" t="s">
        <v>2367</v>
      </c>
    </row>
    <row r="1863" spans="1:27" ht="14.25" x14ac:dyDescent="0.45">
      <c r="A1863" s="12" t="s">
        <v>565</v>
      </c>
      <c r="B1863" s="12" t="s">
        <v>1986</v>
      </c>
      <c r="C1863" s="12" t="s">
        <v>1972</v>
      </c>
      <c r="D1863" s="12" t="s">
        <v>1975</v>
      </c>
      <c r="E1863" s="20">
        <v>35845</v>
      </c>
      <c r="F1863" s="20">
        <v>44200</v>
      </c>
      <c r="G1863" s="12">
        <v>119.09</v>
      </c>
      <c r="H1863" s="12">
        <v>12.033333333333299</v>
      </c>
      <c r="I1863" s="13">
        <v>9.8966759002770104</v>
      </c>
      <c r="J1863" s="12" t="s">
        <v>565</v>
      </c>
      <c r="K1863" s="14">
        <v>298</v>
      </c>
      <c r="L1863" s="14">
        <v>767</v>
      </c>
      <c r="M1863" s="14">
        <v>355</v>
      </c>
      <c r="N1863" s="12">
        <v>119.09</v>
      </c>
      <c r="O1863" s="12" t="s">
        <v>565</v>
      </c>
      <c r="P1863" s="12">
        <v>1.9157236043079201E-2</v>
      </c>
      <c r="Q1863" s="12">
        <v>4.5064783071112599E-2</v>
      </c>
      <c r="R1863" s="12">
        <v>0.18195564516129001</v>
      </c>
      <c r="S1863" s="14">
        <v>24</v>
      </c>
      <c r="T1863" s="12">
        <v>3.5349452935600101</v>
      </c>
      <c r="U1863" s="14">
        <v>339</v>
      </c>
      <c r="V1863" s="14">
        <v>9</v>
      </c>
      <c r="W1863" s="12">
        <v>6.3E-3</v>
      </c>
      <c r="X1863" s="12">
        <v>3.5412452935600101</v>
      </c>
      <c r="Y1863" s="14">
        <v>339</v>
      </c>
      <c r="Z1863" s="14">
        <v>24</v>
      </c>
      <c r="AA1863" s="12" t="s">
        <v>2370</v>
      </c>
    </row>
    <row r="1864" spans="1:27" ht="14.25" x14ac:dyDescent="0.45">
      <c r="A1864" s="12" t="s">
        <v>569</v>
      </c>
      <c r="B1864" s="12" t="s">
        <v>2021</v>
      </c>
      <c r="C1864" s="12" t="s">
        <v>1972</v>
      </c>
      <c r="D1864" s="12" t="s">
        <v>1974</v>
      </c>
      <c r="E1864" s="20">
        <v>32244</v>
      </c>
      <c r="F1864" s="20">
        <v>43910</v>
      </c>
      <c r="G1864" s="12">
        <v>324.02</v>
      </c>
      <c r="H1864" s="12">
        <v>21.7</v>
      </c>
      <c r="I1864" s="13">
        <v>14.931797235023</v>
      </c>
      <c r="J1864" s="12" t="s">
        <v>569</v>
      </c>
      <c r="K1864" s="14">
        <v>189</v>
      </c>
      <c r="L1864" s="14">
        <v>437</v>
      </c>
      <c r="M1864" s="14">
        <v>208</v>
      </c>
      <c r="N1864" s="12">
        <v>324.02</v>
      </c>
      <c r="O1864" s="12" t="s">
        <v>569</v>
      </c>
      <c r="P1864" s="12">
        <v>5.21229962438369E-2</v>
      </c>
      <c r="Q1864" s="12">
        <v>6.7992345110474695E-2</v>
      </c>
      <c r="R1864" s="12">
        <v>0.328125</v>
      </c>
      <c r="S1864" s="14">
        <v>34</v>
      </c>
      <c r="T1864" s="12">
        <v>6.2041339285485497</v>
      </c>
      <c r="U1864" s="14">
        <v>213</v>
      </c>
      <c r="V1864" s="14">
        <v>16</v>
      </c>
      <c r="W1864" s="12">
        <v>6.8999999999999999E-3</v>
      </c>
      <c r="X1864" s="12">
        <v>6.2110339285485496</v>
      </c>
      <c r="Y1864" s="14">
        <v>213</v>
      </c>
      <c r="Z1864" s="14">
        <v>34</v>
      </c>
      <c r="AA1864" s="12" t="s">
        <v>2367</v>
      </c>
    </row>
    <row r="1865" spans="1:27" ht="14.25" x14ac:dyDescent="0.45">
      <c r="A1865" s="12" t="s">
        <v>575</v>
      </c>
      <c r="B1865" s="12" t="s">
        <v>1986</v>
      </c>
      <c r="C1865" s="12" t="s">
        <v>1977</v>
      </c>
      <c r="D1865" s="12" t="s">
        <v>2007</v>
      </c>
      <c r="E1865" s="20">
        <v>29112</v>
      </c>
      <c r="F1865" s="20">
        <v>44211</v>
      </c>
      <c r="G1865" s="12">
        <v>1.57</v>
      </c>
      <c r="H1865" s="12">
        <v>11.6666666666667</v>
      </c>
      <c r="I1865" s="13">
        <v>0.13457142857142901</v>
      </c>
      <c r="J1865" s="12" t="s">
        <v>575</v>
      </c>
      <c r="K1865" s="14">
        <v>1434</v>
      </c>
      <c r="L1865" s="14">
        <v>823</v>
      </c>
      <c r="M1865" s="14">
        <v>1474</v>
      </c>
      <c r="N1865" s="12">
        <v>1.57</v>
      </c>
      <c r="O1865" s="12" t="s">
        <v>575</v>
      </c>
      <c r="P1865" s="12">
        <v>2.5255571910012901E-4</v>
      </c>
      <c r="Q1865" s="12">
        <v>6.1277466264924403E-4</v>
      </c>
      <c r="R1865" s="12">
        <v>0.17641129032258099</v>
      </c>
      <c r="S1865" s="14">
        <v>43</v>
      </c>
      <c r="T1865" s="12">
        <v>4.7769255881832597E-2</v>
      </c>
      <c r="U1865" s="14">
        <v>1530</v>
      </c>
      <c r="V1865" s="14">
        <v>1</v>
      </c>
      <c r="W1865" s="12">
        <v>5.4999999999999997E-3</v>
      </c>
      <c r="X1865" s="12">
        <v>5.3269255881832601E-2</v>
      </c>
      <c r="Y1865" s="14">
        <v>1530</v>
      </c>
      <c r="Z1865" s="14">
        <v>42</v>
      </c>
      <c r="AA1865" s="12" t="s">
        <v>2369</v>
      </c>
    </row>
    <row r="1866" spans="1:27" ht="14.25" x14ac:dyDescent="0.45">
      <c r="A1866" s="12" t="s">
        <v>587</v>
      </c>
      <c r="B1866" s="12" t="s">
        <v>1986</v>
      </c>
      <c r="C1866" s="12" t="s">
        <v>1981</v>
      </c>
      <c r="D1866" s="12" t="s">
        <v>1982</v>
      </c>
      <c r="E1866" s="20">
        <v>36401</v>
      </c>
      <c r="F1866" s="20">
        <v>44121</v>
      </c>
      <c r="G1866" s="12">
        <v>203.47</v>
      </c>
      <c r="H1866" s="12">
        <v>14.6666666666667</v>
      </c>
      <c r="I1866" s="13">
        <v>13.872954545454499</v>
      </c>
      <c r="J1866" s="12" t="s">
        <v>587</v>
      </c>
      <c r="K1866" s="14">
        <v>208</v>
      </c>
      <c r="L1866" s="14">
        <v>547</v>
      </c>
      <c r="M1866" s="14">
        <v>285</v>
      </c>
      <c r="N1866" s="12">
        <v>203.47</v>
      </c>
      <c r="O1866" s="12" t="s">
        <v>587</v>
      </c>
      <c r="P1866" s="12">
        <v>3.2730899468346099E-2</v>
      </c>
      <c r="Q1866" s="12">
        <v>6.3170876104856097E-2</v>
      </c>
      <c r="R1866" s="12">
        <v>0.22177419354838701</v>
      </c>
      <c r="S1866" s="14">
        <v>23</v>
      </c>
      <c r="T1866" s="12">
        <v>5.1755884866164896</v>
      </c>
      <c r="U1866" s="14">
        <v>254</v>
      </c>
      <c r="V1866" s="14">
        <v>4</v>
      </c>
      <c r="W1866" s="12">
        <v>5.7999999999999996E-3</v>
      </c>
      <c r="X1866" s="12">
        <v>5.1813884866164797</v>
      </c>
      <c r="Y1866" s="14">
        <v>254</v>
      </c>
      <c r="Z1866" s="14">
        <v>22</v>
      </c>
      <c r="AA1866" s="12" t="s">
        <v>2370</v>
      </c>
    </row>
    <row r="1867" spans="1:27" ht="14.25" x14ac:dyDescent="0.45">
      <c r="A1867" s="12" t="s">
        <v>589</v>
      </c>
      <c r="B1867" s="12" t="s">
        <v>1986</v>
      </c>
      <c r="C1867" s="12" t="s">
        <v>1972</v>
      </c>
      <c r="D1867" s="12" t="s">
        <v>1993</v>
      </c>
      <c r="E1867" s="20">
        <v>34944</v>
      </c>
      <c r="F1867" s="20">
        <v>44132</v>
      </c>
      <c r="G1867" s="12">
        <v>23.35</v>
      </c>
      <c r="H1867" s="12">
        <v>14.3</v>
      </c>
      <c r="I1867" s="13">
        <v>1.63286713286713</v>
      </c>
      <c r="J1867" s="12" t="s">
        <v>589</v>
      </c>
      <c r="K1867" s="14">
        <v>715</v>
      </c>
      <c r="L1867" s="14">
        <v>588</v>
      </c>
      <c r="M1867" s="14">
        <v>694</v>
      </c>
      <c r="N1867" s="12">
        <v>23.35</v>
      </c>
      <c r="O1867" s="12" t="s">
        <v>589</v>
      </c>
      <c r="P1867" s="12">
        <v>3.7561630834318598E-3</v>
      </c>
      <c r="Q1867" s="12">
        <v>7.4353049314818198E-3</v>
      </c>
      <c r="R1867" s="12">
        <v>0.21622983870967699</v>
      </c>
      <c r="S1867" s="14">
        <v>27</v>
      </c>
      <c r="T1867" s="12">
        <v>0.60556267384630802</v>
      </c>
      <c r="U1867" s="14">
        <v>749</v>
      </c>
      <c r="V1867" s="14">
        <v>2</v>
      </c>
      <c r="W1867" s="12">
        <v>5.5999999999999999E-3</v>
      </c>
      <c r="X1867" s="12">
        <v>0.61116267384630896</v>
      </c>
      <c r="Y1867" s="14">
        <v>749</v>
      </c>
      <c r="Z1867" s="14">
        <v>26</v>
      </c>
      <c r="AA1867" s="12" t="s">
        <v>2367</v>
      </c>
    </row>
    <row r="1868" spans="1:27" ht="14.25" x14ac:dyDescent="0.45">
      <c r="A1868" s="12" t="s">
        <v>594</v>
      </c>
      <c r="B1868" s="12" t="s">
        <v>1986</v>
      </c>
      <c r="C1868" s="12" t="s">
        <v>1972</v>
      </c>
      <c r="D1868" s="12" t="s">
        <v>1974</v>
      </c>
      <c r="E1868" s="20">
        <v>34265</v>
      </c>
      <c r="F1868" s="20">
        <v>44137</v>
      </c>
      <c r="G1868" s="12">
        <v>329.57</v>
      </c>
      <c r="H1868" s="12">
        <v>14.133333333333301</v>
      </c>
      <c r="I1868" s="13">
        <v>23.318632075471701</v>
      </c>
      <c r="J1868" s="12" t="s">
        <v>594</v>
      </c>
      <c r="K1868" s="14">
        <v>115</v>
      </c>
      <c r="L1868" s="14">
        <v>599</v>
      </c>
      <c r="M1868" s="14">
        <v>205</v>
      </c>
      <c r="N1868" s="12">
        <v>329.57</v>
      </c>
      <c r="O1868" s="12" t="s">
        <v>594</v>
      </c>
      <c r="P1868" s="12">
        <v>5.3015788754031602E-2</v>
      </c>
      <c r="Q1868" s="12">
        <v>0.10618202582210499</v>
      </c>
      <c r="R1868" s="12">
        <v>0.21370967741935501</v>
      </c>
      <c r="S1868" s="14">
        <v>29</v>
      </c>
      <c r="T1868" s="12">
        <v>8.6244686921577607</v>
      </c>
      <c r="U1868" s="14">
        <v>126</v>
      </c>
      <c r="V1868" s="14">
        <v>28</v>
      </c>
      <c r="W1868" s="12">
        <v>7.6E-3</v>
      </c>
      <c r="X1868" s="12">
        <v>8.6320686921577607</v>
      </c>
      <c r="Y1868" s="14">
        <v>126</v>
      </c>
      <c r="Z1868" s="14">
        <v>28</v>
      </c>
      <c r="AA1868" s="12" t="s">
        <v>2367</v>
      </c>
    </row>
    <row r="1869" spans="1:27" ht="14.25" x14ac:dyDescent="0.45">
      <c r="A1869" s="12" t="s">
        <v>597</v>
      </c>
      <c r="B1869" s="12" t="s">
        <v>1986</v>
      </c>
      <c r="C1869" s="12" t="s">
        <v>1981</v>
      </c>
      <c r="D1869" s="12" t="s">
        <v>1974</v>
      </c>
      <c r="E1869" s="20">
        <v>34518</v>
      </c>
      <c r="F1869" s="20">
        <v>44186</v>
      </c>
      <c r="G1869" s="12">
        <v>0.28999999999999998</v>
      </c>
      <c r="H1869" s="12">
        <v>12.5</v>
      </c>
      <c r="I1869" s="13">
        <v>2.3199999999999998E-2</v>
      </c>
      <c r="J1869" s="12" t="s">
        <v>597</v>
      </c>
      <c r="K1869" s="14">
        <v>1676</v>
      </c>
      <c r="L1869" s="14">
        <v>723</v>
      </c>
      <c r="M1869" s="14">
        <v>1740</v>
      </c>
      <c r="N1869" s="12">
        <v>0.28999999999999998</v>
      </c>
      <c r="O1869" s="12" t="s">
        <v>597</v>
      </c>
      <c r="P1869" s="12">
        <v>4.6650419451616299E-5</v>
      </c>
      <c r="Q1869" s="12">
        <v>1.05641831437619E-4</v>
      </c>
      <c r="R1869" s="12">
        <v>0.18901209677419401</v>
      </c>
      <c r="S1869" s="14">
        <v>28</v>
      </c>
      <c r="T1869" s="12">
        <v>8.3520051942868097E-3</v>
      </c>
      <c r="U1869" s="14">
        <v>1772</v>
      </c>
      <c r="V1869" s="14">
        <v>1</v>
      </c>
      <c r="W1869" s="12">
        <v>5.4999999999999997E-3</v>
      </c>
      <c r="X1869" s="12">
        <v>1.3852005194286801E-2</v>
      </c>
      <c r="Y1869" s="14">
        <v>1773</v>
      </c>
      <c r="Z1869" s="14">
        <v>28</v>
      </c>
      <c r="AA1869" s="12" t="s">
        <v>2367</v>
      </c>
    </row>
    <row r="1870" spans="1:27" ht="14.25" x14ac:dyDescent="0.45">
      <c r="A1870" s="12" t="s">
        <v>602</v>
      </c>
      <c r="B1870" s="12" t="s">
        <v>2016</v>
      </c>
      <c r="C1870" s="12" t="s">
        <v>1974</v>
      </c>
      <c r="D1870" s="12" t="s">
        <v>1978</v>
      </c>
      <c r="E1870" s="20">
        <v>35315</v>
      </c>
      <c r="F1870" s="20">
        <v>44207</v>
      </c>
      <c r="G1870" s="12">
        <v>4.2300000000000004</v>
      </c>
      <c r="H1870" s="12">
        <v>11.8</v>
      </c>
      <c r="I1870" s="13">
        <v>0.35847457627118601</v>
      </c>
      <c r="J1870" s="12" t="s">
        <v>602</v>
      </c>
      <c r="K1870" s="14">
        <v>1179</v>
      </c>
      <c r="L1870" s="14">
        <v>798</v>
      </c>
      <c r="M1870" s="14">
        <v>1096</v>
      </c>
      <c r="N1870" s="12">
        <v>4.2300000000000004</v>
      </c>
      <c r="O1870" s="12" t="s">
        <v>602</v>
      </c>
      <c r="P1870" s="12">
        <v>6.8045266993219599E-4</v>
      </c>
      <c r="Q1870" s="12">
        <v>1.6323237397031301E-3</v>
      </c>
      <c r="R1870" s="12">
        <v>0.178427419354839</v>
      </c>
      <c r="S1870" s="14">
        <v>26</v>
      </c>
      <c r="T1870" s="12">
        <v>0.12753720885390299</v>
      </c>
      <c r="U1870" s="14">
        <v>1206</v>
      </c>
      <c r="V1870" s="14">
        <v>4</v>
      </c>
      <c r="W1870" s="12">
        <v>5.7999999999999996E-3</v>
      </c>
      <c r="X1870" s="12">
        <v>0.13333720885390299</v>
      </c>
      <c r="Y1870" s="14">
        <v>1206</v>
      </c>
      <c r="Z1870" s="14">
        <v>25</v>
      </c>
      <c r="AA1870" s="12" t="s">
        <v>2367</v>
      </c>
    </row>
    <row r="1871" spans="1:27" ht="14.25" x14ac:dyDescent="0.45">
      <c r="A1871" s="12" t="s">
        <v>611</v>
      </c>
      <c r="B1871" s="12" t="s">
        <v>2184</v>
      </c>
      <c r="C1871" s="12" t="s">
        <v>1972</v>
      </c>
      <c r="D1871" s="12" t="s">
        <v>1974</v>
      </c>
      <c r="E1871" s="20">
        <v>35103</v>
      </c>
      <c r="F1871" s="20">
        <v>44124</v>
      </c>
      <c r="G1871" s="12">
        <v>118.06</v>
      </c>
      <c r="H1871" s="12">
        <v>14.5666666666667</v>
      </c>
      <c r="I1871" s="13">
        <v>8.1048054919908505</v>
      </c>
      <c r="J1871" s="12" t="s">
        <v>611</v>
      </c>
      <c r="K1871" s="14">
        <v>346</v>
      </c>
      <c r="L1871" s="14">
        <v>557</v>
      </c>
      <c r="M1871" s="14">
        <v>357</v>
      </c>
      <c r="N1871" s="12">
        <v>118.06</v>
      </c>
      <c r="O1871" s="12" t="s">
        <v>611</v>
      </c>
      <c r="P1871" s="12">
        <v>1.8991546622268301E-2</v>
      </c>
      <c r="Q1871" s="12">
        <v>3.6905452397396003E-2</v>
      </c>
      <c r="R1871" s="12">
        <v>0.22026209677419401</v>
      </c>
      <c r="S1871" s="14">
        <v>26</v>
      </c>
      <c r="T1871" s="12">
        <v>3.0187737731723101</v>
      </c>
      <c r="U1871" s="14">
        <v>373</v>
      </c>
      <c r="V1871" s="14">
        <v>12</v>
      </c>
      <c r="W1871" s="12">
        <v>6.6E-3</v>
      </c>
      <c r="X1871" s="12">
        <v>3.0253737731723098</v>
      </c>
      <c r="Y1871" s="14">
        <v>373</v>
      </c>
      <c r="Z1871" s="14">
        <v>26</v>
      </c>
      <c r="AA1871" s="12" t="s">
        <v>2367</v>
      </c>
    </row>
    <row r="1872" spans="1:27" ht="14.25" x14ac:dyDescent="0.45">
      <c r="A1872" s="12" t="s">
        <v>638</v>
      </c>
      <c r="B1872" s="12" t="s">
        <v>1986</v>
      </c>
      <c r="C1872" s="12" t="s">
        <v>1981</v>
      </c>
      <c r="D1872" s="12" t="s">
        <v>2020</v>
      </c>
      <c r="E1872" s="20">
        <v>34931</v>
      </c>
      <c r="F1872" s="20">
        <v>44176</v>
      </c>
      <c r="G1872" s="12">
        <v>0.16</v>
      </c>
      <c r="H1872" s="12">
        <v>12.8333333333333</v>
      </c>
      <c r="I1872" s="13">
        <v>1.24675324675325E-2</v>
      </c>
      <c r="J1872" s="12" t="s">
        <v>638</v>
      </c>
      <c r="K1872" s="14">
        <v>1726</v>
      </c>
      <c r="L1872" s="14">
        <v>696</v>
      </c>
      <c r="M1872" s="14">
        <v>1801</v>
      </c>
      <c r="N1872" s="12">
        <v>0.16</v>
      </c>
      <c r="O1872" s="12" t="s">
        <v>638</v>
      </c>
      <c r="P1872" s="12">
        <v>2.5738162456064101E-5</v>
      </c>
      <c r="Q1872" s="12">
        <v>5.6771248421470199E-5</v>
      </c>
      <c r="R1872" s="12">
        <v>0.194052419354839</v>
      </c>
      <c r="S1872" s="14">
        <v>27</v>
      </c>
      <c r="T1872" s="12">
        <v>4.5133841184443E-3</v>
      </c>
      <c r="U1872" s="14">
        <v>1827</v>
      </c>
      <c r="V1872" s="14">
        <v>1</v>
      </c>
      <c r="W1872" s="12">
        <v>5.4999999999999997E-3</v>
      </c>
      <c r="X1872" s="12">
        <v>1.00133841184443E-2</v>
      </c>
      <c r="Y1872" s="14">
        <v>1827</v>
      </c>
      <c r="Z1872" s="14">
        <v>26</v>
      </c>
      <c r="AA1872" s="12" t="s">
        <v>2367</v>
      </c>
    </row>
    <row r="1873" spans="1:27" ht="14.25" x14ac:dyDescent="0.45">
      <c r="A1873" s="12" t="s">
        <v>678</v>
      </c>
      <c r="B1873" s="12" t="s">
        <v>1986</v>
      </c>
      <c r="C1873" s="12" t="s">
        <v>1981</v>
      </c>
      <c r="D1873" s="12" t="s">
        <v>1975</v>
      </c>
      <c r="E1873" s="20">
        <v>34838</v>
      </c>
      <c r="F1873" s="20">
        <v>44247</v>
      </c>
      <c r="G1873" s="12">
        <v>41.59</v>
      </c>
      <c r="H1873" s="12">
        <v>10.466666666666701</v>
      </c>
      <c r="I1873" s="13">
        <v>3.9735668789808898</v>
      </c>
      <c r="J1873" s="12" t="s">
        <v>678</v>
      </c>
      <c r="K1873" s="14">
        <v>498</v>
      </c>
      <c r="L1873" s="14">
        <v>951</v>
      </c>
      <c r="M1873" s="14">
        <v>509</v>
      </c>
      <c r="N1873" s="12">
        <v>41.59</v>
      </c>
      <c r="O1873" s="12" t="s">
        <v>678</v>
      </c>
      <c r="P1873" s="12">
        <v>6.6903136034231698E-3</v>
      </c>
      <c r="Q1873" s="12">
        <v>1.80937449325606E-2</v>
      </c>
      <c r="R1873" s="12">
        <v>0.15826612903225801</v>
      </c>
      <c r="S1873" s="14">
        <v>27</v>
      </c>
      <c r="T1873" s="12">
        <v>1.3817458184134099</v>
      </c>
      <c r="U1873" s="14">
        <v>511</v>
      </c>
      <c r="V1873" s="14">
        <v>4</v>
      </c>
      <c r="W1873" s="12">
        <v>5.7999999999999996E-3</v>
      </c>
      <c r="X1873" s="12">
        <v>1.38754581841341</v>
      </c>
      <c r="Y1873" s="14">
        <v>511</v>
      </c>
      <c r="Z1873" s="14">
        <v>27</v>
      </c>
      <c r="AA1873" s="12" t="s">
        <v>2367</v>
      </c>
    </row>
    <row r="1874" spans="1:27" ht="14.25" x14ac:dyDescent="0.45">
      <c r="A1874" s="12" t="s">
        <v>687</v>
      </c>
      <c r="B1874" s="12" t="s">
        <v>1986</v>
      </c>
      <c r="C1874" s="12" t="s">
        <v>1972</v>
      </c>
      <c r="D1874" s="12" t="s">
        <v>1975</v>
      </c>
      <c r="E1874" s="20">
        <v>36278</v>
      </c>
      <c r="F1874" s="20">
        <v>44218</v>
      </c>
      <c r="G1874" s="12">
        <v>314.85000000000002</v>
      </c>
      <c r="H1874" s="12">
        <v>11.4333333333333</v>
      </c>
      <c r="I1874" s="13">
        <v>27.5379008746356</v>
      </c>
      <c r="J1874" s="12" t="s">
        <v>687</v>
      </c>
      <c r="K1874" s="14">
        <v>91</v>
      </c>
      <c r="L1874" s="14">
        <v>855</v>
      </c>
      <c r="M1874" s="14">
        <v>212</v>
      </c>
      <c r="N1874" s="12">
        <v>314.85000000000002</v>
      </c>
      <c r="O1874" s="12" t="s">
        <v>687</v>
      </c>
      <c r="P1874" s="12">
        <v>5.0647877808073699E-2</v>
      </c>
      <c r="Q1874" s="12">
        <v>0.12539458113552199</v>
      </c>
      <c r="R1874" s="12">
        <v>0.172883064516129</v>
      </c>
      <c r="S1874" s="14">
        <v>23</v>
      </c>
      <c r="T1874" s="12">
        <v>9.73645673877291</v>
      </c>
      <c r="U1874" s="14">
        <v>112</v>
      </c>
      <c r="V1874" s="14">
        <v>21</v>
      </c>
      <c r="W1874" s="12">
        <v>7.1999999999999998E-3</v>
      </c>
      <c r="X1874" s="12">
        <v>9.7436567387729092</v>
      </c>
      <c r="Y1874" s="14">
        <v>112</v>
      </c>
      <c r="Z1874" s="14">
        <v>23</v>
      </c>
      <c r="AA1874" s="12" t="s">
        <v>2370</v>
      </c>
    </row>
    <row r="1875" spans="1:27" ht="14.25" x14ac:dyDescent="0.45">
      <c r="A1875" s="12" t="s">
        <v>735</v>
      </c>
      <c r="B1875" s="12" t="s">
        <v>2021</v>
      </c>
      <c r="C1875" s="12" t="s">
        <v>1972</v>
      </c>
      <c r="D1875" s="12" t="s">
        <v>1973</v>
      </c>
      <c r="E1875" s="20">
        <v>36087</v>
      </c>
      <c r="F1875" s="20">
        <v>44186</v>
      </c>
      <c r="G1875" s="12">
        <v>6.06</v>
      </c>
      <c r="H1875" s="12">
        <v>12.5</v>
      </c>
      <c r="I1875" s="13">
        <v>0.48480000000000001</v>
      </c>
      <c r="J1875" s="12" t="s">
        <v>735</v>
      </c>
      <c r="K1875" s="14">
        <v>1066</v>
      </c>
      <c r="L1875" s="14">
        <v>723</v>
      </c>
      <c r="M1875" s="14">
        <v>960</v>
      </c>
      <c r="N1875" s="12">
        <v>6.06</v>
      </c>
      <c r="O1875" s="12" t="s">
        <v>735</v>
      </c>
      <c r="P1875" s="12">
        <v>9.7483290302342895E-4</v>
      </c>
      <c r="Q1875" s="12">
        <v>2.2075499948688701E-3</v>
      </c>
      <c r="R1875" s="12">
        <v>0.18901209677419401</v>
      </c>
      <c r="S1875" s="14">
        <v>24</v>
      </c>
      <c r="T1875" s="12">
        <v>0.174528108542683</v>
      </c>
      <c r="U1875" s="14">
        <v>1101</v>
      </c>
      <c r="V1875" s="14">
        <v>2</v>
      </c>
      <c r="W1875" s="12">
        <v>5.5999999999999999E-3</v>
      </c>
      <c r="X1875" s="12">
        <v>0.18012810854268299</v>
      </c>
      <c r="Y1875" s="14">
        <v>1101</v>
      </c>
      <c r="Z1875" s="14">
        <v>23</v>
      </c>
      <c r="AA1875" s="12" t="s">
        <v>2370</v>
      </c>
    </row>
    <row r="1876" spans="1:27" ht="14.25" x14ac:dyDescent="0.45">
      <c r="A1876" s="12" t="s">
        <v>746</v>
      </c>
      <c r="B1876" s="12" t="s">
        <v>1986</v>
      </c>
      <c r="C1876" s="12" t="s">
        <v>1972</v>
      </c>
      <c r="D1876" s="12" t="s">
        <v>1997</v>
      </c>
      <c r="E1876" s="20">
        <v>33813</v>
      </c>
      <c r="F1876" s="20">
        <v>44179</v>
      </c>
      <c r="G1876" s="12">
        <v>6.31</v>
      </c>
      <c r="H1876" s="12">
        <v>12.733333333333301</v>
      </c>
      <c r="I1876" s="13">
        <v>0.49554973821989501</v>
      </c>
      <c r="J1876" s="12" t="s">
        <v>746</v>
      </c>
      <c r="K1876" s="14">
        <v>1056</v>
      </c>
      <c r="L1876" s="14">
        <v>700</v>
      </c>
      <c r="M1876" s="14">
        <v>949</v>
      </c>
      <c r="N1876" s="12">
        <v>6.31</v>
      </c>
      <c r="O1876" s="12" t="s">
        <v>746</v>
      </c>
      <c r="P1876" s="12">
        <v>1.0150487818610301E-3</v>
      </c>
      <c r="Q1876" s="12">
        <v>2.2564992204302798E-3</v>
      </c>
      <c r="R1876" s="12">
        <v>0.19254032258064499</v>
      </c>
      <c r="S1876" s="14">
        <v>30</v>
      </c>
      <c r="T1876" s="12">
        <v>0.17909553059668101</v>
      </c>
      <c r="U1876" s="14">
        <v>1088</v>
      </c>
      <c r="V1876" s="14">
        <v>2</v>
      </c>
      <c r="W1876" s="12">
        <v>5.5999999999999999E-3</v>
      </c>
      <c r="X1876" s="12">
        <v>0.18469553059668101</v>
      </c>
      <c r="Y1876" s="14">
        <v>1088</v>
      </c>
      <c r="Z1876" s="14">
        <v>29</v>
      </c>
      <c r="AA1876" s="12" t="s">
        <v>2367</v>
      </c>
    </row>
    <row r="1877" spans="1:27" ht="14.25" x14ac:dyDescent="0.45">
      <c r="A1877" s="12" t="s">
        <v>760</v>
      </c>
      <c r="B1877" s="12" t="s">
        <v>2021</v>
      </c>
      <c r="C1877" s="12" t="s">
        <v>1972</v>
      </c>
      <c r="D1877" s="12" t="s">
        <v>2007</v>
      </c>
      <c r="E1877" s="20">
        <v>35856</v>
      </c>
      <c r="F1877" s="20">
        <v>44200</v>
      </c>
      <c r="G1877" s="12">
        <v>321.06</v>
      </c>
      <c r="H1877" s="12">
        <v>12.033333333333299</v>
      </c>
      <c r="I1877" s="13">
        <v>26.680886426592799</v>
      </c>
      <c r="J1877" s="12" t="s">
        <v>760</v>
      </c>
      <c r="K1877" s="14">
        <v>97</v>
      </c>
      <c r="L1877" s="14">
        <v>767</v>
      </c>
      <c r="M1877" s="14">
        <v>209</v>
      </c>
      <c r="N1877" s="12">
        <v>321.06</v>
      </c>
      <c r="O1877" s="12" t="s">
        <v>760</v>
      </c>
      <c r="P1877" s="12">
        <v>5.1646840238399702E-2</v>
      </c>
      <c r="Q1877" s="12">
        <v>0.121492142520878</v>
      </c>
      <c r="R1877" s="12">
        <v>0.18195564516129001</v>
      </c>
      <c r="S1877" s="14">
        <v>24</v>
      </c>
      <c r="T1877" s="12">
        <v>9.5300154164948907</v>
      </c>
      <c r="U1877" s="14">
        <v>113</v>
      </c>
      <c r="V1877" s="14">
        <v>18</v>
      </c>
      <c r="W1877" s="12">
        <v>7.0000000000000001E-3</v>
      </c>
      <c r="X1877" s="12">
        <v>9.5370154164948904</v>
      </c>
      <c r="Y1877" s="14">
        <v>113</v>
      </c>
      <c r="Z1877" s="14">
        <v>24</v>
      </c>
      <c r="AA1877" s="12" t="s">
        <v>2370</v>
      </c>
    </row>
    <row r="1878" spans="1:27" ht="14.25" x14ac:dyDescent="0.45">
      <c r="A1878" s="12" t="s">
        <v>768</v>
      </c>
      <c r="B1878" s="12" t="s">
        <v>1986</v>
      </c>
      <c r="C1878" s="12" t="s">
        <v>1981</v>
      </c>
      <c r="D1878" s="12" t="s">
        <v>1978</v>
      </c>
      <c r="E1878" s="20">
        <v>37190</v>
      </c>
      <c r="F1878" s="20">
        <v>44181</v>
      </c>
      <c r="G1878" s="12">
        <v>56.23</v>
      </c>
      <c r="H1878" s="12">
        <v>12.6666666666667</v>
      </c>
      <c r="I1878" s="13">
        <v>4.4392105263157902</v>
      </c>
      <c r="J1878" s="12" t="s">
        <v>768</v>
      </c>
      <c r="K1878" s="14">
        <v>472</v>
      </c>
      <c r="L1878" s="14">
        <v>712</v>
      </c>
      <c r="M1878" s="14">
        <v>466</v>
      </c>
      <c r="N1878" s="12">
        <v>56.23</v>
      </c>
      <c r="O1878" s="12" t="s">
        <v>768</v>
      </c>
      <c r="P1878" s="12">
        <v>9.0453554681530404E-3</v>
      </c>
      <c r="Q1878" s="12">
        <v>2.0214065954187801E-2</v>
      </c>
      <c r="R1878" s="12">
        <v>0.19153225806451599</v>
      </c>
      <c r="S1878" s="14">
        <v>21</v>
      </c>
      <c r="T1878" s="12">
        <v>1.60257995219248</v>
      </c>
      <c r="U1878" s="14">
        <v>478</v>
      </c>
      <c r="V1878" s="14">
        <v>6</v>
      </c>
      <c r="W1878" s="12">
        <v>6.0000000000000001E-3</v>
      </c>
      <c r="X1878" s="12">
        <v>1.60857995219248</v>
      </c>
      <c r="Y1878" s="14">
        <v>478</v>
      </c>
      <c r="Z1878" s="14">
        <v>20</v>
      </c>
      <c r="AA1878" s="12" t="s">
        <v>2370</v>
      </c>
    </row>
    <row r="1879" spans="1:27" ht="14.25" x14ac:dyDescent="0.45">
      <c r="A1879" s="12" t="s">
        <v>778</v>
      </c>
      <c r="B1879" s="12" t="s">
        <v>1986</v>
      </c>
      <c r="C1879" s="12" t="s">
        <v>1996</v>
      </c>
      <c r="D1879" s="12" t="s">
        <v>1993</v>
      </c>
      <c r="E1879" s="20">
        <v>31522</v>
      </c>
      <c r="F1879" s="20">
        <v>44203</v>
      </c>
      <c r="G1879" s="12">
        <v>2</v>
      </c>
      <c r="H1879" s="12">
        <v>11.9333333333333</v>
      </c>
      <c r="I1879" s="13">
        <v>0.16759776536312801</v>
      </c>
      <c r="J1879" s="12" t="s">
        <v>778</v>
      </c>
      <c r="K1879" s="14">
        <v>1385</v>
      </c>
      <c r="L1879" s="14">
        <v>787</v>
      </c>
      <c r="M1879" s="14">
        <v>1359</v>
      </c>
      <c r="N1879" s="12">
        <v>2</v>
      </c>
      <c r="O1879" s="12" t="s">
        <v>778</v>
      </c>
      <c r="P1879" s="12">
        <v>3.2172703070080199E-4</v>
      </c>
      <c r="Q1879" s="12">
        <v>7.6316098611264101E-4</v>
      </c>
      <c r="R1879" s="12">
        <v>0.180443548387097</v>
      </c>
      <c r="S1879" s="14">
        <v>36</v>
      </c>
      <c r="T1879" s="12">
        <v>5.9762325283320102E-2</v>
      </c>
      <c r="U1879" s="14">
        <v>1482</v>
      </c>
      <c r="V1879" s="14">
        <v>1</v>
      </c>
      <c r="W1879" s="12">
        <v>5.4999999999999997E-3</v>
      </c>
      <c r="X1879" s="12">
        <v>6.52623252833201E-2</v>
      </c>
      <c r="Y1879" s="14">
        <v>1482</v>
      </c>
      <c r="Z1879" s="14">
        <v>36</v>
      </c>
      <c r="AA1879" s="12" t="s">
        <v>2369</v>
      </c>
    </row>
    <row r="1880" spans="1:27" ht="14.25" x14ac:dyDescent="0.45">
      <c r="A1880" s="12" t="s">
        <v>780</v>
      </c>
      <c r="B1880" s="12" t="s">
        <v>1986</v>
      </c>
      <c r="C1880" s="12" t="s">
        <v>1996</v>
      </c>
      <c r="D1880" s="12" t="s">
        <v>2020</v>
      </c>
      <c r="E1880" s="20">
        <v>31091</v>
      </c>
      <c r="F1880" s="20">
        <v>43780</v>
      </c>
      <c r="G1880" s="12">
        <v>147.47999999999999</v>
      </c>
      <c r="H1880" s="12">
        <v>26.033333333333299</v>
      </c>
      <c r="I1880" s="13">
        <v>5.6650448143405896</v>
      </c>
      <c r="J1880" s="12" t="s">
        <v>780</v>
      </c>
      <c r="K1880" s="14">
        <v>419</v>
      </c>
      <c r="L1880" s="14">
        <v>365</v>
      </c>
      <c r="M1880" s="14">
        <v>324</v>
      </c>
      <c r="N1880" s="12">
        <v>147.47999999999999</v>
      </c>
      <c r="O1880" s="12" t="s">
        <v>780</v>
      </c>
      <c r="P1880" s="12">
        <v>2.3724151243877101E-2</v>
      </c>
      <c r="Q1880" s="12">
        <v>2.57959357484107E-2</v>
      </c>
      <c r="R1880" s="12">
        <v>0.39364919354838701</v>
      </c>
      <c r="S1880" s="14">
        <v>37</v>
      </c>
      <c r="T1880" s="12">
        <v>2.5019016559210598</v>
      </c>
      <c r="U1880" s="14">
        <v>401</v>
      </c>
      <c r="V1880" s="14">
        <v>14</v>
      </c>
      <c r="W1880" s="12">
        <v>6.7000000000000002E-3</v>
      </c>
      <c r="X1880" s="12">
        <v>2.5086016559210602</v>
      </c>
      <c r="Y1880" s="14">
        <v>401</v>
      </c>
      <c r="Z1880" s="14">
        <v>37</v>
      </c>
      <c r="AA1880" s="12" t="s">
        <v>2369</v>
      </c>
    </row>
    <row r="1881" spans="1:27" ht="14.25" x14ac:dyDescent="0.45">
      <c r="A1881" s="12" t="s">
        <v>785</v>
      </c>
      <c r="B1881" s="12" t="s">
        <v>2211</v>
      </c>
      <c r="C1881" s="12" t="s">
        <v>1981</v>
      </c>
      <c r="D1881" s="12" t="s">
        <v>1973</v>
      </c>
      <c r="E1881" s="20">
        <v>35531</v>
      </c>
      <c r="F1881" s="20">
        <v>44182</v>
      </c>
      <c r="G1881" s="12">
        <v>203.43</v>
      </c>
      <c r="H1881" s="12">
        <v>12.633333333333301</v>
      </c>
      <c r="I1881" s="13">
        <v>16.102638522427402</v>
      </c>
      <c r="J1881" s="12" t="s">
        <v>785</v>
      </c>
      <c r="K1881" s="14">
        <v>175</v>
      </c>
      <c r="L1881" s="14">
        <v>714</v>
      </c>
      <c r="M1881" s="14">
        <v>286</v>
      </c>
      <c r="N1881" s="12">
        <v>203.43</v>
      </c>
      <c r="O1881" s="12" t="s">
        <v>785</v>
      </c>
      <c r="P1881" s="12">
        <v>3.2724464927732101E-2</v>
      </c>
      <c r="Q1881" s="12">
        <v>7.3323802779620403E-2</v>
      </c>
      <c r="R1881" s="12">
        <v>0.19102822580645201</v>
      </c>
      <c r="S1881" s="14">
        <v>25</v>
      </c>
      <c r="T1881" s="12">
        <v>5.8099051085162303</v>
      </c>
      <c r="U1881" s="14">
        <v>228</v>
      </c>
      <c r="V1881" s="14">
        <v>6</v>
      </c>
      <c r="W1881" s="12">
        <v>6.0000000000000001E-3</v>
      </c>
      <c r="X1881" s="12">
        <v>5.8159051085162297</v>
      </c>
      <c r="Y1881" s="14">
        <v>228</v>
      </c>
      <c r="Z1881" s="14">
        <v>25</v>
      </c>
      <c r="AA1881" s="12" t="s">
        <v>2367</v>
      </c>
    </row>
    <row r="1882" spans="1:27" ht="14.25" x14ac:dyDescent="0.45">
      <c r="A1882" s="12" t="s">
        <v>799</v>
      </c>
      <c r="B1882" s="12" t="s">
        <v>2021</v>
      </c>
      <c r="C1882" s="12" t="s">
        <v>1972</v>
      </c>
      <c r="D1882" s="12" t="s">
        <v>2007</v>
      </c>
      <c r="E1882" s="20">
        <v>33669</v>
      </c>
      <c r="F1882" s="20">
        <v>44280</v>
      </c>
      <c r="G1882" s="12">
        <v>873.35</v>
      </c>
      <c r="H1882" s="12">
        <v>9.3666666666666707</v>
      </c>
      <c r="I1882" s="13">
        <v>93.2402135231317</v>
      </c>
      <c r="J1882" s="12" t="s">
        <v>799</v>
      </c>
      <c r="K1882" s="14">
        <v>18</v>
      </c>
      <c r="L1882" s="14">
        <v>1063</v>
      </c>
      <c r="M1882" s="14">
        <v>66</v>
      </c>
      <c r="N1882" s="12">
        <v>873.35</v>
      </c>
      <c r="O1882" s="12" t="s">
        <v>799</v>
      </c>
      <c r="P1882" s="12">
        <v>0.140490151131273</v>
      </c>
      <c r="Q1882" s="12">
        <v>0.424571850009409</v>
      </c>
      <c r="R1882" s="12">
        <v>0.141633064516129</v>
      </c>
      <c r="S1882" s="14">
        <v>30</v>
      </c>
      <c r="T1882" s="12">
        <v>31.804121293010802</v>
      </c>
      <c r="U1882" s="14">
        <v>26</v>
      </c>
      <c r="V1882" s="14">
        <v>14</v>
      </c>
      <c r="W1882" s="12">
        <v>6.7000000000000002E-3</v>
      </c>
      <c r="X1882" s="12">
        <v>31.8108212930108</v>
      </c>
      <c r="Y1882" s="14">
        <v>26</v>
      </c>
      <c r="Z1882" s="14">
        <v>30</v>
      </c>
      <c r="AA1882" s="12" t="s">
        <v>2367</v>
      </c>
    </row>
    <row r="1883" spans="1:27" ht="14.25" x14ac:dyDescent="0.45">
      <c r="A1883" s="12" t="s">
        <v>807</v>
      </c>
      <c r="B1883" s="12" t="s">
        <v>2021</v>
      </c>
      <c r="C1883" s="12" t="s">
        <v>1972</v>
      </c>
      <c r="D1883" s="12" t="s">
        <v>1974</v>
      </c>
      <c r="E1883" s="20">
        <v>35396</v>
      </c>
      <c r="F1883" s="20">
        <v>44279</v>
      </c>
      <c r="G1883" s="12">
        <v>2</v>
      </c>
      <c r="H1883" s="12">
        <v>9.4</v>
      </c>
      <c r="I1883" s="13">
        <v>0.21276595744680901</v>
      </c>
      <c r="J1883" s="12" t="s">
        <v>807</v>
      </c>
      <c r="K1883" s="14">
        <v>1332</v>
      </c>
      <c r="L1883" s="14">
        <v>1056</v>
      </c>
      <c r="M1883" s="14">
        <v>1359</v>
      </c>
      <c r="N1883" s="12">
        <v>2</v>
      </c>
      <c r="O1883" s="12" t="s">
        <v>807</v>
      </c>
      <c r="P1883" s="12">
        <v>3.2172703070080199E-4</v>
      </c>
      <c r="Q1883" s="12">
        <v>9.6883557811462901E-4</v>
      </c>
      <c r="R1883" s="12">
        <v>0.14213709677419401</v>
      </c>
      <c r="S1883" s="14">
        <v>26</v>
      </c>
      <c r="T1883" s="12">
        <v>7.2616987283444401E-2</v>
      </c>
      <c r="U1883" s="14">
        <v>1428</v>
      </c>
      <c r="V1883" s="14">
        <v>1</v>
      </c>
      <c r="W1883" s="12">
        <v>5.4999999999999997E-3</v>
      </c>
      <c r="X1883" s="12">
        <v>7.8116987283444406E-2</v>
      </c>
      <c r="Y1883" s="14">
        <v>1428</v>
      </c>
      <c r="Z1883" s="14">
        <v>25</v>
      </c>
      <c r="AA1883" s="12" t="s">
        <v>2367</v>
      </c>
    </row>
    <row r="1884" spans="1:27" ht="14.25" x14ac:dyDescent="0.45">
      <c r="A1884" s="12" t="s">
        <v>814</v>
      </c>
      <c r="B1884" s="12" t="s">
        <v>1986</v>
      </c>
      <c r="C1884" s="12" t="s">
        <v>1981</v>
      </c>
      <c r="D1884" s="12" t="s">
        <v>1982</v>
      </c>
      <c r="E1884" s="20">
        <v>37302</v>
      </c>
      <c r="F1884" s="20">
        <v>44194</v>
      </c>
      <c r="G1884" s="12">
        <v>18.95</v>
      </c>
      <c r="H1884" s="12">
        <v>12.233333333333301</v>
      </c>
      <c r="I1884" s="13">
        <v>1.5490463215258901</v>
      </c>
      <c r="J1884" s="12" t="s">
        <v>814</v>
      </c>
      <c r="K1884" s="14">
        <v>726</v>
      </c>
      <c r="L1884" s="14">
        <v>745</v>
      </c>
      <c r="M1884" s="14">
        <v>729</v>
      </c>
      <c r="N1884" s="12">
        <v>18.95</v>
      </c>
      <c r="O1884" s="12" t="s">
        <v>814</v>
      </c>
      <c r="P1884" s="12">
        <v>3.0483636158900999E-3</v>
      </c>
      <c r="Q1884" s="12">
        <v>7.0536245856768001E-3</v>
      </c>
      <c r="R1884" s="12">
        <v>0.18497983870967699</v>
      </c>
      <c r="S1884" s="14">
        <v>20</v>
      </c>
      <c r="T1884" s="12">
        <v>0.55516517220067796</v>
      </c>
      <c r="U1884" s="14">
        <v>767</v>
      </c>
      <c r="V1884" s="14">
        <v>5</v>
      </c>
      <c r="W1884" s="12">
        <v>5.8999999999999999E-3</v>
      </c>
      <c r="X1884" s="12">
        <v>0.56106517220067798</v>
      </c>
      <c r="Y1884" s="14">
        <v>767</v>
      </c>
      <c r="Z1884" s="14">
        <v>20</v>
      </c>
      <c r="AA1884" s="12" t="s">
        <v>2370</v>
      </c>
    </row>
    <row r="1885" spans="1:27" ht="14.25" x14ac:dyDescent="0.45">
      <c r="A1885" s="12" t="s">
        <v>815</v>
      </c>
      <c r="B1885" s="12" t="s">
        <v>2215</v>
      </c>
      <c r="C1885" s="12" t="s">
        <v>2215</v>
      </c>
      <c r="D1885" s="12" t="s">
        <v>2215</v>
      </c>
      <c r="E1885" s="20">
        <v>44306</v>
      </c>
      <c r="F1885" s="20">
        <v>44306</v>
      </c>
      <c r="G1885" s="12">
        <v>3.41</v>
      </c>
      <c r="H1885" s="12">
        <v>8.5</v>
      </c>
      <c r="I1885" s="13">
        <v>0.40117647058823502</v>
      </c>
      <c r="J1885" s="12" t="s">
        <v>815</v>
      </c>
      <c r="K1885" s="14">
        <v>1138</v>
      </c>
      <c r="L1885" s="14">
        <v>1204</v>
      </c>
      <c r="M1885" s="14">
        <v>1185</v>
      </c>
      <c r="N1885" s="12">
        <v>3.41</v>
      </c>
      <c r="O1885" s="12" t="s">
        <v>815</v>
      </c>
      <c r="P1885" s="12">
        <v>5.4854458734486695E-4</v>
      </c>
      <c r="Q1885" s="12">
        <v>1.8267679776992E-3</v>
      </c>
      <c r="R1885" s="12">
        <v>0.12852822580645201</v>
      </c>
      <c r="S1885" s="14">
        <v>1</v>
      </c>
      <c r="T1885" s="12">
        <v>0.134743420631632</v>
      </c>
      <c r="U1885" s="14">
        <v>1196</v>
      </c>
      <c r="V1885" s="14">
        <v>2</v>
      </c>
      <c r="W1885" s="12">
        <v>5.5999999999999999E-3</v>
      </c>
      <c r="X1885" s="12">
        <v>0.14034342063163199</v>
      </c>
      <c r="Y1885" s="14">
        <v>1195</v>
      </c>
      <c r="Z1885" s="14">
        <v>1</v>
      </c>
      <c r="AA1885" s="12" t="s">
        <v>2372</v>
      </c>
    </row>
    <row r="1886" spans="1:27" ht="14.25" x14ac:dyDescent="0.45">
      <c r="A1886" s="12" t="s">
        <v>818</v>
      </c>
      <c r="B1886" s="12" t="s">
        <v>1986</v>
      </c>
      <c r="C1886" s="12" t="s">
        <v>1972</v>
      </c>
      <c r="D1886" s="12" t="s">
        <v>1973</v>
      </c>
      <c r="E1886" s="20">
        <v>34628</v>
      </c>
      <c r="F1886" s="20">
        <v>43558</v>
      </c>
      <c r="G1886" s="12">
        <v>29.22</v>
      </c>
      <c r="H1886" s="12">
        <v>33.433333333333302</v>
      </c>
      <c r="I1886" s="13">
        <v>0.87397806580259196</v>
      </c>
      <c r="J1886" s="12" t="s">
        <v>818</v>
      </c>
      <c r="K1886" s="14">
        <v>866</v>
      </c>
      <c r="L1886" s="14">
        <v>236</v>
      </c>
      <c r="M1886" s="14">
        <v>575</v>
      </c>
      <c r="N1886" s="12">
        <v>29.22</v>
      </c>
      <c r="O1886" s="12" t="s">
        <v>818</v>
      </c>
      <c r="P1886" s="12">
        <v>4.7004319185387101E-3</v>
      </c>
      <c r="Q1886" s="12">
        <v>3.9796829098143896E-3</v>
      </c>
      <c r="R1886" s="12">
        <v>0.50554435483870996</v>
      </c>
      <c r="S1886" s="14">
        <v>28</v>
      </c>
      <c r="T1886" s="12">
        <v>0.42499637880860103</v>
      </c>
      <c r="U1886" s="14">
        <v>808</v>
      </c>
      <c r="V1886" s="14">
        <v>8</v>
      </c>
      <c r="W1886" s="12">
        <v>6.1999999999999998E-3</v>
      </c>
      <c r="X1886" s="12">
        <v>0.43119637880860101</v>
      </c>
      <c r="Y1886" s="14">
        <v>808</v>
      </c>
      <c r="Z1886" s="14">
        <v>27</v>
      </c>
      <c r="AA1886" s="12" t="s">
        <v>2367</v>
      </c>
    </row>
    <row r="1887" spans="1:27" ht="14.25" x14ac:dyDescent="0.45">
      <c r="A1887" s="12" t="s">
        <v>826</v>
      </c>
      <c r="B1887" s="12" t="s">
        <v>1986</v>
      </c>
      <c r="C1887" s="12" t="s">
        <v>1972</v>
      </c>
      <c r="D1887" s="12" t="s">
        <v>1974</v>
      </c>
      <c r="E1887" s="20">
        <v>32665</v>
      </c>
      <c r="F1887" s="20">
        <v>44280</v>
      </c>
      <c r="G1887" s="12">
        <v>1.28</v>
      </c>
      <c r="H1887" s="12">
        <v>9.3666666666666707</v>
      </c>
      <c r="I1887" s="13">
        <v>0.136654804270463</v>
      </c>
      <c r="J1887" s="12" t="s">
        <v>826</v>
      </c>
      <c r="K1887" s="14">
        <v>1431</v>
      </c>
      <c r="L1887" s="14">
        <v>1063</v>
      </c>
      <c r="M1887" s="14">
        <v>1510</v>
      </c>
      <c r="N1887" s="12">
        <v>1.28</v>
      </c>
      <c r="O1887" s="12" t="s">
        <v>826</v>
      </c>
      <c r="P1887" s="12">
        <v>2.0590529964851299E-4</v>
      </c>
      <c r="Q1887" s="12">
        <v>6.2226137059832095E-4</v>
      </c>
      <c r="R1887" s="12">
        <v>0.141633064516129</v>
      </c>
      <c r="S1887" s="14">
        <v>33</v>
      </c>
      <c r="T1887" s="12">
        <v>4.6612784399214298E-2</v>
      </c>
      <c r="U1887" s="14">
        <v>1534</v>
      </c>
      <c r="V1887" s="14">
        <v>2</v>
      </c>
      <c r="W1887" s="12">
        <v>5.5999999999999999E-3</v>
      </c>
      <c r="X1887" s="12">
        <v>5.2212784399214299E-2</v>
      </c>
      <c r="Y1887" s="14">
        <v>1534</v>
      </c>
      <c r="Z1887" s="14">
        <v>33</v>
      </c>
      <c r="AA1887" s="12" t="s">
        <v>2367</v>
      </c>
    </row>
    <row r="1888" spans="1:27" ht="14.25" x14ac:dyDescent="0.45">
      <c r="A1888" s="12" t="s">
        <v>832</v>
      </c>
      <c r="B1888" s="12" t="s">
        <v>1986</v>
      </c>
      <c r="C1888" s="12" t="s">
        <v>1972</v>
      </c>
      <c r="D1888" s="12" t="s">
        <v>1993</v>
      </c>
      <c r="E1888" s="20">
        <v>34288</v>
      </c>
      <c r="F1888" s="20">
        <v>44102</v>
      </c>
      <c r="G1888" s="12">
        <v>4.18</v>
      </c>
      <c r="H1888" s="12">
        <v>15.3</v>
      </c>
      <c r="I1888" s="13">
        <v>0.273202614379085</v>
      </c>
      <c r="J1888" s="12" t="s">
        <v>832</v>
      </c>
      <c r="K1888" s="14">
        <v>1252</v>
      </c>
      <c r="L1888" s="14">
        <v>493</v>
      </c>
      <c r="M1888" s="14">
        <v>1100</v>
      </c>
      <c r="N1888" s="12">
        <v>4.18</v>
      </c>
      <c r="O1888" s="12" t="s">
        <v>832</v>
      </c>
      <c r="P1888" s="12">
        <v>6.7240949416467598E-4</v>
      </c>
      <c r="Q1888" s="12">
        <v>1.2440355403686299E-3</v>
      </c>
      <c r="R1888" s="12">
        <v>0.23135080645161299</v>
      </c>
      <c r="S1888" s="14">
        <v>29</v>
      </c>
      <c r="T1888" s="12">
        <v>0.102967577304215</v>
      </c>
      <c r="U1888" s="14">
        <v>1286</v>
      </c>
      <c r="V1888" s="14">
        <v>1</v>
      </c>
      <c r="W1888" s="12">
        <v>5.4999999999999997E-3</v>
      </c>
      <c r="X1888" s="12">
        <v>0.108467577304215</v>
      </c>
      <c r="Y1888" s="14">
        <v>1286</v>
      </c>
      <c r="Z1888" s="14">
        <v>28</v>
      </c>
      <c r="AA1888" s="12" t="s">
        <v>2367</v>
      </c>
    </row>
    <row r="1889" spans="1:27" ht="14.25" x14ac:dyDescent="0.45">
      <c r="A1889" s="12" t="s">
        <v>858</v>
      </c>
      <c r="B1889" s="12" t="s">
        <v>2228</v>
      </c>
      <c r="C1889" s="12" t="s">
        <v>1977</v>
      </c>
      <c r="D1889" s="12" t="s">
        <v>1974</v>
      </c>
      <c r="E1889" s="20">
        <v>35728</v>
      </c>
      <c r="F1889" s="20">
        <v>44280</v>
      </c>
      <c r="G1889" s="12">
        <v>0.12</v>
      </c>
      <c r="H1889" s="12">
        <v>9.3666666666666707</v>
      </c>
      <c r="I1889" s="13">
        <v>1.28113879003559E-2</v>
      </c>
      <c r="J1889" s="12" t="s">
        <v>858</v>
      </c>
      <c r="K1889" s="14">
        <v>1720</v>
      </c>
      <c r="L1889" s="14">
        <v>1063</v>
      </c>
      <c r="M1889" s="14">
        <v>1818</v>
      </c>
      <c r="N1889" s="12">
        <v>0.12</v>
      </c>
      <c r="O1889" s="12" t="s">
        <v>858</v>
      </c>
      <c r="P1889" s="12">
        <v>1.9303621842048101E-5</v>
      </c>
      <c r="Q1889" s="12">
        <v>5.8337003493592603E-5</v>
      </c>
      <c r="R1889" s="12">
        <v>0.141633064516129</v>
      </c>
      <c r="S1889" s="14">
        <v>25</v>
      </c>
      <c r="T1889" s="12">
        <v>4.3699485374263398E-3</v>
      </c>
      <c r="U1889" s="14">
        <v>1829</v>
      </c>
      <c r="V1889" s="14">
        <v>1</v>
      </c>
      <c r="W1889" s="12">
        <v>5.4999999999999997E-3</v>
      </c>
      <c r="X1889" s="12">
        <v>9.8699485374263395E-3</v>
      </c>
      <c r="Y1889" s="14">
        <v>1829</v>
      </c>
      <c r="Z1889" s="14">
        <v>24</v>
      </c>
      <c r="AA1889" s="12" t="s">
        <v>2370</v>
      </c>
    </row>
    <row r="1890" spans="1:27" ht="14.25" x14ac:dyDescent="0.45">
      <c r="A1890" s="12" t="s">
        <v>863</v>
      </c>
      <c r="B1890" s="12" t="s">
        <v>2025</v>
      </c>
      <c r="C1890" s="12" t="s">
        <v>1996</v>
      </c>
      <c r="D1890" s="12" t="s">
        <v>1973</v>
      </c>
      <c r="E1890" s="20">
        <v>36396</v>
      </c>
      <c r="F1890" s="20">
        <v>44285</v>
      </c>
      <c r="G1890" s="12">
        <v>4.53</v>
      </c>
      <c r="H1890" s="12">
        <v>9.1999999999999993</v>
      </c>
      <c r="I1890" s="13">
        <v>0.49239130434782602</v>
      </c>
      <c r="J1890" s="12" t="s">
        <v>863</v>
      </c>
      <c r="K1890" s="14">
        <v>1063</v>
      </c>
      <c r="L1890" s="14">
        <v>1105</v>
      </c>
      <c r="M1890" s="14">
        <v>1071</v>
      </c>
      <c r="N1890" s="12">
        <v>4.53</v>
      </c>
      <c r="O1890" s="12" t="s">
        <v>863</v>
      </c>
      <c r="P1890" s="12">
        <v>7.2871172453731604E-4</v>
      </c>
      <c r="Q1890" s="12">
        <v>2.24211720583028E-3</v>
      </c>
      <c r="R1890" s="12">
        <v>0.13911290322580599</v>
      </c>
      <c r="S1890" s="14">
        <v>23</v>
      </c>
      <c r="T1890" s="12">
        <v>0.167459015034542</v>
      </c>
      <c r="U1890" s="14">
        <v>1115</v>
      </c>
      <c r="V1890" s="14">
        <v>3</v>
      </c>
      <c r="W1890" s="12">
        <v>5.7000000000000002E-3</v>
      </c>
      <c r="X1890" s="12">
        <v>0.17315901503454201</v>
      </c>
      <c r="Y1890" s="14">
        <v>1115</v>
      </c>
      <c r="Z1890" s="14">
        <v>22</v>
      </c>
      <c r="AA1890" s="12" t="s">
        <v>2370</v>
      </c>
    </row>
    <row r="1891" spans="1:27" ht="14.25" x14ac:dyDescent="0.45">
      <c r="A1891" s="12" t="s">
        <v>869</v>
      </c>
      <c r="B1891" s="12" t="s">
        <v>2184</v>
      </c>
      <c r="C1891" s="12" t="s">
        <v>1972</v>
      </c>
      <c r="D1891" s="12" t="s">
        <v>2070</v>
      </c>
      <c r="E1891" s="20">
        <v>26538</v>
      </c>
      <c r="F1891" s="20">
        <v>43963</v>
      </c>
      <c r="G1891" s="12">
        <v>61.97</v>
      </c>
      <c r="H1891" s="12">
        <v>19.933333333333302</v>
      </c>
      <c r="I1891" s="13">
        <v>3.1088628762541801</v>
      </c>
      <c r="J1891" s="12" t="s">
        <v>869</v>
      </c>
      <c r="K1891" s="14">
        <v>548</v>
      </c>
      <c r="L1891" s="14">
        <v>448</v>
      </c>
      <c r="M1891" s="14">
        <v>445</v>
      </c>
      <c r="N1891" s="12">
        <v>61.97</v>
      </c>
      <c r="O1891" s="12" t="s">
        <v>869</v>
      </c>
      <c r="P1891" s="12">
        <v>9.9687120462643407E-3</v>
      </c>
      <c r="Q1891" s="12">
        <v>1.41562917213757E-2</v>
      </c>
      <c r="R1891" s="12">
        <v>0.30141129032258102</v>
      </c>
      <c r="S1891" s="14">
        <v>50</v>
      </c>
      <c r="T1891" s="12">
        <v>1.25859493432089</v>
      </c>
      <c r="U1891" s="14">
        <v>528</v>
      </c>
      <c r="V1891" s="14">
        <v>3</v>
      </c>
      <c r="W1891" s="12">
        <v>5.7000000000000002E-3</v>
      </c>
      <c r="X1891" s="12">
        <v>1.26429493432089</v>
      </c>
      <c r="Y1891" s="14">
        <v>528</v>
      </c>
      <c r="Z1891" s="14">
        <v>49</v>
      </c>
      <c r="AA1891" s="12" t="s">
        <v>2371</v>
      </c>
    </row>
    <row r="1892" spans="1:27" ht="14.25" x14ac:dyDescent="0.45">
      <c r="A1892" s="12" t="s">
        <v>890</v>
      </c>
      <c r="B1892" s="12" t="s">
        <v>1986</v>
      </c>
      <c r="C1892" s="12" t="s">
        <v>1972</v>
      </c>
      <c r="D1892" s="12" t="s">
        <v>2026</v>
      </c>
      <c r="E1892" s="20">
        <v>34400</v>
      </c>
      <c r="F1892" s="20">
        <v>44291</v>
      </c>
      <c r="G1892" s="12">
        <v>2</v>
      </c>
      <c r="H1892" s="12">
        <v>9</v>
      </c>
      <c r="I1892" s="13">
        <v>0.22222222222222199</v>
      </c>
      <c r="J1892" s="12" t="s">
        <v>890</v>
      </c>
      <c r="K1892" s="14">
        <v>1317</v>
      </c>
      <c r="L1892" s="14">
        <v>1137</v>
      </c>
      <c r="M1892" s="14">
        <v>1359</v>
      </c>
      <c r="N1892" s="12">
        <v>2</v>
      </c>
      <c r="O1892" s="12" t="s">
        <v>890</v>
      </c>
      <c r="P1892" s="12">
        <v>3.2172703070080199E-4</v>
      </c>
      <c r="Q1892" s="12">
        <v>1.0118949371419499E-3</v>
      </c>
      <c r="R1892" s="12">
        <v>0.13608870967741901</v>
      </c>
      <c r="S1892" s="14">
        <v>28</v>
      </c>
      <c r="T1892" s="12">
        <v>7.5308197222651696E-2</v>
      </c>
      <c r="U1892" s="14">
        <v>1399</v>
      </c>
      <c r="V1892" s="14">
        <v>1</v>
      </c>
      <c r="W1892" s="12">
        <v>5.4999999999999997E-3</v>
      </c>
      <c r="X1892" s="12">
        <v>8.0808197222651701E-2</v>
      </c>
      <c r="Y1892" s="14">
        <v>1399</v>
      </c>
      <c r="Z1892" s="14">
        <v>28</v>
      </c>
      <c r="AA1892" s="12" t="s">
        <v>2367</v>
      </c>
    </row>
    <row r="1893" spans="1:27" ht="14.25" x14ac:dyDescent="0.45">
      <c r="A1893" s="12" t="s">
        <v>922</v>
      </c>
      <c r="B1893" s="12" t="s">
        <v>2234</v>
      </c>
      <c r="C1893" s="12" t="s">
        <v>1996</v>
      </c>
      <c r="D1893" s="12" t="s">
        <v>1997</v>
      </c>
      <c r="E1893" s="20">
        <v>32490</v>
      </c>
      <c r="F1893" s="20">
        <v>44301</v>
      </c>
      <c r="G1893" s="12">
        <v>3.83</v>
      </c>
      <c r="H1893" s="12">
        <v>8.6666666666666696</v>
      </c>
      <c r="I1893" s="13">
        <v>0.44192307692307697</v>
      </c>
      <c r="J1893" s="12" t="s">
        <v>922</v>
      </c>
      <c r="K1893" s="14">
        <v>1107</v>
      </c>
      <c r="L1893" s="14">
        <v>1179</v>
      </c>
      <c r="M1893" s="14">
        <v>1134</v>
      </c>
      <c r="N1893" s="12">
        <v>3.83</v>
      </c>
      <c r="O1893" s="12" t="s">
        <v>922</v>
      </c>
      <c r="P1893" s="12">
        <v>6.1610726379203505E-4</v>
      </c>
      <c r="Q1893" s="12">
        <v>2.0123087586509398E-3</v>
      </c>
      <c r="R1893" s="12">
        <v>0.13104838709677399</v>
      </c>
      <c r="S1893" s="14">
        <v>34</v>
      </c>
      <c r="T1893" s="12">
        <v>0.14887331980788501</v>
      </c>
      <c r="U1893" s="14">
        <v>1161</v>
      </c>
      <c r="V1893" s="14">
        <v>2</v>
      </c>
      <c r="W1893" s="12">
        <v>5.5999999999999999E-3</v>
      </c>
      <c r="X1893" s="12">
        <v>0.15447331980788501</v>
      </c>
      <c r="Y1893" s="14">
        <v>1161</v>
      </c>
      <c r="Z1893" s="14">
        <v>33</v>
      </c>
      <c r="AA1893" s="12" t="s">
        <v>2367</v>
      </c>
    </row>
    <row r="1894" spans="1:27" ht="14.25" x14ac:dyDescent="0.45">
      <c r="A1894" s="12" t="s">
        <v>953</v>
      </c>
      <c r="B1894" s="12" t="s">
        <v>1986</v>
      </c>
      <c r="C1894" s="12" t="s">
        <v>1972</v>
      </c>
      <c r="D1894" s="12" t="s">
        <v>1995</v>
      </c>
      <c r="E1894" s="20">
        <v>33296</v>
      </c>
      <c r="F1894" s="20">
        <v>44306</v>
      </c>
      <c r="G1894" s="12">
        <v>2</v>
      </c>
      <c r="H1894" s="12">
        <v>8.5</v>
      </c>
      <c r="I1894" s="13">
        <v>0.23529411764705899</v>
      </c>
      <c r="J1894" s="12" t="s">
        <v>953</v>
      </c>
      <c r="K1894" s="14">
        <v>1301</v>
      </c>
      <c r="L1894" s="14">
        <v>1204</v>
      </c>
      <c r="M1894" s="14">
        <v>1359</v>
      </c>
      <c r="N1894" s="12">
        <v>2</v>
      </c>
      <c r="O1894" s="12" t="s">
        <v>953</v>
      </c>
      <c r="P1894" s="12">
        <v>3.2172703070080199E-4</v>
      </c>
      <c r="Q1894" s="12">
        <v>1.0714181687385301E-3</v>
      </c>
      <c r="R1894" s="12">
        <v>0.12852822580645201</v>
      </c>
      <c r="S1894" s="14">
        <v>31</v>
      </c>
      <c r="T1894" s="12">
        <v>7.9028399197438301E-2</v>
      </c>
      <c r="U1894" s="14">
        <v>1365</v>
      </c>
      <c r="V1894" s="14">
        <v>1</v>
      </c>
      <c r="W1894" s="12">
        <v>5.4999999999999997E-3</v>
      </c>
      <c r="X1894" s="12">
        <v>8.4528399197438306E-2</v>
      </c>
      <c r="Y1894" s="14">
        <v>1365</v>
      </c>
      <c r="Z1894" s="14">
        <v>31</v>
      </c>
      <c r="AA1894" s="12" t="s">
        <v>2367</v>
      </c>
    </row>
    <row r="1895" spans="1:27" ht="14.25" x14ac:dyDescent="0.45">
      <c r="A1895" s="12" t="s">
        <v>965</v>
      </c>
      <c r="B1895" s="12" t="s">
        <v>1986</v>
      </c>
      <c r="C1895" s="12" t="s">
        <v>1977</v>
      </c>
      <c r="D1895" s="12" t="s">
        <v>1973</v>
      </c>
      <c r="E1895" s="20">
        <v>35369</v>
      </c>
      <c r="F1895" s="20">
        <v>44293</v>
      </c>
      <c r="G1895" s="12">
        <v>88.72</v>
      </c>
      <c r="H1895" s="12">
        <v>8.93333333333333</v>
      </c>
      <c r="I1895" s="13">
        <v>9.9313432835820894</v>
      </c>
      <c r="J1895" s="12" t="s">
        <v>965</v>
      </c>
      <c r="K1895" s="14">
        <v>297</v>
      </c>
      <c r="L1895" s="14">
        <v>1151</v>
      </c>
      <c r="M1895" s="14">
        <v>395</v>
      </c>
      <c r="N1895" s="12">
        <v>88.72</v>
      </c>
      <c r="O1895" s="12" t="s">
        <v>965</v>
      </c>
      <c r="P1895" s="12">
        <v>1.42718110818876E-2</v>
      </c>
      <c r="Q1895" s="12">
        <v>4.5222641944539302E-2</v>
      </c>
      <c r="R1895" s="12">
        <v>0.13508064516129001</v>
      </c>
      <c r="S1895" s="14">
        <v>26</v>
      </c>
      <c r="T1895" s="12">
        <v>3.3616080371044901</v>
      </c>
      <c r="U1895" s="14">
        <v>350</v>
      </c>
      <c r="V1895" s="14">
        <v>4</v>
      </c>
      <c r="W1895" s="12">
        <v>5.7999999999999996E-3</v>
      </c>
      <c r="X1895" s="12">
        <v>3.3674080371044899</v>
      </c>
      <c r="Y1895" s="14">
        <v>350</v>
      </c>
      <c r="Z1895" s="14">
        <v>25</v>
      </c>
      <c r="AA1895" s="12" t="s">
        <v>2367</v>
      </c>
    </row>
    <row r="1896" spans="1:27" ht="14.25" x14ac:dyDescent="0.45">
      <c r="A1896" s="12" t="s">
        <v>984</v>
      </c>
      <c r="B1896" s="12" t="s">
        <v>1986</v>
      </c>
      <c r="C1896" s="12" t="s">
        <v>1981</v>
      </c>
      <c r="D1896" s="12" t="s">
        <v>1974</v>
      </c>
      <c r="E1896" s="20">
        <v>29522</v>
      </c>
      <c r="F1896" s="20">
        <v>44290</v>
      </c>
      <c r="G1896" s="12">
        <v>2</v>
      </c>
      <c r="H1896" s="12">
        <v>9.0333333333333297</v>
      </c>
      <c r="I1896" s="13">
        <v>0.22140221402214</v>
      </c>
      <c r="J1896" s="12" t="s">
        <v>984</v>
      </c>
      <c r="K1896" s="14">
        <v>1319</v>
      </c>
      <c r="L1896" s="14">
        <v>1133</v>
      </c>
      <c r="M1896" s="14">
        <v>1359</v>
      </c>
      <c r="N1896" s="12">
        <v>2</v>
      </c>
      <c r="O1896" s="12" t="s">
        <v>984</v>
      </c>
      <c r="P1896" s="12">
        <v>3.2172703070080199E-4</v>
      </c>
      <c r="Q1896" s="12">
        <v>1.0081610074846E-3</v>
      </c>
      <c r="R1896" s="12">
        <v>0.13659274193548401</v>
      </c>
      <c r="S1896" s="14">
        <v>42</v>
      </c>
      <c r="T1896" s="12">
        <v>7.5074826619067295E-2</v>
      </c>
      <c r="U1896" s="14">
        <v>1405</v>
      </c>
      <c r="V1896" s="14">
        <v>1</v>
      </c>
      <c r="W1896" s="12">
        <v>5.4999999999999997E-3</v>
      </c>
      <c r="X1896" s="12">
        <v>8.05748266190673E-2</v>
      </c>
      <c r="Y1896" s="14">
        <v>1406</v>
      </c>
      <c r="Z1896" s="14">
        <v>41</v>
      </c>
      <c r="AA1896" s="12" t="s">
        <v>2369</v>
      </c>
    </row>
    <row r="1897" spans="1:27" ht="14.25" x14ac:dyDescent="0.45">
      <c r="A1897" s="12" t="s">
        <v>985</v>
      </c>
      <c r="B1897" s="12" t="s">
        <v>1986</v>
      </c>
      <c r="C1897" s="12" t="s">
        <v>1972</v>
      </c>
      <c r="D1897" s="12" t="s">
        <v>1987</v>
      </c>
      <c r="E1897" s="20">
        <v>34626</v>
      </c>
      <c r="F1897" s="20">
        <v>44194</v>
      </c>
      <c r="G1897" s="12">
        <v>3.87</v>
      </c>
      <c r="H1897" s="12">
        <v>12.233333333333301</v>
      </c>
      <c r="I1897" s="13">
        <v>0.31634877384196203</v>
      </c>
      <c r="J1897" s="12" t="s">
        <v>985</v>
      </c>
      <c r="K1897" s="14">
        <v>1212</v>
      </c>
      <c r="L1897" s="14">
        <v>745</v>
      </c>
      <c r="M1897" s="14">
        <v>1127</v>
      </c>
      <c r="N1897" s="12">
        <v>3.87</v>
      </c>
      <c r="O1897" s="12" t="s">
        <v>985</v>
      </c>
      <c r="P1897" s="12">
        <v>6.2254180440605197E-4</v>
      </c>
      <c r="Q1897" s="12">
        <v>1.4405027517978501E-3</v>
      </c>
      <c r="R1897" s="12">
        <v>0.18497983870967699</v>
      </c>
      <c r="S1897" s="14">
        <v>28</v>
      </c>
      <c r="T1897" s="12">
        <v>0.113376739652592</v>
      </c>
      <c r="U1897" s="14">
        <v>1251</v>
      </c>
      <c r="V1897" s="14">
        <v>1</v>
      </c>
      <c r="W1897" s="12">
        <v>5.4999999999999997E-3</v>
      </c>
      <c r="X1897" s="12">
        <v>0.118876739652592</v>
      </c>
      <c r="Y1897" s="14">
        <v>1251</v>
      </c>
      <c r="Z1897" s="14">
        <v>27</v>
      </c>
      <c r="AA1897" s="12" t="s">
        <v>2367</v>
      </c>
    </row>
    <row r="1898" spans="1:27" ht="14.25" x14ac:dyDescent="0.45">
      <c r="A1898" s="12" t="s">
        <v>994</v>
      </c>
      <c r="B1898" s="12" t="s">
        <v>1986</v>
      </c>
      <c r="C1898" s="12" t="s">
        <v>1972</v>
      </c>
      <c r="D1898" s="12" t="s">
        <v>1975</v>
      </c>
      <c r="E1898" s="20">
        <v>32585</v>
      </c>
      <c r="F1898" s="20">
        <v>44274</v>
      </c>
      <c r="G1898" s="12">
        <v>25.06</v>
      </c>
      <c r="H1898" s="12">
        <v>9.56666666666667</v>
      </c>
      <c r="I1898" s="13">
        <v>2.61951219512195</v>
      </c>
      <c r="J1898" s="12" t="s">
        <v>994</v>
      </c>
      <c r="K1898" s="14">
        <v>583</v>
      </c>
      <c r="L1898" s="14">
        <v>1036</v>
      </c>
      <c r="M1898" s="14">
        <v>684</v>
      </c>
      <c r="N1898" s="12">
        <v>25.06</v>
      </c>
      <c r="O1898" s="12" t="s">
        <v>994</v>
      </c>
      <c r="P1898" s="12">
        <v>4.0312396946810504E-3</v>
      </c>
      <c r="Q1898" s="12">
        <v>1.1928020076114701E-2</v>
      </c>
      <c r="R1898" s="12">
        <v>0.14465725806451599</v>
      </c>
      <c r="S1898" s="14">
        <v>33</v>
      </c>
      <c r="T1898" s="12">
        <v>0.89667274330770796</v>
      </c>
      <c r="U1898" s="14">
        <v>638</v>
      </c>
      <c r="V1898" s="14">
        <v>14</v>
      </c>
      <c r="W1898" s="12">
        <v>6.7000000000000002E-3</v>
      </c>
      <c r="X1898" s="12">
        <v>0.903372743307708</v>
      </c>
      <c r="Y1898" s="14">
        <v>638</v>
      </c>
      <c r="Z1898" s="14">
        <v>33</v>
      </c>
      <c r="AA1898" s="12" t="s">
        <v>2367</v>
      </c>
    </row>
    <row r="1899" spans="1:27" ht="14.25" x14ac:dyDescent="0.45">
      <c r="A1899" s="12" t="s">
        <v>1006</v>
      </c>
      <c r="B1899" s="12" t="s">
        <v>1986</v>
      </c>
      <c r="C1899" s="12" t="s">
        <v>1972</v>
      </c>
      <c r="D1899" s="12" t="s">
        <v>2088</v>
      </c>
      <c r="E1899" s="20">
        <v>34856</v>
      </c>
      <c r="F1899" s="20">
        <v>44280</v>
      </c>
      <c r="G1899" s="12">
        <v>7.8</v>
      </c>
      <c r="H1899" s="12">
        <v>9.3666666666666707</v>
      </c>
      <c r="I1899" s="13">
        <v>0.83274021352313199</v>
      </c>
      <c r="J1899" s="12" t="s">
        <v>1006</v>
      </c>
      <c r="K1899" s="14">
        <v>879</v>
      </c>
      <c r="L1899" s="14">
        <v>1063</v>
      </c>
      <c r="M1899" s="14">
        <v>895</v>
      </c>
      <c r="N1899" s="12">
        <v>7.8</v>
      </c>
      <c r="O1899" s="12" t="s">
        <v>1006</v>
      </c>
      <c r="P1899" s="12">
        <v>1.2547354197331301E-3</v>
      </c>
      <c r="Q1899" s="12">
        <v>3.7919052270835199E-3</v>
      </c>
      <c r="R1899" s="12">
        <v>0.141633064516129</v>
      </c>
      <c r="S1899" s="14">
        <v>27</v>
      </c>
      <c r="T1899" s="12">
        <v>0.28404665493271197</v>
      </c>
      <c r="U1899" s="14">
        <v>935</v>
      </c>
      <c r="V1899" s="14">
        <v>3</v>
      </c>
      <c r="W1899" s="12">
        <v>5.7000000000000002E-3</v>
      </c>
      <c r="X1899" s="12">
        <v>0.28974665493271201</v>
      </c>
      <c r="Y1899" s="14">
        <v>935</v>
      </c>
      <c r="Z1899" s="14">
        <v>27</v>
      </c>
      <c r="AA1899" s="12" t="s">
        <v>2367</v>
      </c>
    </row>
    <row r="1900" spans="1:27" ht="14.25" x14ac:dyDescent="0.45">
      <c r="A1900" s="12" t="s">
        <v>1021</v>
      </c>
      <c r="B1900" s="12" t="s">
        <v>1986</v>
      </c>
      <c r="C1900" s="12" t="s">
        <v>1981</v>
      </c>
      <c r="D1900" s="12" t="s">
        <v>1975</v>
      </c>
      <c r="E1900" s="20">
        <v>28365</v>
      </c>
      <c r="F1900" s="20">
        <v>44280</v>
      </c>
      <c r="G1900" s="12">
        <v>61.68</v>
      </c>
      <c r="H1900" s="12">
        <v>9.3666666666666707</v>
      </c>
      <c r="I1900" s="13">
        <v>6.5850533807829201</v>
      </c>
      <c r="J1900" s="12" t="s">
        <v>1021</v>
      </c>
      <c r="K1900" s="14">
        <v>394</v>
      </c>
      <c r="L1900" s="14">
        <v>1063</v>
      </c>
      <c r="M1900" s="14">
        <v>446</v>
      </c>
      <c r="N1900" s="12">
        <v>61.68</v>
      </c>
      <c r="O1900" s="12" t="s">
        <v>1021</v>
      </c>
      <c r="P1900" s="12">
        <v>9.9220616268127296E-3</v>
      </c>
      <c r="Q1900" s="12">
        <v>2.9985219795706598E-2</v>
      </c>
      <c r="R1900" s="12">
        <v>0.141633064516129</v>
      </c>
      <c r="S1900" s="14">
        <v>45</v>
      </c>
      <c r="T1900" s="12">
        <v>2.2461535482371402</v>
      </c>
      <c r="U1900" s="14">
        <v>420</v>
      </c>
      <c r="V1900" s="14">
        <v>5</v>
      </c>
      <c r="W1900" s="12">
        <v>5.8999999999999999E-3</v>
      </c>
      <c r="X1900" s="12">
        <v>2.2520535482371402</v>
      </c>
      <c r="Y1900" s="14">
        <v>420</v>
      </c>
      <c r="Z1900" s="14">
        <v>44</v>
      </c>
      <c r="AA1900" s="12" t="s">
        <v>2369</v>
      </c>
    </row>
    <row r="1901" spans="1:27" ht="14.25" x14ac:dyDescent="0.45">
      <c r="A1901" s="12" t="s">
        <v>1029</v>
      </c>
      <c r="B1901" s="12" t="s">
        <v>2025</v>
      </c>
      <c r="C1901" s="12" t="s">
        <v>1972</v>
      </c>
      <c r="D1901" s="12" t="s">
        <v>1982</v>
      </c>
      <c r="E1901" s="20">
        <v>34895</v>
      </c>
      <c r="F1901" s="20">
        <v>44116</v>
      </c>
      <c r="G1901" s="12">
        <v>140.59</v>
      </c>
      <c r="H1901" s="12">
        <v>14.8333333333333</v>
      </c>
      <c r="I1901" s="13">
        <v>9.4779775280898892</v>
      </c>
      <c r="J1901" s="12" t="s">
        <v>1029</v>
      </c>
      <c r="K1901" s="14">
        <v>309</v>
      </c>
      <c r="L1901" s="14">
        <v>534</v>
      </c>
      <c r="M1901" s="14">
        <v>332</v>
      </c>
      <c r="N1901" s="12">
        <v>140.59</v>
      </c>
      <c r="O1901" s="12" t="s">
        <v>1029</v>
      </c>
      <c r="P1901" s="12">
        <v>2.2615801623112899E-2</v>
      </c>
      <c r="Q1901" s="12">
        <v>4.3158228637586803E-2</v>
      </c>
      <c r="R1901" s="12">
        <v>0.22429435483870999</v>
      </c>
      <c r="S1901" s="14">
        <v>27</v>
      </c>
      <c r="T1901" s="12">
        <v>3.5454818507159098</v>
      </c>
      <c r="U1901" s="14">
        <v>338</v>
      </c>
      <c r="V1901" s="14">
        <v>3</v>
      </c>
      <c r="W1901" s="12">
        <v>5.7000000000000002E-3</v>
      </c>
      <c r="X1901" s="12">
        <v>3.5511818507159099</v>
      </c>
      <c r="Y1901" s="14">
        <v>338</v>
      </c>
      <c r="Z1901" s="14">
        <v>26</v>
      </c>
      <c r="AA1901" s="12" t="s">
        <v>2367</v>
      </c>
    </row>
    <row r="1902" spans="1:27" ht="14.25" x14ac:dyDescent="0.45">
      <c r="A1902" s="12" t="s">
        <v>1037</v>
      </c>
      <c r="B1902" s="12" t="s">
        <v>1986</v>
      </c>
      <c r="C1902" s="12" t="s">
        <v>1981</v>
      </c>
      <c r="D1902" s="12" t="s">
        <v>1982</v>
      </c>
      <c r="E1902" s="20">
        <v>37248</v>
      </c>
      <c r="F1902" s="20">
        <v>44271</v>
      </c>
      <c r="G1902" s="12">
        <v>3.34</v>
      </c>
      <c r="H1902" s="12">
        <v>9.6666666666666696</v>
      </c>
      <c r="I1902" s="13">
        <v>0.34551724137931</v>
      </c>
      <c r="J1902" s="12" t="s">
        <v>1037</v>
      </c>
      <c r="K1902" s="14">
        <v>1192</v>
      </c>
      <c r="L1902" s="14">
        <v>1004</v>
      </c>
      <c r="M1902" s="14">
        <v>1189</v>
      </c>
      <c r="N1902" s="12">
        <v>3.34</v>
      </c>
      <c r="O1902" s="12" t="s">
        <v>1037</v>
      </c>
      <c r="P1902" s="12">
        <v>5.3728414127033903E-4</v>
      </c>
      <c r="Q1902" s="12">
        <v>1.5733221626113899E-3</v>
      </c>
      <c r="R1902" s="12">
        <v>0.14616935483870999</v>
      </c>
      <c r="S1902" s="14">
        <v>21</v>
      </c>
      <c r="T1902" s="12">
        <v>0.11848079046085</v>
      </c>
      <c r="U1902" s="14">
        <v>1235</v>
      </c>
      <c r="V1902" s="14">
        <v>1</v>
      </c>
      <c r="W1902" s="12">
        <v>5.4999999999999997E-3</v>
      </c>
      <c r="X1902" s="12">
        <v>0.12398079046085</v>
      </c>
      <c r="Y1902" s="14">
        <v>1235</v>
      </c>
      <c r="Z1902" s="14">
        <v>20</v>
      </c>
      <c r="AA1902" s="12" t="s">
        <v>2370</v>
      </c>
    </row>
    <row r="1903" spans="1:27" ht="14.25" x14ac:dyDescent="0.45">
      <c r="A1903" s="12" t="s">
        <v>1038</v>
      </c>
      <c r="B1903" s="12" t="s">
        <v>1986</v>
      </c>
      <c r="C1903" s="12" t="s">
        <v>1981</v>
      </c>
      <c r="D1903" s="12" t="s">
        <v>1973</v>
      </c>
      <c r="E1903" s="20">
        <v>37002</v>
      </c>
      <c r="F1903" s="20">
        <v>44266</v>
      </c>
      <c r="G1903" s="12">
        <v>2.31</v>
      </c>
      <c r="H1903" s="12">
        <v>9.8333333333333304</v>
      </c>
      <c r="I1903" s="13">
        <v>0.23491525423728801</v>
      </c>
      <c r="J1903" s="12" t="s">
        <v>1038</v>
      </c>
      <c r="K1903" s="14">
        <v>1302</v>
      </c>
      <c r="L1903" s="14">
        <v>982</v>
      </c>
      <c r="M1903" s="14">
        <v>1301</v>
      </c>
      <c r="N1903" s="12">
        <v>2.31</v>
      </c>
      <c r="O1903" s="12" t="s">
        <v>1038</v>
      </c>
      <c r="P1903" s="12">
        <v>3.71594720459426E-4</v>
      </c>
      <c r="Q1903" s="12">
        <v>1.06969300389056E-3</v>
      </c>
      <c r="R1903" s="12">
        <v>0.148689516129032</v>
      </c>
      <c r="S1903" s="14">
        <v>21</v>
      </c>
      <c r="T1903" s="12">
        <v>8.0790614760388596E-2</v>
      </c>
      <c r="U1903" s="14">
        <v>1352</v>
      </c>
      <c r="V1903" s="14">
        <v>2</v>
      </c>
      <c r="W1903" s="12">
        <v>5.5999999999999999E-3</v>
      </c>
      <c r="X1903" s="12">
        <v>8.6390614760388604E-2</v>
      </c>
      <c r="Y1903" s="14">
        <v>1352</v>
      </c>
      <c r="Z1903" s="14">
        <v>21</v>
      </c>
      <c r="AA1903" s="12" t="s">
        <v>2370</v>
      </c>
    </row>
    <row r="1904" spans="1:27" ht="14.25" x14ac:dyDescent="0.45">
      <c r="A1904" s="12" t="s">
        <v>1039</v>
      </c>
      <c r="B1904" s="12" t="s">
        <v>2215</v>
      </c>
      <c r="C1904" s="12" t="s">
        <v>2215</v>
      </c>
      <c r="D1904" s="12" t="s">
        <v>2215</v>
      </c>
      <c r="E1904" s="20">
        <v>44292</v>
      </c>
      <c r="F1904" s="20">
        <v>44291</v>
      </c>
      <c r="G1904" s="12">
        <v>11.06</v>
      </c>
      <c r="H1904" s="12">
        <v>9</v>
      </c>
      <c r="I1904" s="13">
        <v>1.22888888888889</v>
      </c>
      <c r="J1904" s="12" t="s">
        <v>1039</v>
      </c>
      <c r="K1904" s="14">
        <v>761</v>
      </c>
      <c r="L1904" s="14">
        <v>1137</v>
      </c>
      <c r="M1904" s="14">
        <v>828</v>
      </c>
      <c r="N1904" s="12">
        <v>11.06</v>
      </c>
      <c r="O1904" s="12" t="s">
        <v>1039</v>
      </c>
      <c r="P1904" s="12">
        <v>1.7791504797754301E-3</v>
      </c>
      <c r="Q1904" s="12">
        <v>5.5957790023949596E-3</v>
      </c>
      <c r="R1904" s="12">
        <v>0.13608870967741901</v>
      </c>
      <c r="S1904" s="14">
        <v>1</v>
      </c>
      <c r="T1904" s="12">
        <v>0.41645433064126403</v>
      </c>
      <c r="U1904" s="14">
        <v>815</v>
      </c>
      <c r="V1904" s="14">
        <v>2</v>
      </c>
      <c r="W1904" s="12">
        <v>5.5999999999999999E-3</v>
      </c>
      <c r="X1904" s="12">
        <v>0.42205433064126402</v>
      </c>
      <c r="Y1904" s="14">
        <v>815</v>
      </c>
      <c r="Z1904" s="14">
        <v>1</v>
      </c>
      <c r="AA1904" s="12" t="s">
        <v>2372</v>
      </c>
    </row>
    <row r="1905" spans="1:27" ht="14.25" x14ac:dyDescent="0.45">
      <c r="A1905" s="12" t="s">
        <v>1043</v>
      </c>
      <c r="B1905" s="12" t="s">
        <v>1986</v>
      </c>
      <c r="C1905" s="12" t="s">
        <v>1972</v>
      </c>
      <c r="D1905" s="12" t="s">
        <v>2241</v>
      </c>
      <c r="E1905" s="20">
        <v>34757</v>
      </c>
      <c r="F1905" s="20">
        <v>44278</v>
      </c>
      <c r="G1905" s="12">
        <v>8.7100000000000009</v>
      </c>
      <c r="H1905" s="12">
        <v>9.43333333333333</v>
      </c>
      <c r="I1905" s="13">
        <v>0.92332155477031796</v>
      </c>
      <c r="J1905" s="12" t="s">
        <v>1043</v>
      </c>
      <c r="K1905" s="14">
        <v>848</v>
      </c>
      <c r="L1905" s="14">
        <v>1048</v>
      </c>
      <c r="M1905" s="14">
        <v>871</v>
      </c>
      <c r="N1905" s="12">
        <v>8.7100000000000009</v>
      </c>
      <c r="O1905" s="12" t="s">
        <v>1043</v>
      </c>
      <c r="P1905" s="12">
        <v>1.4011212187019901E-3</v>
      </c>
      <c r="Q1905" s="12">
        <v>4.2043698298175197E-3</v>
      </c>
      <c r="R1905" s="12">
        <v>0.14264112903225801</v>
      </c>
      <c r="S1905" s="14">
        <v>27</v>
      </c>
      <c r="T1905" s="12">
        <v>0.31531516006492</v>
      </c>
      <c r="U1905" s="14">
        <v>901</v>
      </c>
      <c r="V1905" s="14">
        <v>2</v>
      </c>
      <c r="W1905" s="12">
        <v>5.5999999999999999E-3</v>
      </c>
      <c r="X1905" s="12">
        <v>0.32091516006491999</v>
      </c>
      <c r="Y1905" s="14">
        <v>901</v>
      </c>
      <c r="Z1905" s="14">
        <v>27</v>
      </c>
      <c r="AA1905" s="12" t="s">
        <v>2367</v>
      </c>
    </row>
    <row r="1906" spans="1:27" ht="14.25" x14ac:dyDescent="0.45">
      <c r="A1906" s="12" t="s">
        <v>1055</v>
      </c>
      <c r="B1906" s="12" t="s">
        <v>1986</v>
      </c>
      <c r="C1906" s="12" t="s">
        <v>1981</v>
      </c>
      <c r="D1906" s="12" t="s">
        <v>1984</v>
      </c>
      <c r="E1906" s="20">
        <v>32621</v>
      </c>
      <c r="F1906" s="20">
        <v>44295</v>
      </c>
      <c r="G1906" s="12">
        <v>21.64</v>
      </c>
      <c r="H1906" s="12">
        <v>8.8666666666666707</v>
      </c>
      <c r="I1906" s="13">
        <v>2.4406015037594</v>
      </c>
      <c r="J1906" s="12" t="s">
        <v>1055</v>
      </c>
      <c r="K1906" s="14">
        <v>598</v>
      </c>
      <c r="L1906" s="14">
        <v>1156</v>
      </c>
      <c r="M1906" s="14">
        <v>710</v>
      </c>
      <c r="N1906" s="12">
        <v>21.64</v>
      </c>
      <c r="O1906" s="12" t="s">
        <v>1055</v>
      </c>
      <c r="P1906" s="12">
        <v>3.4810864721826801E-3</v>
      </c>
      <c r="Q1906" s="12">
        <v>1.11133453735582E-2</v>
      </c>
      <c r="R1906" s="12">
        <v>0.134072580645161</v>
      </c>
      <c r="S1906" s="14">
        <v>33</v>
      </c>
      <c r="T1906" s="12">
        <v>0.82512482855423797</v>
      </c>
      <c r="U1906" s="14">
        <v>661</v>
      </c>
      <c r="V1906" s="14">
        <v>2</v>
      </c>
      <c r="W1906" s="12">
        <v>5.5999999999999999E-3</v>
      </c>
      <c r="X1906" s="12">
        <v>0.83072482855423802</v>
      </c>
      <c r="Y1906" s="14">
        <v>661</v>
      </c>
      <c r="Z1906" s="14">
        <v>33</v>
      </c>
      <c r="AA1906" s="12" t="s">
        <v>2367</v>
      </c>
    </row>
    <row r="1907" spans="1:27" ht="14.25" x14ac:dyDescent="0.45">
      <c r="A1907" s="12" t="s">
        <v>1068</v>
      </c>
      <c r="B1907" s="12" t="s">
        <v>2025</v>
      </c>
      <c r="C1907" s="12" t="s">
        <v>1977</v>
      </c>
      <c r="D1907" s="12" t="s">
        <v>2072</v>
      </c>
      <c r="E1907" s="20">
        <v>35399</v>
      </c>
      <c r="F1907" s="20">
        <v>44271</v>
      </c>
      <c r="G1907" s="12">
        <v>2.1800000000000002</v>
      </c>
      <c r="H1907" s="12">
        <v>9.6666666666666696</v>
      </c>
      <c r="I1907" s="13">
        <v>0.22551724137931001</v>
      </c>
      <c r="J1907" s="12" t="s">
        <v>1068</v>
      </c>
      <c r="K1907" s="14">
        <v>1313</v>
      </c>
      <c r="L1907" s="14">
        <v>1004</v>
      </c>
      <c r="M1907" s="14">
        <v>1327</v>
      </c>
      <c r="N1907" s="12">
        <v>2.1800000000000002</v>
      </c>
      <c r="O1907" s="12" t="s">
        <v>1068</v>
      </c>
      <c r="P1907" s="12">
        <v>3.50682463463874E-4</v>
      </c>
      <c r="Q1907" s="12">
        <v>1.02689889655474E-3</v>
      </c>
      <c r="R1907" s="12">
        <v>0.14616935483870999</v>
      </c>
      <c r="S1907" s="14">
        <v>26</v>
      </c>
      <c r="T1907" s="12">
        <v>7.7331773414566596E-2</v>
      </c>
      <c r="U1907" s="14">
        <v>1384</v>
      </c>
      <c r="V1907" s="14">
        <v>1</v>
      </c>
      <c r="W1907" s="12">
        <v>5.4999999999999997E-3</v>
      </c>
      <c r="X1907" s="12">
        <v>8.2831773414566601E-2</v>
      </c>
      <c r="Y1907" s="14">
        <v>1385</v>
      </c>
      <c r="Z1907" s="14">
        <v>25</v>
      </c>
      <c r="AA1907" s="12" t="s">
        <v>2367</v>
      </c>
    </row>
    <row r="1908" spans="1:27" ht="14.25" x14ac:dyDescent="0.45">
      <c r="A1908" s="12" t="s">
        <v>1087</v>
      </c>
      <c r="B1908" s="12" t="s">
        <v>2025</v>
      </c>
      <c r="C1908" s="12" t="s">
        <v>1972</v>
      </c>
      <c r="D1908" s="12" t="s">
        <v>1978</v>
      </c>
      <c r="E1908" s="20">
        <v>35226</v>
      </c>
      <c r="F1908" s="20">
        <v>44293</v>
      </c>
      <c r="G1908" s="12">
        <v>28.74</v>
      </c>
      <c r="H1908" s="12">
        <v>8.93333333333333</v>
      </c>
      <c r="I1908" s="13">
        <v>3.21716417910448</v>
      </c>
      <c r="J1908" s="12" t="s">
        <v>1087</v>
      </c>
      <c r="K1908" s="14">
        <v>540</v>
      </c>
      <c r="L1908" s="14">
        <v>1151</v>
      </c>
      <c r="M1908" s="14">
        <v>578</v>
      </c>
      <c r="N1908" s="12">
        <v>28.74</v>
      </c>
      <c r="O1908" s="12" t="s">
        <v>1087</v>
      </c>
      <c r="P1908" s="12">
        <v>4.6232174311705201E-3</v>
      </c>
      <c r="Q1908" s="12">
        <v>1.46494446515561E-2</v>
      </c>
      <c r="R1908" s="12">
        <v>0.13508064516129001</v>
      </c>
      <c r="S1908" s="14">
        <v>26</v>
      </c>
      <c r="T1908" s="12">
        <v>1.0889609443911501</v>
      </c>
      <c r="U1908" s="14">
        <v>559</v>
      </c>
      <c r="V1908" s="14">
        <v>1</v>
      </c>
      <c r="W1908" s="12">
        <v>5.4999999999999997E-3</v>
      </c>
      <c r="X1908" s="12">
        <v>1.0944609443911499</v>
      </c>
      <c r="Y1908" s="14">
        <v>559</v>
      </c>
      <c r="Z1908" s="14">
        <v>26</v>
      </c>
      <c r="AA1908" s="12" t="s">
        <v>2367</v>
      </c>
    </row>
    <row r="1909" spans="1:27" ht="14.25" x14ac:dyDescent="0.45">
      <c r="A1909" s="12" t="s">
        <v>1090</v>
      </c>
      <c r="B1909" s="12" t="s">
        <v>1986</v>
      </c>
      <c r="C1909" s="12" t="s">
        <v>1972</v>
      </c>
      <c r="D1909" s="12" t="s">
        <v>1973</v>
      </c>
      <c r="E1909" s="20">
        <v>33345</v>
      </c>
      <c r="F1909" s="20">
        <v>44280</v>
      </c>
      <c r="G1909" s="12">
        <v>2</v>
      </c>
      <c r="H1909" s="12">
        <v>9.3666666666666707</v>
      </c>
      <c r="I1909" s="13">
        <v>0.21352313167259801</v>
      </c>
      <c r="J1909" s="12" t="s">
        <v>1090</v>
      </c>
      <c r="K1909" s="14">
        <v>1330</v>
      </c>
      <c r="L1909" s="14">
        <v>1063</v>
      </c>
      <c r="M1909" s="14">
        <v>1359</v>
      </c>
      <c r="N1909" s="12">
        <v>2</v>
      </c>
      <c r="O1909" s="12" t="s">
        <v>1090</v>
      </c>
      <c r="P1909" s="12">
        <v>3.2172703070080199E-4</v>
      </c>
      <c r="Q1909" s="12">
        <v>9.7228339155987697E-4</v>
      </c>
      <c r="R1909" s="12">
        <v>0.141633064516129</v>
      </c>
      <c r="S1909" s="14">
        <v>31</v>
      </c>
      <c r="T1909" s="12">
        <v>7.2832475623772402E-2</v>
      </c>
      <c r="U1909" s="14">
        <v>1424</v>
      </c>
      <c r="V1909" s="14">
        <v>1</v>
      </c>
      <c r="W1909" s="12">
        <v>5.4999999999999997E-3</v>
      </c>
      <c r="X1909" s="12">
        <v>7.8332475623772393E-2</v>
      </c>
      <c r="Y1909" s="14">
        <v>1424</v>
      </c>
      <c r="Z1909" s="14">
        <v>31</v>
      </c>
      <c r="AA1909" s="12" t="s">
        <v>2367</v>
      </c>
    </row>
    <row r="1910" spans="1:27" ht="14.25" x14ac:dyDescent="0.45">
      <c r="A1910" s="12" t="s">
        <v>1101</v>
      </c>
      <c r="B1910" s="12" t="s">
        <v>1986</v>
      </c>
      <c r="C1910" s="12" t="s">
        <v>1996</v>
      </c>
      <c r="D1910" s="12" t="s">
        <v>1997</v>
      </c>
      <c r="E1910" s="20">
        <v>32818</v>
      </c>
      <c r="F1910" s="20">
        <v>44305</v>
      </c>
      <c r="G1910" s="12">
        <v>2.82</v>
      </c>
      <c r="H1910" s="12">
        <v>8.5333333333333297</v>
      </c>
      <c r="I1910" s="13">
        <v>0.33046874999999998</v>
      </c>
      <c r="J1910" s="12" t="s">
        <v>1101</v>
      </c>
      <c r="K1910" s="14">
        <v>1205</v>
      </c>
      <c r="L1910" s="14">
        <v>1193</v>
      </c>
      <c r="M1910" s="14">
        <v>1248</v>
      </c>
      <c r="N1910" s="12">
        <v>2.82</v>
      </c>
      <c r="O1910" s="12" t="s">
        <v>1101</v>
      </c>
      <c r="P1910" s="12">
        <v>4.5363511328813102E-4</v>
      </c>
      <c r="Q1910" s="12">
        <v>1.5047984475388199E-3</v>
      </c>
      <c r="R1910" s="12">
        <v>0.12903225806451599</v>
      </c>
      <c r="S1910" s="14">
        <v>33</v>
      </c>
      <c r="T1910" s="12">
        <v>0.11106121971948101</v>
      </c>
      <c r="U1910" s="14">
        <v>1260</v>
      </c>
      <c r="V1910" s="14">
        <v>1</v>
      </c>
      <c r="W1910" s="12">
        <v>5.4999999999999997E-3</v>
      </c>
      <c r="X1910" s="12">
        <v>0.116561219719481</v>
      </c>
      <c r="Y1910" s="14">
        <v>1260</v>
      </c>
      <c r="Z1910" s="14">
        <v>32</v>
      </c>
      <c r="AA1910" s="12" t="s">
        <v>2367</v>
      </c>
    </row>
    <row r="1911" spans="1:27" ht="14.25" x14ac:dyDescent="0.45">
      <c r="A1911" s="12" t="s">
        <v>1111</v>
      </c>
      <c r="B1911" s="12" t="s">
        <v>1986</v>
      </c>
      <c r="C1911" s="12" t="s">
        <v>1972</v>
      </c>
      <c r="D1911" s="12" t="s">
        <v>2020</v>
      </c>
      <c r="E1911" s="20">
        <v>34454</v>
      </c>
      <c r="F1911" s="20">
        <v>44273</v>
      </c>
      <c r="G1911" s="12">
        <v>2</v>
      </c>
      <c r="H1911" s="12">
        <v>9.6</v>
      </c>
      <c r="I1911" s="13">
        <v>0.20833333333333301</v>
      </c>
      <c r="J1911" s="12" t="s">
        <v>1111</v>
      </c>
      <c r="K1911" s="14">
        <v>1337</v>
      </c>
      <c r="L1911" s="14">
        <v>1029</v>
      </c>
      <c r="M1911" s="14">
        <v>1359</v>
      </c>
      <c r="N1911" s="12">
        <v>2</v>
      </c>
      <c r="O1911" s="12" t="s">
        <v>1111</v>
      </c>
      <c r="P1911" s="12">
        <v>3.2172703070080199E-4</v>
      </c>
      <c r="Q1911" s="12">
        <v>9.48651503570575E-4</v>
      </c>
      <c r="R1911" s="12">
        <v>0.14516129032258099</v>
      </c>
      <c r="S1911" s="14">
        <v>28</v>
      </c>
      <c r="T1911" s="12">
        <v>7.1355482624440997E-2</v>
      </c>
      <c r="U1911" s="14">
        <v>1434</v>
      </c>
      <c r="V1911" s="14">
        <v>1</v>
      </c>
      <c r="W1911" s="12">
        <v>5.4999999999999997E-3</v>
      </c>
      <c r="X1911" s="12">
        <v>7.6855482624441002E-2</v>
      </c>
      <c r="Y1911" s="14">
        <v>1434</v>
      </c>
      <c r="Z1911" s="14">
        <v>28</v>
      </c>
      <c r="AA1911" s="12" t="s">
        <v>2367</v>
      </c>
    </row>
    <row r="1912" spans="1:27" ht="14.25" x14ac:dyDescent="0.45">
      <c r="A1912" s="12" t="s">
        <v>1113</v>
      </c>
      <c r="B1912" s="12" t="s">
        <v>1986</v>
      </c>
      <c r="C1912" s="12" t="s">
        <v>1977</v>
      </c>
      <c r="D1912" s="12" t="s">
        <v>1973</v>
      </c>
      <c r="E1912" s="20">
        <v>29615</v>
      </c>
      <c r="F1912" s="20">
        <v>44305</v>
      </c>
      <c r="G1912" s="12">
        <v>4.9400000000000004</v>
      </c>
      <c r="H1912" s="12">
        <v>8.5333333333333297</v>
      </c>
      <c r="I1912" s="13">
        <v>0.57890624999999996</v>
      </c>
      <c r="J1912" s="12" t="s">
        <v>1113</v>
      </c>
      <c r="K1912" s="14">
        <v>1005</v>
      </c>
      <c r="L1912" s="14">
        <v>1193</v>
      </c>
      <c r="M1912" s="14">
        <v>1041</v>
      </c>
      <c r="N1912" s="12">
        <v>4.9400000000000004</v>
      </c>
      <c r="O1912" s="12" t="s">
        <v>1113</v>
      </c>
      <c r="P1912" s="12">
        <v>7.9466576583098105E-4</v>
      </c>
      <c r="Q1912" s="12">
        <v>2.63606536554673E-3</v>
      </c>
      <c r="R1912" s="12">
        <v>0.12903225806451599</v>
      </c>
      <c r="S1912" s="14">
        <v>41</v>
      </c>
      <c r="T1912" s="12">
        <v>0.19455405156533301</v>
      </c>
      <c r="U1912" s="14">
        <v>1062</v>
      </c>
      <c r="V1912" s="14">
        <v>1</v>
      </c>
      <c r="W1912" s="12">
        <v>5.4999999999999997E-3</v>
      </c>
      <c r="X1912" s="12">
        <v>0.20005405156533301</v>
      </c>
      <c r="Y1912" s="14">
        <v>1062</v>
      </c>
      <c r="Z1912" s="14">
        <v>41</v>
      </c>
      <c r="AA1912" s="12" t="s">
        <v>2369</v>
      </c>
    </row>
    <row r="1913" spans="1:27" ht="14.25" x14ac:dyDescent="0.45">
      <c r="A1913" s="12" t="s">
        <v>1128</v>
      </c>
      <c r="B1913" s="12" t="s">
        <v>1986</v>
      </c>
      <c r="C1913" s="12" t="s">
        <v>1981</v>
      </c>
      <c r="D1913" s="12" t="s">
        <v>1982</v>
      </c>
      <c r="E1913" s="20">
        <v>35845</v>
      </c>
      <c r="F1913" s="20">
        <v>44264</v>
      </c>
      <c r="G1913" s="12">
        <v>22.81</v>
      </c>
      <c r="H1913" s="12">
        <v>9.9</v>
      </c>
      <c r="I1913" s="13">
        <v>2.3040404040403999</v>
      </c>
      <c r="J1913" s="12" t="s">
        <v>1128</v>
      </c>
      <c r="K1913" s="14">
        <v>619</v>
      </c>
      <c r="L1913" s="14">
        <v>969</v>
      </c>
      <c r="M1913" s="14">
        <v>701</v>
      </c>
      <c r="N1913" s="12">
        <v>22.81</v>
      </c>
      <c r="O1913" s="12" t="s">
        <v>1128</v>
      </c>
      <c r="P1913" s="12">
        <v>3.66929678514265E-3</v>
      </c>
      <c r="Q1913" s="12">
        <v>1.04915106891854E-2</v>
      </c>
      <c r="R1913" s="12">
        <v>0.149697580645161</v>
      </c>
      <c r="S1913" s="14">
        <v>24</v>
      </c>
      <c r="T1913" s="12">
        <v>0.79331804751693402</v>
      </c>
      <c r="U1913" s="14">
        <v>677</v>
      </c>
      <c r="V1913" s="14">
        <v>2</v>
      </c>
      <c r="W1913" s="12">
        <v>5.5999999999999999E-3</v>
      </c>
      <c r="X1913" s="12">
        <v>0.79891804751693396</v>
      </c>
      <c r="Y1913" s="14">
        <v>677</v>
      </c>
      <c r="Z1913" s="14">
        <v>24</v>
      </c>
      <c r="AA1913" s="12" t="s">
        <v>2370</v>
      </c>
    </row>
    <row r="1914" spans="1:27" ht="14.25" x14ac:dyDescent="0.45">
      <c r="A1914" s="12" t="s">
        <v>1135</v>
      </c>
      <c r="B1914" s="12" t="s">
        <v>2253</v>
      </c>
      <c r="C1914" s="12" t="s">
        <v>1981</v>
      </c>
      <c r="D1914" s="12" t="s">
        <v>2241</v>
      </c>
      <c r="E1914" s="20">
        <v>32619</v>
      </c>
      <c r="F1914" s="20">
        <v>44279</v>
      </c>
      <c r="G1914" s="12">
        <v>221.11</v>
      </c>
      <c r="H1914" s="12">
        <v>9.4</v>
      </c>
      <c r="I1914" s="13">
        <v>23.522340425531901</v>
      </c>
      <c r="J1914" s="12" t="s">
        <v>1135</v>
      </c>
      <c r="K1914" s="14">
        <v>112</v>
      </c>
      <c r="L1914" s="14">
        <v>1056</v>
      </c>
      <c r="M1914" s="14">
        <v>273</v>
      </c>
      <c r="N1914" s="12">
        <v>221.11</v>
      </c>
      <c r="O1914" s="12" t="s">
        <v>1135</v>
      </c>
      <c r="P1914" s="12">
        <v>3.5568531879127098E-2</v>
      </c>
      <c r="Q1914" s="12">
        <v>0.107109617338463</v>
      </c>
      <c r="R1914" s="12">
        <v>0.14213709677419401</v>
      </c>
      <c r="S1914" s="14">
        <v>33</v>
      </c>
      <c r="T1914" s="12">
        <v>8.0281710291212001</v>
      </c>
      <c r="U1914" s="14">
        <v>153</v>
      </c>
      <c r="V1914" s="14">
        <v>1</v>
      </c>
      <c r="W1914" s="12">
        <v>5.4999999999999997E-3</v>
      </c>
      <c r="X1914" s="12">
        <v>8.0336710291211997</v>
      </c>
      <c r="Y1914" s="14">
        <v>153</v>
      </c>
      <c r="Z1914" s="14">
        <v>33</v>
      </c>
      <c r="AA1914" s="12" t="s">
        <v>2367</v>
      </c>
    </row>
    <row r="1915" spans="1:27" ht="14.25" x14ac:dyDescent="0.45">
      <c r="A1915" s="12" t="s">
        <v>1154</v>
      </c>
      <c r="B1915" s="12" t="s">
        <v>2092</v>
      </c>
      <c r="C1915" s="12" t="s">
        <v>1972</v>
      </c>
      <c r="D1915" s="12" t="s">
        <v>1973</v>
      </c>
      <c r="E1915" s="20">
        <v>33962</v>
      </c>
      <c r="F1915" s="20">
        <v>44112</v>
      </c>
      <c r="G1915" s="12">
        <v>69.97</v>
      </c>
      <c r="H1915" s="12">
        <v>14.966666666666701</v>
      </c>
      <c r="I1915" s="13">
        <v>4.6750556792873104</v>
      </c>
      <c r="J1915" s="12" t="s">
        <v>1154</v>
      </c>
      <c r="K1915" s="14">
        <v>459</v>
      </c>
      <c r="L1915" s="14">
        <v>523</v>
      </c>
      <c r="M1915" s="14">
        <v>427</v>
      </c>
      <c r="N1915" s="12">
        <v>69.97</v>
      </c>
      <c r="O1915" s="12" t="s">
        <v>1154</v>
      </c>
      <c r="P1915" s="12">
        <v>1.1255620169067599E-2</v>
      </c>
      <c r="Q1915" s="12">
        <v>2.12879932772739E-2</v>
      </c>
      <c r="R1915" s="12">
        <v>0.226310483870968</v>
      </c>
      <c r="S1915" s="14">
        <v>30</v>
      </c>
      <c r="T1915" s="12">
        <v>1.75258533616965</v>
      </c>
      <c r="U1915" s="14">
        <v>461</v>
      </c>
      <c r="V1915" s="14">
        <v>2</v>
      </c>
      <c r="W1915" s="12">
        <v>5.5999999999999999E-3</v>
      </c>
      <c r="X1915" s="12">
        <v>1.75818533616965</v>
      </c>
      <c r="Y1915" s="14">
        <v>461</v>
      </c>
      <c r="Z1915" s="14">
        <v>29</v>
      </c>
      <c r="AA1915" s="12" t="s">
        <v>2367</v>
      </c>
    </row>
    <row r="1916" spans="1:27" ht="14.25" x14ac:dyDescent="0.45">
      <c r="A1916" s="12" t="s">
        <v>1163</v>
      </c>
      <c r="B1916" s="12" t="s">
        <v>1986</v>
      </c>
      <c r="C1916" s="12" t="s">
        <v>1972</v>
      </c>
      <c r="D1916" s="12" t="s">
        <v>2072</v>
      </c>
      <c r="E1916" s="20">
        <v>32956</v>
      </c>
      <c r="F1916" s="20">
        <v>43873</v>
      </c>
      <c r="G1916" s="12">
        <v>10.25</v>
      </c>
      <c r="H1916" s="12">
        <v>22.933333333333302</v>
      </c>
      <c r="I1916" s="13">
        <v>0.446947674418605</v>
      </c>
      <c r="J1916" s="12" t="s">
        <v>1163</v>
      </c>
      <c r="K1916" s="14">
        <v>1102</v>
      </c>
      <c r="L1916" s="14">
        <v>410</v>
      </c>
      <c r="M1916" s="14">
        <v>837</v>
      </c>
      <c r="N1916" s="12">
        <v>10.25</v>
      </c>
      <c r="O1916" s="12" t="s">
        <v>1163</v>
      </c>
      <c r="P1916" s="12">
        <v>1.6488510323416101E-3</v>
      </c>
      <c r="Q1916" s="12">
        <v>2.03518840010199E-3</v>
      </c>
      <c r="R1916" s="12">
        <v>0.34677419354838701</v>
      </c>
      <c r="S1916" s="14">
        <v>32</v>
      </c>
      <c r="T1916" s="12">
        <v>0.18903118871918501</v>
      </c>
      <c r="U1916" s="14">
        <v>1071</v>
      </c>
      <c r="V1916" s="14">
        <v>9</v>
      </c>
      <c r="W1916" s="12">
        <v>6.3E-3</v>
      </c>
      <c r="X1916" s="12">
        <v>0.19533118871918501</v>
      </c>
      <c r="Y1916" s="14">
        <v>1070</v>
      </c>
      <c r="Z1916" s="14">
        <v>32</v>
      </c>
      <c r="AA1916" s="12" t="s">
        <v>2367</v>
      </c>
    </row>
    <row r="1917" spans="1:27" ht="14.25" x14ac:dyDescent="0.45">
      <c r="A1917" s="12" t="s">
        <v>1172</v>
      </c>
      <c r="B1917" s="12" t="s">
        <v>1986</v>
      </c>
      <c r="C1917" s="12" t="s">
        <v>1972</v>
      </c>
      <c r="D1917" s="12" t="s">
        <v>2007</v>
      </c>
      <c r="E1917" s="20">
        <v>35350</v>
      </c>
      <c r="F1917" s="20">
        <v>44287</v>
      </c>
      <c r="G1917" s="12">
        <v>68.31</v>
      </c>
      <c r="H1917" s="12">
        <v>9.1333333333333293</v>
      </c>
      <c r="I1917" s="13">
        <v>7.4791970802919696</v>
      </c>
      <c r="J1917" s="12" t="s">
        <v>1172</v>
      </c>
      <c r="K1917" s="14">
        <v>366</v>
      </c>
      <c r="L1917" s="14">
        <v>1119</v>
      </c>
      <c r="M1917" s="14">
        <v>429</v>
      </c>
      <c r="N1917" s="12">
        <v>68.31</v>
      </c>
      <c r="O1917" s="12" t="s">
        <v>1172</v>
      </c>
      <c r="P1917" s="12">
        <v>1.09885867335859E-2</v>
      </c>
      <c r="Q1917" s="12">
        <v>3.4056727467454202E-2</v>
      </c>
      <c r="R1917" s="12">
        <v>0.13810483870967699</v>
      </c>
      <c r="S1917" s="14">
        <v>26</v>
      </c>
      <c r="T1917" s="12">
        <v>2.54061746922536</v>
      </c>
      <c r="U1917" s="14">
        <v>399</v>
      </c>
      <c r="V1917" s="14">
        <v>3</v>
      </c>
      <c r="W1917" s="12">
        <v>5.7000000000000002E-3</v>
      </c>
      <c r="X1917" s="12">
        <v>2.5463174692253601</v>
      </c>
      <c r="Y1917" s="14">
        <v>399</v>
      </c>
      <c r="Z1917" s="14">
        <v>25</v>
      </c>
      <c r="AA1917" s="12" t="s">
        <v>2367</v>
      </c>
    </row>
    <row r="1918" spans="1:27" ht="14.25" x14ac:dyDescent="0.45">
      <c r="A1918" s="12" t="s">
        <v>1185</v>
      </c>
      <c r="B1918" s="12" t="s">
        <v>2025</v>
      </c>
      <c r="C1918" s="12" t="s">
        <v>1977</v>
      </c>
      <c r="D1918" s="12" t="s">
        <v>1982</v>
      </c>
      <c r="E1918" s="20">
        <v>35147</v>
      </c>
      <c r="F1918" s="20">
        <v>44179</v>
      </c>
      <c r="G1918" s="12">
        <v>0.53</v>
      </c>
      <c r="H1918" s="12">
        <v>12.733333333333301</v>
      </c>
      <c r="I1918" s="13">
        <v>4.1623036649214698E-2</v>
      </c>
      <c r="J1918" s="12" t="s">
        <v>1185</v>
      </c>
      <c r="K1918" s="14">
        <v>1626</v>
      </c>
      <c r="L1918" s="14">
        <v>700</v>
      </c>
      <c r="M1918" s="14">
        <v>1673</v>
      </c>
      <c r="N1918" s="12">
        <v>0.53</v>
      </c>
      <c r="O1918" s="12" t="s">
        <v>1185</v>
      </c>
      <c r="P1918" s="12">
        <v>8.5257663135712494E-5</v>
      </c>
      <c r="Q1918" s="12">
        <v>1.8953163024216301E-4</v>
      </c>
      <c r="R1918" s="12">
        <v>0.19254032258064499</v>
      </c>
      <c r="S1918" s="14">
        <v>26</v>
      </c>
      <c r="T1918" s="12">
        <v>1.5042889257724399E-2</v>
      </c>
      <c r="U1918" s="14">
        <v>1717</v>
      </c>
      <c r="V1918" s="14">
        <v>1</v>
      </c>
      <c r="W1918" s="12">
        <v>5.4999999999999997E-3</v>
      </c>
      <c r="X1918" s="12">
        <v>2.0542889257724399E-2</v>
      </c>
      <c r="Y1918" s="14">
        <v>1717</v>
      </c>
      <c r="Z1918" s="14">
        <v>26</v>
      </c>
      <c r="AA1918" s="12" t="s">
        <v>2367</v>
      </c>
    </row>
    <row r="1919" spans="1:27" ht="14.25" x14ac:dyDescent="0.45">
      <c r="A1919" s="12" t="s">
        <v>1218</v>
      </c>
      <c r="B1919" s="12" t="s">
        <v>2021</v>
      </c>
      <c r="C1919" s="12" t="s">
        <v>1981</v>
      </c>
      <c r="D1919" s="12" t="s">
        <v>1982</v>
      </c>
      <c r="E1919" s="20">
        <v>36298</v>
      </c>
      <c r="F1919" s="20">
        <v>44351</v>
      </c>
      <c r="G1919" s="12">
        <v>34.06</v>
      </c>
      <c r="H1919" s="12">
        <v>7</v>
      </c>
      <c r="I1919" s="13">
        <v>4.8657142857142803</v>
      </c>
      <c r="J1919" s="12" t="s">
        <v>1218</v>
      </c>
      <c r="K1919" s="14">
        <v>452</v>
      </c>
      <c r="L1919" s="14">
        <v>1479</v>
      </c>
      <c r="M1919" s="14">
        <v>550</v>
      </c>
      <c r="N1919" s="12">
        <v>34.06</v>
      </c>
      <c r="O1919" s="12" t="s">
        <v>1218</v>
      </c>
      <c r="P1919" s="12">
        <v>5.4790113328346502E-3</v>
      </c>
      <c r="Q1919" s="12">
        <v>2.21561624308209E-2</v>
      </c>
      <c r="R1919" s="12">
        <v>0.105846774193548</v>
      </c>
      <c r="S1919" s="14">
        <v>23</v>
      </c>
      <c r="T1919" s="12">
        <v>1.5902230769076</v>
      </c>
      <c r="U1919" s="14">
        <v>480</v>
      </c>
      <c r="V1919" s="14">
        <v>4</v>
      </c>
      <c r="W1919" s="12">
        <v>5.7999999999999996E-3</v>
      </c>
      <c r="X1919" s="12">
        <v>1.5960230769076</v>
      </c>
      <c r="Y1919" s="14">
        <v>480</v>
      </c>
      <c r="Z1919" s="14">
        <v>23</v>
      </c>
      <c r="AA1919" s="12" t="s">
        <v>2370</v>
      </c>
    </row>
    <row r="1920" spans="1:27" ht="14.25" x14ac:dyDescent="0.45">
      <c r="A1920" s="12" t="s">
        <v>1219</v>
      </c>
      <c r="B1920" s="12" t="s">
        <v>2021</v>
      </c>
      <c r="C1920" s="12" t="s">
        <v>1972</v>
      </c>
      <c r="D1920" s="12" t="s">
        <v>1974</v>
      </c>
      <c r="E1920" s="20">
        <v>35903</v>
      </c>
      <c r="F1920" s="20">
        <v>44280</v>
      </c>
      <c r="G1920" s="12">
        <v>11.83</v>
      </c>
      <c r="H1920" s="12">
        <v>9.3666666666666707</v>
      </c>
      <c r="I1920" s="13">
        <v>1.26298932384342</v>
      </c>
      <c r="J1920" s="12" t="s">
        <v>1219</v>
      </c>
      <c r="K1920" s="14">
        <v>755</v>
      </c>
      <c r="L1920" s="14">
        <v>1063</v>
      </c>
      <c r="M1920" s="14">
        <v>812</v>
      </c>
      <c r="N1920" s="12">
        <v>11.83</v>
      </c>
      <c r="O1920" s="12" t="s">
        <v>1219</v>
      </c>
      <c r="P1920" s="12">
        <v>1.9030153865952401E-3</v>
      </c>
      <c r="Q1920" s="12">
        <v>5.7510562610766699E-3</v>
      </c>
      <c r="R1920" s="12">
        <v>0.141633064516129</v>
      </c>
      <c r="S1920" s="14">
        <v>24</v>
      </c>
      <c r="T1920" s="12">
        <v>0.430804093314614</v>
      </c>
      <c r="U1920" s="14">
        <v>805</v>
      </c>
      <c r="V1920" s="14">
        <v>1</v>
      </c>
      <c r="W1920" s="12">
        <v>5.4999999999999997E-3</v>
      </c>
      <c r="X1920" s="12">
        <v>0.43630409331461401</v>
      </c>
      <c r="Y1920" s="14">
        <v>805</v>
      </c>
      <c r="Z1920" s="14">
        <v>24</v>
      </c>
      <c r="AA1920" s="12" t="s">
        <v>2370</v>
      </c>
    </row>
    <row r="1921" spans="1:27" ht="14.25" x14ac:dyDescent="0.45">
      <c r="A1921" s="12" t="s">
        <v>1300</v>
      </c>
      <c r="B1921" s="12" t="s">
        <v>1986</v>
      </c>
      <c r="C1921" s="12" t="s">
        <v>1972</v>
      </c>
      <c r="D1921" s="12" t="s">
        <v>1987</v>
      </c>
      <c r="E1921" s="20">
        <v>32853</v>
      </c>
      <c r="F1921" s="20">
        <v>44334</v>
      </c>
      <c r="G1921" s="12">
        <v>9.06</v>
      </c>
      <c r="H1921" s="12">
        <v>7.56666666666667</v>
      </c>
      <c r="I1921" s="13">
        <v>1.19735682819383</v>
      </c>
      <c r="J1921" s="12" t="s">
        <v>1300</v>
      </c>
      <c r="K1921" s="14">
        <v>768</v>
      </c>
      <c r="L1921" s="14">
        <v>1269</v>
      </c>
      <c r="M1921" s="14">
        <v>866</v>
      </c>
      <c r="N1921" s="12">
        <v>9.06</v>
      </c>
      <c r="O1921" s="12" t="s">
        <v>1300</v>
      </c>
      <c r="P1921" s="12">
        <v>1.4574234490746299E-3</v>
      </c>
      <c r="Q1921" s="12">
        <v>5.4521969058075499E-3</v>
      </c>
      <c r="R1921" s="12">
        <v>0.114415322580645</v>
      </c>
      <c r="S1921" s="14">
        <v>33</v>
      </c>
      <c r="T1921" s="12">
        <v>0.39541568595327098</v>
      </c>
      <c r="U1921" s="14">
        <v>835</v>
      </c>
      <c r="V1921" s="14">
        <v>6</v>
      </c>
      <c r="W1921" s="12">
        <v>6.0000000000000001E-3</v>
      </c>
      <c r="X1921" s="12">
        <v>0.40141568595327098</v>
      </c>
      <c r="Y1921" s="14">
        <v>835</v>
      </c>
      <c r="Z1921" s="14">
        <v>32</v>
      </c>
      <c r="AA1921" s="12" t="s">
        <v>2367</v>
      </c>
    </row>
    <row r="1922" spans="1:27" ht="14.25" x14ac:dyDescent="0.45">
      <c r="A1922" s="12" t="s">
        <v>1324</v>
      </c>
      <c r="B1922" s="12" t="s">
        <v>2025</v>
      </c>
      <c r="C1922" s="12" t="s">
        <v>1972</v>
      </c>
      <c r="D1922" s="12" t="s">
        <v>1984</v>
      </c>
      <c r="E1922" s="20">
        <v>34356</v>
      </c>
      <c r="F1922" s="20">
        <v>44348</v>
      </c>
      <c r="G1922" s="12">
        <v>4.3</v>
      </c>
      <c r="H1922" s="12">
        <v>7.1</v>
      </c>
      <c r="I1922" s="13">
        <v>0.60563380281690105</v>
      </c>
      <c r="J1922" s="12" t="s">
        <v>1324</v>
      </c>
      <c r="K1922" s="14">
        <v>992</v>
      </c>
      <c r="L1922" s="14">
        <v>1475</v>
      </c>
      <c r="M1922" s="14">
        <v>1087</v>
      </c>
      <c r="N1922" s="12">
        <v>4.3</v>
      </c>
      <c r="O1922" s="12" t="s">
        <v>1324</v>
      </c>
      <c r="P1922" s="12">
        <v>6.9171311600672403E-4</v>
      </c>
      <c r="Q1922" s="12">
        <v>2.7577700047460101E-3</v>
      </c>
      <c r="R1922" s="12">
        <v>0.10735887096774201</v>
      </c>
      <c r="S1922" s="14">
        <v>28</v>
      </c>
      <c r="T1922" s="12">
        <v>0.198299867146878</v>
      </c>
      <c r="U1922" s="14">
        <v>1050</v>
      </c>
      <c r="V1922" s="14">
        <v>3</v>
      </c>
      <c r="W1922" s="12">
        <v>5.7000000000000002E-3</v>
      </c>
      <c r="X1922" s="12">
        <v>0.20399986714687801</v>
      </c>
      <c r="Y1922" s="14">
        <v>1050</v>
      </c>
      <c r="Z1922" s="14">
        <v>28</v>
      </c>
      <c r="AA1922" s="12" t="s">
        <v>2367</v>
      </c>
    </row>
    <row r="1923" spans="1:27" ht="14.25" x14ac:dyDescent="0.45">
      <c r="A1923" s="12" t="s">
        <v>1334</v>
      </c>
      <c r="B1923" s="12" t="s">
        <v>2021</v>
      </c>
      <c r="C1923" s="12" t="s">
        <v>1972</v>
      </c>
      <c r="D1923" s="12" t="s">
        <v>1993</v>
      </c>
      <c r="E1923" s="20">
        <v>35388</v>
      </c>
      <c r="F1923" s="20">
        <v>44263</v>
      </c>
      <c r="G1923" s="12">
        <v>1.05</v>
      </c>
      <c r="H1923" s="12">
        <v>9.93333333333333</v>
      </c>
      <c r="I1923" s="13">
        <v>0.105704697986577</v>
      </c>
      <c r="J1923" s="12" t="s">
        <v>1334</v>
      </c>
      <c r="K1923" s="14">
        <v>1478</v>
      </c>
      <c r="L1923" s="14">
        <v>962</v>
      </c>
      <c r="M1923" s="14">
        <v>1539</v>
      </c>
      <c r="N1923" s="12">
        <v>1.05</v>
      </c>
      <c r="O1923" s="12" t="s">
        <v>1334</v>
      </c>
      <c r="P1923" s="12">
        <v>1.68906691117921E-4</v>
      </c>
      <c r="Q1923" s="12">
        <v>4.8132921926131197E-4</v>
      </c>
      <c r="R1923" s="12">
        <v>0.15020161290322601</v>
      </c>
      <c r="S1923" s="14">
        <v>26</v>
      </c>
      <c r="T1923" s="12">
        <v>3.6417077120754003E-2</v>
      </c>
      <c r="U1923" s="14">
        <v>1574</v>
      </c>
      <c r="V1923" s="14">
        <v>1</v>
      </c>
      <c r="W1923" s="12">
        <v>5.4999999999999997E-3</v>
      </c>
      <c r="X1923" s="12">
        <v>4.1917077120754001E-2</v>
      </c>
      <c r="Y1923" s="14">
        <v>1574</v>
      </c>
      <c r="Z1923" s="14">
        <v>25</v>
      </c>
      <c r="AA1923" s="12" t="s">
        <v>2367</v>
      </c>
    </row>
    <row r="1924" spans="1:27" ht="14.25" x14ac:dyDescent="0.45">
      <c r="A1924" s="12" t="s">
        <v>1335</v>
      </c>
      <c r="B1924" s="12" t="s">
        <v>1986</v>
      </c>
      <c r="C1924" s="12" t="s">
        <v>1981</v>
      </c>
      <c r="D1924" s="12" t="s">
        <v>1982</v>
      </c>
      <c r="E1924" s="20">
        <v>36354</v>
      </c>
      <c r="F1924" s="20">
        <v>44287</v>
      </c>
      <c r="G1924" s="12">
        <v>1.79</v>
      </c>
      <c r="H1924" s="12">
        <v>9.1333333333333293</v>
      </c>
      <c r="I1924" s="13">
        <v>0.19598540145985399</v>
      </c>
      <c r="J1924" s="12" t="s">
        <v>1335</v>
      </c>
      <c r="K1924" s="14">
        <v>1357</v>
      </c>
      <c r="L1924" s="14">
        <v>1119</v>
      </c>
      <c r="M1924" s="14">
        <v>1443</v>
      </c>
      <c r="N1924" s="12">
        <v>1.79</v>
      </c>
      <c r="O1924" s="12" t="s">
        <v>1335</v>
      </c>
      <c r="P1924" s="12">
        <v>2.8794569247721799E-4</v>
      </c>
      <c r="Q1924" s="12">
        <v>8.9242485970931096E-4</v>
      </c>
      <c r="R1924" s="12">
        <v>0.13810483870967699</v>
      </c>
      <c r="S1924" s="14">
        <v>23</v>
      </c>
      <c r="T1924" s="12">
        <v>6.6574517199727595E-2</v>
      </c>
      <c r="U1924" s="14">
        <v>1455</v>
      </c>
      <c r="V1924" s="14">
        <v>5</v>
      </c>
      <c r="W1924" s="12">
        <v>5.8999999999999999E-3</v>
      </c>
      <c r="X1924" s="12">
        <v>7.2474517199727598E-2</v>
      </c>
      <c r="Y1924" s="14">
        <v>1455</v>
      </c>
      <c r="Z1924" s="14">
        <v>22</v>
      </c>
      <c r="AA1924" s="12" t="s">
        <v>2370</v>
      </c>
    </row>
    <row r="1925" spans="1:27" ht="14.25" x14ac:dyDescent="0.45">
      <c r="A1925" s="12" t="s">
        <v>1336</v>
      </c>
      <c r="B1925" s="12" t="s">
        <v>2269</v>
      </c>
      <c r="C1925" s="12" t="s">
        <v>1972</v>
      </c>
      <c r="D1925" s="12" t="s">
        <v>1975</v>
      </c>
      <c r="E1925" s="20">
        <v>29580</v>
      </c>
      <c r="F1925" s="20">
        <v>44266</v>
      </c>
      <c r="G1925" s="12">
        <v>81.8</v>
      </c>
      <c r="H1925" s="12">
        <v>9.8333333333333304</v>
      </c>
      <c r="I1925" s="13">
        <v>8.31864406779661</v>
      </c>
      <c r="J1925" s="12" t="s">
        <v>1336</v>
      </c>
      <c r="K1925" s="14">
        <v>343</v>
      </c>
      <c r="L1925" s="14">
        <v>982</v>
      </c>
      <c r="M1925" s="14">
        <v>406</v>
      </c>
      <c r="N1925" s="12">
        <v>81.8</v>
      </c>
      <c r="O1925" s="12" t="s">
        <v>1336</v>
      </c>
      <c r="P1925" s="12">
        <v>1.3158635555662801E-2</v>
      </c>
      <c r="Q1925" s="12">
        <v>3.78791721724017E-2</v>
      </c>
      <c r="R1925" s="12">
        <v>0.148689516129032</v>
      </c>
      <c r="S1925" s="14">
        <v>42</v>
      </c>
      <c r="T1925" s="12">
        <v>2.8608970941124601</v>
      </c>
      <c r="U1925" s="14">
        <v>383</v>
      </c>
      <c r="V1925" s="14">
        <v>4</v>
      </c>
      <c r="W1925" s="12">
        <v>5.7999999999999996E-3</v>
      </c>
      <c r="X1925" s="12">
        <v>2.8666970941124599</v>
      </c>
      <c r="Y1925" s="14">
        <v>383</v>
      </c>
      <c r="Z1925" s="14">
        <v>41</v>
      </c>
      <c r="AA1925" s="12" t="s">
        <v>2369</v>
      </c>
    </row>
    <row r="1926" spans="1:27" ht="14.25" x14ac:dyDescent="0.45">
      <c r="A1926" s="12" t="s">
        <v>1342</v>
      </c>
      <c r="B1926" s="12" t="s">
        <v>2092</v>
      </c>
      <c r="C1926" s="12" t="s">
        <v>1972</v>
      </c>
      <c r="D1926" s="12" t="s">
        <v>1974</v>
      </c>
      <c r="E1926" s="20">
        <v>34700</v>
      </c>
      <c r="F1926" s="20">
        <v>44180</v>
      </c>
      <c r="G1926" s="12">
        <v>14.73</v>
      </c>
      <c r="H1926" s="12">
        <v>12.7</v>
      </c>
      <c r="I1926" s="13">
        <v>1.1598425196850399</v>
      </c>
      <c r="J1926" s="12" t="s">
        <v>1342</v>
      </c>
      <c r="K1926" s="14">
        <v>777</v>
      </c>
      <c r="L1926" s="14">
        <v>704</v>
      </c>
      <c r="M1926" s="14">
        <v>770</v>
      </c>
      <c r="N1926" s="12">
        <v>14.73</v>
      </c>
      <c r="O1926" s="12" t="s">
        <v>1342</v>
      </c>
      <c r="P1926" s="12">
        <v>2.3695195811114099E-3</v>
      </c>
      <c r="Q1926" s="12">
        <v>5.2813744809806201E-3</v>
      </c>
      <c r="R1926" s="12">
        <v>0.19203629032258099</v>
      </c>
      <c r="S1926" s="14">
        <v>27</v>
      </c>
      <c r="T1926" s="12">
        <v>0.41894288935296697</v>
      </c>
      <c r="U1926" s="14">
        <v>813</v>
      </c>
      <c r="V1926" s="14">
        <v>1</v>
      </c>
      <c r="W1926" s="12">
        <v>5.4999999999999997E-3</v>
      </c>
      <c r="X1926" s="12">
        <v>0.42444288935296698</v>
      </c>
      <c r="Y1926" s="14">
        <v>813</v>
      </c>
      <c r="Z1926" s="14">
        <v>27</v>
      </c>
      <c r="AA1926" s="12" t="s">
        <v>2367</v>
      </c>
    </row>
    <row r="1927" spans="1:27" ht="14.25" x14ac:dyDescent="0.45">
      <c r="A1927" s="12" t="s">
        <v>1352</v>
      </c>
      <c r="B1927" s="12" t="s">
        <v>2092</v>
      </c>
      <c r="C1927" s="12" t="s">
        <v>1981</v>
      </c>
      <c r="D1927" s="12" t="s">
        <v>1982</v>
      </c>
      <c r="E1927" s="20">
        <v>34160</v>
      </c>
      <c r="F1927" s="20">
        <v>43747</v>
      </c>
      <c r="G1927" s="12">
        <v>61.06</v>
      </c>
      <c r="H1927" s="12">
        <v>27.133333333333301</v>
      </c>
      <c r="I1927" s="13">
        <v>2.2503685503685502</v>
      </c>
      <c r="J1927" s="12" t="s">
        <v>1352</v>
      </c>
      <c r="K1927" s="14">
        <v>623</v>
      </c>
      <c r="L1927" s="14">
        <v>318</v>
      </c>
      <c r="M1927" s="14">
        <v>449</v>
      </c>
      <c r="N1927" s="12">
        <v>61.06</v>
      </c>
      <c r="O1927" s="12" t="s">
        <v>1352</v>
      </c>
      <c r="P1927" s="12">
        <v>9.8223262472954802E-3</v>
      </c>
      <c r="Q1927" s="12">
        <v>1.02471144426963E-2</v>
      </c>
      <c r="R1927" s="12">
        <v>0.41028225806451601</v>
      </c>
      <c r="S1927" s="14">
        <v>29</v>
      </c>
      <c r="T1927" s="12">
        <v>1.0087818869420999</v>
      </c>
      <c r="U1927" s="14">
        <v>569</v>
      </c>
      <c r="V1927" s="14">
        <v>2</v>
      </c>
      <c r="W1927" s="12">
        <v>5.5999999999999999E-3</v>
      </c>
      <c r="X1927" s="12">
        <v>1.0143818869421</v>
      </c>
      <c r="Y1927" s="14">
        <v>569</v>
      </c>
      <c r="Z1927" s="14">
        <v>29</v>
      </c>
      <c r="AA1927" s="12" t="s">
        <v>2367</v>
      </c>
    </row>
    <row r="1928" spans="1:27" ht="14.25" x14ac:dyDescent="0.45">
      <c r="A1928" s="12" t="s">
        <v>1395</v>
      </c>
      <c r="B1928" s="12" t="s">
        <v>2092</v>
      </c>
      <c r="C1928" s="12" t="s">
        <v>1972</v>
      </c>
      <c r="D1928" s="12" t="s">
        <v>2012</v>
      </c>
      <c r="E1928" s="20">
        <v>34933</v>
      </c>
      <c r="F1928" s="20">
        <v>44272</v>
      </c>
      <c r="G1928" s="12">
        <v>17.14</v>
      </c>
      <c r="H1928" s="12">
        <v>9.6333333333333293</v>
      </c>
      <c r="I1928" s="13">
        <v>1.7792387543252599</v>
      </c>
      <c r="J1928" s="12" t="s">
        <v>1395</v>
      </c>
      <c r="K1928" s="14">
        <v>694</v>
      </c>
      <c r="L1928" s="14">
        <v>1025</v>
      </c>
      <c r="M1928" s="14">
        <v>746</v>
      </c>
      <c r="N1928" s="12">
        <v>17.14</v>
      </c>
      <c r="O1928" s="12" t="s">
        <v>1395</v>
      </c>
      <c r="P1928" s="12">
        <v>2.7572006531058702E-3</v>
      </c>
      <c r="Q1928" s="12">
        <v>8.1018120936081298E-3</v>
      </c>
      <c r="R1928" s="12">
        <v>0.14566532258064499</v>
      </c>
      <c r="S1928" s="14">
        <v>27</v>
      </c>
      <c r="T1928" s="12">
        <v>0.60975828034197799</v>
      </c>
      <c r="U1928" s="14">
        <v>748</v>
      </c>
      <c r="V1928" s="14">
        <v>2</v>
      </c>
      <c r="W1928" s="12">
        <v>5.5999999999999999E-3</v>
      </c>
      <c r="X1928" s="12">
        <v>0.61535828034197804</v>
      </c>
      <c r="Y1928" s="14">
        <v>748</v>
      </c>
      <c r="Z1928" s="14">
        <v>26</v>
      </c>
      <c r="AA1928" s="12" t="s">
        <v>2367</v>
      </c>
    </row>
    <row r="1929" spans="1:27" ht="14.25" x14ac:dyDescent="0.45">
      <c r="A1929" s="12" t="s">
        <v>1469</v>
      </c>
      <c r="B1929" s="12" t="s">
        <v>2275</v>
      </c>
      <c r="C1929" s="12" t="s">
        <v>1972</v>
      </c>
      <c r="D1929" s="12" t="s">
        <v>2007</v>
      </c>
      <c r="E1929" s="20">
        <v>35505</v>
      </c>
      <c r="F1929" s="20">
        <v>44321</v>
      </c>
      <c r="G1929" s="12">
        <v>0.04</v>
      </c>
      <c r="H1929" s="12">
        <v>8</v>
      </c>
      <c r="I1929" s="13">
        <v>5.0000000000000001E-3</v>
      </c>
      <c r="J1929" s="12" t="s">
        <v>1469</v>
      </c>
      <c r="K1929" s="14">
        <v>1779</v>
      </c>
      <c r="L1929" s="14">
        <v>1238</v>
      </c>
      <c r="M1929" s="14">
        <v>1890</v>
      </c>
      <c r="N1929" s="12">
        <v>0.04</v>
      </c>
      <c r="O1929" s="12" t="s">
        <v>1469</v>
      </c>
      <c r="P1929" s="12">
        <v>6.4345406140160404E-6</v>
      </c>
      <c r="Q1929" s="12">
        <v>2.2767636085693799E-5</v>
      </c>
      <c r="R1929" s="12">
        <v>0.120967741935484</v>
      </c>
      <c r="S1929" s="14">
        <v>25</v>
      </c>
      <c r="T1929" s="12">
        <v>1.66427252838146E-3</v>
      </c>
      <c r="U1929" s="14">
        <v>1885</v>
      </c>
      <c r="V1929" s="14">
        <v>1</v>
      </c>
      <c r="W1929" s="12">
        <v>5.4999999999999997E-3</v>
      </c>
      <c r="X1929" s="12">
        <v>7.1642725283814603E-3</v>
      </c>
      <c r="Y1929" s="14">
        <v>1885</v>
      </c>
      <c r="Z1929" s="14">
        <v>25</v>
      </c>
      <c r="AA1929" s="12" t="s">
        <v>2367</v>
      </c>
    </row>
    <row r="1930" spans="1:27" ht="14.25" x14ac:dyDescent="0.45">
      <c r="A1930" s="12" t="s">
        <v>1481</v>
      </c>
      <c r="B1930" s="12" t="s">
        <v>1986</v>
      </c>
      <c r="C1930" s="12" t="s">
        <v>1972</v>
      </c>
      <c r="D1930" s="12" t="s">
        <v>1974</v>
      </c>
      <c r="E1930" s="20">
        <v>34224</v>
      </c>
      <c r="F1930" s="20">
        <v>44224</v>
      </c>
      <c r="G1930" s="12">
        <v>1194.43</v>
      </c>
      <c r="H1930" s="12">
        <v>11.233333333333301</v>
      </c>
      <c r="I1930" s="13">
        <v>106.32908011869399</v>
      </c>
      <c r="J1930" s="12" t="s">
        <v>1481</v>
      </c>
      <c r="K1930" s="14">
        <v>13</v>
      </c>
      <c r="L1930" s="14">
        <v>889</v>
      </c>
      <c r="M1930" s="14">
        <v>40</v>
      </c>
      <c r="N1930" s="12">
        <v>1194.43</v>
      </c>
      <c r="O1930" s="12" t="s">
        <v>1481</v>
      </c>
      <c r="P1930" s="12">
        <v>0.19214020863997899</v>
      </c>
      <c r="Q1930" s="12">
        <v>0.48417236029380301</v>
      </c>
      <c r="R1930" s="12">
        <v>0.16985887096774199</v>
      </c>
      <c r="S1930" s="14">
        <v>29</v>
      </c>
      <c r="T1930" s="12">
        <v>37.466030342361897</v>
      </c>
      <c r="U1930" s="14">
        <v>19</v>
      </c>
      <c r="V1930" s="14">
        <v>12</v>
      </c>
      <c r="W1930" s="12">
        <v>6.6E-3</v>
      </c>
      <c r="X1930" s="12">
        <v>37.472630342361903</v>
      </c>
      <c r="Y1930" s="14">
        <v>19</v>
      </c>
      <c r="Z1930" s="14">
        <v>28</v>
      </c>
      <c r="AA1930" s="12" t="s">
        <v>2367</v>
      </c>
    </row>
    <row r="1931" spans="1:27" ht="14.25" x14ac:dyDescent="0.45">
      <c r="A1931" s="12" t="s">
        <v>1484</v>
      </c>
      <c r="B1931" s="12" t="s">
        <v>1986</v>
      </c>
      <c r="C1931" s="12" t="s">
        <v>1981</v>
      </c>
      <c r="D1931" s="12" t="s">
        <v>1983</v>
      </c>
      <c r="E1931" s="20">
        <v>28728</v>
      </c>
      <c r="F1931" s="20">
        <v>44395</v>
      </c>
      <c r="G1931" s="12">
        <v>5.36</v>
      </c>
      <c r="H1931" s="12">
        <v>5.5333333333333297</v>
      </c>
      <c r="I1931" s="13">
        <v>0.96867469879518098</v>
      </c>
      <c r="J1931" s="12" t="s">
        <v>1484</v>
      </c>
      <c r="K1931" s="14">
        <v>831</v>
      </c>
      <c r="L1931" s="14">
        <v>1675</v>
      </c>
      <c r="M1931" s="14">
        <v>1009</v>
      </c>
      <c r="N1931" s="12">
        <v>5.36</v>
      </c>
      <c r="O1931" s="12" t="s">
        <v>1484</v>
      </c>
      <c r="P1931" s="12">
        <v>8.6222844227814904E-4</v>
      </c>
      <c r="Q1931" s="12">
        <v>4.4108866055175399E-3</v>
      </c>
      <c r="R1931" s="12">
        <v>8.36693548387097E-2</v>
      </c>
      <c r="S1931" s="14">
        <v>44</v>
      </c>
      <c r="T1931" s="12">
        <v>0.30801397943027697</v>
      </c>
      <c r="U1931" s="14">
        <v>907</v>
      </c>
      <c r="V1931" s="14">
        <v>3</v>
      </c>
      <c r="W1931" s="12">
        <v>5.7000000000000002E-3</v>
      </c>
      <c r="X1931" s="12">
        <v>0.31371397943027701</v>
      </c>
      <c r="Y1931" s="14">
        <v>907</v>
      </c>
      <c r="Z1931" s="14">
        <v>43</v>
      </c>
      <c r="AA1931" s="12" t="s">
        <v>2369</v>
      </c>
    </row>
    <row r="1932" spans="1:27" ht="14.25" x14ac:dyDescent="0.45">
      <c r="A1932" s="12" t="s">
        <v>1490</v>
      </c>
      <c r="B1932" s="12" t="s">
        <v>1986</v>
      </c>
      <c r="C1932" s="12" t="s">
        <v>1972</v>
      </c>
      <c r="D1932" s="12" t="s">
        <v>1984</v>
      </c>
      <c r="E1932" s="20">
        <v>33748</v>
      </c>
      <c r="F1932" s="20">
        <v>43760</v>
      </c>
      <c r="G1932" s="12">
        <v>0.6</v>
      </c>
      <c r="H1932" s="12">
        <v>26.7</v>
      </c>
      <c r="I1932" s="13">
        <v>2.2471910112359501E-2</v>
      </c>
      <c r="J1932" s="12" t="s">
        <v>1490</v>
      </c>
      <c r="K1932" s="14">
        <v>1678</v>
      </c>
      <c r="L1932" s="14">
        <v>339</v>
      </c>
      <c r="M1932" s="14">
        <v>1656</v>
      </c>
      <c r="N1932" s="12">
        <v>0.6</v>
      </c>
      <c r="O1932" s="12" t="s">
        <v>1490</v>
      </c>
      <c r="P1932" s="12">
        <v>9.6518109210240501E-5</v>
      </c>
      <c r="Q1932" s="12">
        <v>1.02326454317725E-4</v>
      </c>
      <c r="R1932" s="12">
        <v>0.40372983870967699</v>
      </c>
      <c r="S1932" s="14">
        <v>30</v>
      </c>
      <c r="T1932" s="12">
        <v>1.00148324902418E-2</v>
      </c>
      <c r="U1932" s="14">
        <v>1761</v>
      </c>
      <c r="V1932" s="14">
        <v>1</v>
      </c>
      <c r="W1932" s="12">
        <v>5.4999999999999997E-3</v>
      </c>
      <c r="X1932" s="12">
        <v>1.55148324902418E-2</v>
      </c>
      <c r="Y1932" s="14">
        <v>1761</v>
      </c>
      <c r="Z1932" s="14">
        <v>30</v>
      </c>
      <c r="AA1932" s="12" t="s">
        <v>2367</v>
      </c>
    </row>
    <row r="1933" spans="1:27" ht="14.25" x14ac:dyDescent="0.45">
      <c r="A1933" s="12" t="s">
        <v>1500</v>
      </c>
      <c r="B1933" s="12" t="s">
        <v>2215</v>
      </c>
      <c r="C1933" s="12" t="s">
        <v>2215</v>
      </c>
      <c r="D1933" s="12" t="s">
        <v>2215</v>
      </c>
      <c r="E1933" s="20">
        <v>37415</v>
      </c>
      <c r="F1933" s="20">
        <v>44390</v>
      </c>
      <c r="G1933" s="12">
        <v>4.0199999999999996</v>
      </c>
      <c r="H1933" s="12">
        <v>5.7</v>
      </c>
      <c r="I1933" s="13">
        <v>0.70526315789473704</v>
      </c>
      <c r="J1933" s="12" t="s">
        <v>1500</v>
      </c>
      <c r="K1933" s="14">
        <v>933</v>
      </c>
      <c r="L1933" s="14">
        <v>1666</v>
      </c>
      <c r="M1933" s="14">
        <v>1118</v>
      </c>
      <c r="N1933" s="12">
        <v>4.0199999999999996</v>
      </c>
      <c r="O1933" s="12" t="s">
        <v>1500</v>
      </c>
      <c r="P1933" s="12">
        <v>6.46671331708612E-4</v>
      </c>
      <c r="Q1933" s="12">
        <v>3.2114349847189101E-3</v>
      </c>
      <c r="R1933" s="12">
        <v>8.6189516129032306E-2</v>
      </c>
      <c r="S1933" s="14">
        <v>20</v>
      </c>
      <c r="T1933" s="12">
        <v>0.22496486148400499</v>
      </c>
      <c r="U1933" s="14">
        <v>1001</v>
      </c>
      <c r="V1933" s="14">
        <v>1</v>
      </c>
      <c r="W1933" s="12">
        <v>5.4999999999999997E-3</v>
      </c>
      <c r="X1933" s="12">
        <v>0.230464861484005</v>
      </c>
      <c r="Y1933" s="14">
        <v>1001</v>
      </c>
      <c r="Z1933" s="14">
        <v>20</v>
      </c>
      <c r="AA1933" s="12" t="s">
        <v>2370</v>
      </c>
    </row>
    <row r="1934" spans="1:27" ht="14.25" x14ac:dyDescent="0.45">
      <c r="A1934" s="12" t="s">
        <v>1509</v>
      </c>
      <c r="B1934" s="12" t="s">
        <v>1986</v>
      </c>
      <c r="C1934" s="12" t="s">
        <v>1972</v>
      </c>
      <c r="D1934" s="12" t="s">
        <v>2026</v>
      </c>
      <c r="E1934" s="20">
        <v>35193</v>
      </c>
      <c r="F1934" s="20">
        <v>44110</v>
      </c>
      <c r="G1934" s="12">
        <v>0.01</v>
      </c>
      <c r="H1934" s="12">
        <v>15.033333333333299</v>
      </c>
      <c r="I1934" s="13">
        <v>6.6518847006651895E-4</v>
      </c>
      <c r="J1934" s="12" t="s">
        <v>1509</v>
      </c>
      <c r="K1934" s="14">
        <v>1842</v>
      </c>
      <c r="L1934" s="14">
        <v>515</v>
      </c>
      <c r="M1934" s="14">
        <v>1944</v>
      </c>
      <c r="N1934" s="12">
        <v>0.01</v>
      </c>
      <c r="O1934" s="12" t="s">
        <v>1509</v>
      </c>
      <c r="P1934" s="12">
        <v>1.6086351535040101E-6</v>
      </c>
      <c r="Q1934" s="12">
        <v>3.02895380297478E-6</v>
      </c>
      <c r="R1934" s="12">
        <v>0.227318548387097</v>
      </c>
      <c r="S1934" s="14">
        <v>26</v>
      </c>
      <c r="T1934" s="12">
        <v>2.4963343094232401E-4</v>
      </c>
      <c r="U1934" s="14">
        <v>1958</v>
      </c>
      <c r="V1934" s="14">
        <v>1</v>
      </c>
      <c r="W1934" s="12">
        <v>5.4999999999999997E-3</v>
      </c>
      <c r="X1934" s="12">
        <v>5.7496334309423197E-3</v>
      </c>
      <c r="Y1934" s="14">
        <v>1958</v>
      </c>
      <c r="Z1934" s="14">
        <v>26</v>
      </c>
      <c r="AA1934" s="12" t="s">
        <v>2367</v>
      </c>
    </row>
    <row r="1935" spans="1:27" ht="14.25" x14ac:dyDescent="0.45">
      <c r="A1935" s="12" t="s">
        <v>1547</v>
      </c>
      <c r="B1935" s="12" t="s">
        <v>1986</v>
      </c>
      <c r="C1935" s="12" t="s">
        <v>1981</v>
      </c>
      <c r="D1935" s="12" t="s">
        <v>1982</v>
      </c>
      <c r="E1935" s="20">
        <v>35855</v>
      </c>
      <c r="F1935" s="20">
        <v>43794</v>
      </c>
      <c r="G1935" s="12">
        <v>2.0299999999999998</v>
      </c>
      <c r="H1935" s="12">
        <v>25.566666666666698</v>
      </c>
      <c r="I1935" s="13">
        <v>7.9400260756192997E-2</v>
      </c>
      <c r="J1935" s="12" t="s">
        <v>1547</v>
      </c>
      <c r="K1935" s="14">
        <v>1544</v>
      </c>
      <c r="L1935" s="14">
        <v>370</v>
      </c>
      <c r="M1935" s="14">
        <v>1354</v>
      </c>
      <c r="N1935" s="12">
        <v>2.0299999999999998</v>
      </c>
      <c r="O1935" s="12" t="s">
        <v>1547</v>
      </c>
      <c r="P1935" s="12">
        <v>3.2655293616131402E-4</v>
      </c>
      <c r="Q1935" s="12">
        <v>3.6155124840123903E-4</v>
      </c>
      <c r="R1935" s="12">
        <v>0.38659274193548399</v>
      </c>
      <c r="S1935" s="14">
        <v>24</v>
      </c>
      <c r="T1935" s="12">
        <v>3.4842688131126703E-2</v>
      </c>
      <c r="U1935" s="14">
        <v>1588</v>
      </c>
      <c r="V1935" s="14">
        <v>2</v>
      </c>
      <c r="W1935" s="12">
        <v>5.5999999999999999E-3</v>
      </c>
      <c r="X1935" s="12">
        <v>4.0442688131126697E-2</v>
      </c>
      <c r="Y1935" s="14">
        <v>1587</v>
      </c>
      <c r="Z1935" s="14">
        <v>24</v>
      </c>
      <c r="AA1935" s="12" t="s">
        <v>2370</v>
      </c>
    </row>
    <row r="1936" spans="1:27" ht="14.25" x14ac:dyDescent="0.45">
      <c r="A1936" s="12" t="s">
        <v>1570</v>
      </c>
      <c r="B1936" s="12" t="s">
        <v>1986</v>
      </c>
      <c r="C1936" s="12" t="s">
        <v>1972</v>
      </c>
      <c r="D1936" s="12" t="s">
        <v>2124</v>
      </c>
      <c r="E1936" s="20">
        <v>34885</v>
      </c>
      <c r="F1936" s="20">
        <v>44417</v>
      </c>
      <c r="G1936" s="12">
        <v>5.64</v>
      </c>
      <c r="H1936" s="12">
        <v>4.8</v>
      </c>
      <c r="I1936" s="13">
        <v>1.175</v>
      </c>
      <c r="J1936" s="12" t="s">
        <v>1570</v>
      </c>
      <c r="K1936" s="14">
        <v>774</v>
      </c>
      <c r="L1936" s="14">
        <v>1757</v>
      </c>
      <c r="M1936" s="14">
        <v>991</v>
      </c>
      <c r="N1936" s="12">
        <v>5.64</v>
      </c>
      <c r="O1936" s="12" t="s">
        <v>1570</v>
      </c>
      <c r="P1936" s="12">
        <v>9.0727022657626096E-4</v>
      </c>
      <c r="Q1936" s="12">
        <v>5.3503944801380401E-3</v>
      </c>
      <c r="R1936" s="12">
        <v>7.25806451612903E-2</v>
      </c>
      <c r="S1936" s="14">
        <v>27</v>
      </c>
      <c r="T1936" s="12">
        <v>0.36842228850523701</v>
      </c>
      <c r="U1936" s="14">
        <v>858</v>
      </c>
      <c r="V1936" s="14">
        <v>2</v>
      </c>
      <c r="W1936" s="12">
        <v>5.5999999999999999E-3</v>
      </c>
      <c r="X1936" s="12">
        <v>0.374022288505237</v>
      </c>
      <c r="Y1936" s="14">
        <v>858</v>
      </c>
      <c r="Z1936" s="14">
        <v>27</v>
      </c>
      <c r="AA1936" s="12" t="s">
        <v>2367</v>
      </c>
    </row>
    <row r="1937" spans="1:27" ht="14.25" x14ac:dyDescent="0.45">
      <c r="A1937" s="12" t="s">
        <v>1606</v>
      </c>
      <c r="B1937" s="12" t="s">
        <v>1986</v>
      </c>
      <c r="C1937" s="12" t="s">
        <v>1972</v>
      </c>
      <c r="D1937" s="12" t="s">
        <v>1990</v>
      </c>
      <c r="E1937" s="20">
        <v>33164</v>
      </c>
      <c r="F1937" s="20">
        <v>44407</v>
      </c>
      <c r="G1937" s="12">
        <v>1.06</v>
      </c>
      <c r="H1937" s="12">
        <v>5.1333333333333302</v>
      </c>
      <c r="I1937" s="13">
        <v>0.20649350649350601</v>
      </c>
      <c r="J1937" s="12" t="s">
        <v>1606</v>
      </c>
      <c r="K1937" s="14">
        <v>1339</v>
      </c>
      <c r="L1937" s="14">
        <v>1720</v>
      </c>
      <c r="M1937" s="14">
        <v>1538</v>
      </c>
      <c r="N1937" s="12">
        <v>1.06</v>
      </c>
      <c r="O1937" s="12" t="s">
        <v>1606</v>
      </c>
      <c r="P1937" s="12">
        <v>1.7051532627142499E-4</v>
      </c>
      <c r="Q1937" s="12">
        <v>9.40273801980601E-4</v>
      </c>
      <c r="R1937" s="12">
        <v>7.7620967741935498E-2</v>
      </c>
      <c r="S1937" s="14">
        <v>32</v>
      </c>
      <c r="T1937" s="12">
        <v>6.5161437358965998E-2</v>
      </c>
      <c r="U1937" s="14">
        <v>1463</v>
      </c>
      <c r="V1937" s="14">
        <v>1</v>
      </c>
      <c r="W1937" s="12">
        <v>5.4999999999999997E-3</v>
      </c>
      <c r="X1937" s="12">
        <v>7.0661437358966003E-2</v>
      </c>
      <c r="Y1937" s="14">
        <v>1463</v>
      </c>
      <c r="Z1937" s="14">
        <v>31</v>
      </c>
      <c r="AA1937" s="12" t="s">
        <v>2367</v>
      </c>
    </row>
    <row r="1938" spans="1:27" ht="14.25" x14ac:dyDescent="0.45">
      <c r="A1938" s="12" t="s">
        <v>1618</v>
      </c>
      <c r="B1938" s="12" t="s">
        <v>2215</v>
      </c>
      <c r="C1938" s="12" t="s">
        <v>2215</v>
      </c>
      <c r="D1938" s="12" t="s">
        <v>2215</v>
      </c>
      <c r="E1938" s="20">
        <v>33495</v>
      </c>
      <c r="F1938" s="20">
        <v>44370</v>
      </c>
      <c r="G1938" s="12">
        <v>0.02</v>
      </c>
      <c r="H1938" s="12">
        <v>6.3666666666666698</v>
      </c>
      <c r="I1938" s="13">
        <v>3.1413612565445001E-3</v>
      </c>
      <c r="J1938" s="12" t="s">
        <v>1618</v>
      </c>
      <c r="K1938" s="14">
        <v>1795</v>
      </c>
      <c r="L1938" s="14">
        <v>1504</v>
      </c>
      <c r="M1938" s="14">
        <v>1922</v>
      </c>
      <c r="N1938" s="12">
        <v>0.02</v>
      </c>
      <c r="O1938" s="12" t="s">
        <v>1618</v>
      </c>
      <c r="P1938" s="12">
        <v>3.2172703070080202E-6</v>
      </c>
      <c r="Q1938" s="12">
        <v>1.4304273980540601E-5</v>
      </c>
      <c r="R1938" s="12">
        <v>9.6270161290322606E-2</v>
      </c>
      <c r="S1938" s="14">
        <v>31</v>
      </c>
      <c r="T1938" s="12">
        <v>1.01466476029659E-3</v>
      </c>
      <c r="U1938" s="14">
        <v>1907</v>
      </c>
      <c r="V1938" s="14">
        <v>1</v>
      </c>
      <c r="W1938" s="12">
        <v>5.4999999999999997E-3</v>
      </c>
      <c r="X1938" s="12">
        <v>6.5146647602965903E-3</v>
      </c>
      <c r="Y1938" s="14">
        <v>1907</v>
      </c>
      <c r="Z1938" s="14">
        <v>30</v>
      </c>
      <c r="AA1938" s="12" t="s">
        <v>2367</v>
      </c>
    </row>
    <row r="1939" spans="1:27" ht="14.25" x14ac:dyDescent="0.45">
      <c r="A1939" s="12" t="s">
        <v>1729</v>
      </c>
      <c r="B1939" s="12" t="s">
        <v>2302</v>
      </c>
      <c r="C1939" s="12" t="s">
        <v>1972</v>
      </c>
      <c r="D1939" s="12" t="s">
        <v>1997</v>
      </c>
      <c r="E1939" s="20">
        <v>36054</v>
      </c>
      <c r="F1939" s="20">
        <v>44426</v>
      </c>
      <c r="G1939" s="12">
        <v>2.86</v>
      </c>
      <c r="H1939" s="12">
        <v>4.5</v>
      </c>
      <c r="I1939" s="13">
        <v>0.63555555555555598</v>
      </c>
      <c r="J1939" s="12" t="s">
        <v>1729</v>
      </c>
      <c r="K1939" s="14">
        <v>972</v>
      </c>
      <c r="L1939" s="14">
        <v>1839</v>
      </c>
      <c r="M1939" s="14">
        <v>1243</v>
      </c>
      <c r="N1939" s="12">
        <v>2.86</v>
      </c>
      <c r="O1939" s="12" t="s">
        <v>1729</v>
      </c>
      <c r="P1939" s="12">
        <v>4.6006965390214702E-4</v>
      </c>
      <c r="Q1939" s="12">
        <v>2.8940195202259698E-3</v>
      </c>
      <c r="R1939" s="12">
        <v>6.80443548387097E-2</v>
      </c>
      <c r="S1939" s="14">
        <v>24</v>
      </c>
      <c r="T1939" s="12">
        <v>0.19812883203545301</v>
      </c>
      <c r="U1939" s="14">
        <v>1052</v>
      </c>
      <c r="V1939" s="14">
        <v>1</v>
      </c>
      <c r="W1939" s="12">
        <v>5.4999999999999997E-3</v>
      </c>
      <c r="X1939" s="12">
        <v>0.20362883203545301</v>
      </c>
      <c r="Y1939" s="14">
        <v>1053</v>
      </c>
      <c r="Z1939" s="14">
        <v>23</v>
      </c>
      <c r="AA1939" s="12" t="s">
        <v>2370</v>
      </c>
    </row>
    <row r="1940" spans="1:27" ht="14.25" x14ac:dyDescent="0.45">
      <c r="A1940" s="12" t="s">
        <v>1741</v>
      </c>
      <c r="B1940" s="12" t="s">
        <v>1986</v>
      </c>
      <c r="C1940" s="12" t="s">
        <v>1981</v>
      </c>
      <c r="D1940" s="12" t="s">
        <v>2007</v>
      </c>
      <c r="E1940" s="20">
        <v>29657</v>
      </c>
      <c r="F1940" s="20">
        <v>44280</v>
      </c>
      <c r="G1940" s="12">
        <v>2.71</v>
      </c>
      <c r="H1940" s="12">
        <v>9.3666666666666707</v>
      </c>
      <c r="I1940" s="13">
        <v>0.28932384341637002</v>
      </c>
      <c r="J1940" s="12" t="s">
        <v>1741</v>
      </c>
      <c r="K1940" s="14">
        <v>1235</v>
      </c>
      <c r="L1940" s="14">
        <v>1063</v>
      </c>
      <c r="M1940" s="14">
        <v>1256</v>
      </c>
      <c r="N1940" s="12">
        <v>2.71</v>
      </c>
      <c r="O1940" s="12" t="s">
        <v>1741</v>
      </c>
      <c r="P1940" s="12">
        <v>4.3594012659958602E-4</v>
      </c>
      <c r="Q1940" s="12">
        <v>1.31744399556363E-3</v>
      </c>
      <c r="R1940" s="12">
        <v>0.141633064516129</v>
      </c>
      <c r="S1940" s="14">
        <v>41</v>
      </c>
      <c r="T1940" s="12">
        <v>9.8688004470211602E-2</v>
      </c>
      <c r="U1940" s="14">
        <v>1294</v>
      </c>
      <c r="V1940" s="14">
        <v>2</v>
      </c>
      <c r="W1940" s="12">
        <v>5.5999999999999999E-3</v>
      </c>
      <c r="X1940" s="12">
        <v>0.104288004470212</v>
      </c>
      <c r="Y1940" s="14">
        <v>1294</v>
      </c>
      <c r="Z1940" s="14">
        <v>41</v>
      </c>
      <c r="AA1940" s="12" t="s">
        <v>2369</v>
      </c>
    </row>
    <row r="1941" spans="1:27" ht="14.25" x14ac:dyDescent="0.45">
      <c r="A1941" s="12" t="s">
        <v>1760</v>
      </c>
      <c r="B1941" s="12" t="s">
        <v>2021</v>
      </c>
      <c r="C1941" s="12" t="s">
        <v>1972</v>
      </c>
      <c r="D1941" s="12" t="s">
        <v>1982</v>
      </c>
      <c r="E1941" s="20">
        <v>35148</v>
      </c>
      <c r="F1941" s="20">
        <v>43812</v>
      </c>
      <c r="G1941" s="12">
        <v>4.08</v>
      </c>
      <c r="H1941" s="12">
        <v>24.966666666666701</v>
      </c>
      <c r="I1941" s="13">
        <v>0.163417890520694</v>
      </c>
      <c r="J1941" s="12" t="s">
        <v>1760</v>
      </c>
      <c r="K1941" s="14">
        <v>1397</v>
      </c>
      <c r="L1941" s="14">
        <v>374</v>
      </c>
      <c r="M1941" s="14">
        <v>1111</v>
      </c>
      <c r="N1941" s="12">
        <v>4.08</v>
      </c>
      <c r="O1941" s="12" t="s">
        <v>1760</v>
      </c>
      <c r="P1941" s="12">
        <v>6.5632314262963596E-4</v>
      </c>
      <c r="Q1941" s="12">
        <v>7.4412781225338296E-4</v>
      </c>
      <c r="R1941" s="12">
        <v>0.37752016129032301</v>
      </c>
      <c r="S1941" s="14">
        <v>26</v>
      </c>
      <c r="T1941" s="12">
        <v>7.1120106114447801E-2</v>
      </c>
      <c r="U1941" s="14">
        <v>1438</v>
      </c>
      <c r="V1941" s="14">
        <v>2</v>
      </c>
      <c r="W1941" s="12">
        <v>5.5999999999999999E-3</v>
      </c>
      <c r="X1941" s="12">
        <v>7.6720106114447795E-2</v>
      </c>
      <c r="Y1941" s="14">
        <v>1437</v>
      </c>
      <c r="Z1941" s="14">
        <v>26</v>
      </c>
      <c r="AA1941" s="12" t="s">
        <v>2367</v>
      </c>
    </row>
    <row r="1942" spans="1:27" ht="14.25" x14ac:dyDescent="0.45">
      <c r="A1942" s="12" t="s">
        <v>1793</v>
      </c>
      <c r="B1942" s="12" t="s">
        <v>2215</v>
      </c>
      <c r="C1942" s="12" t="s">
        <v>2215</v>
      </c>
      <c r="D1942" s="12" t="s">
        <v>2215</v>
      </c>
      <c r="E1942" s="20">
        <v>36459</v>
      </c>
      <c r="F1942" s="20">
        <v>44314</v>
      </c>
      <c r="G1942" s="12">
        <v>0.76</v>
      </c>
      <c r="H1942" s="12">
        <v>8.2333333333333307</v>
      </c>
      <c r="I1942" s="13">
        <v>9.2307692307692299E-2</v>
      </c>
      <c r="J1942" s="12" t="s">
        <v>1793</v>
      </c>
      <c r="K1942" s="14">
        <v>1516</v>
      </c>
      <c r="L1942" s="14">
        <v>1234</v>
      </c>
      <c r="M1942" s="14">
        <v>1612</v>
      </c>
      <c r="N1942" s="12">
        <v>0.76</v>
      </c>
      <c r="O1942" s="12" t="s">
        <v>1793</v>
      </c>
      <c r="P1942" s="12">
        <v>1.2225627166630499E-4</v>
      </c>
      <c r="Q1942" s="12">
        <v>4.2032558927434702E-4</v>
      </c>
      <c r="R1942" s="12">
        <v>0.124495967741935</v>
      </c>
      <c r="S1942" s="14">
        <v>23</v>
      </c>
      <c r="T1942" s="12">
        <v>3.0854959517133101E-2</v>
      </c>
      <c r="U1942" s="14">
        <v>1616</v>
      </c>
      <c r="V1942" s="14">
        <v>1</v>
      </c>
      <c r="W1942" s="12">
        <v>5.4999999999999997E-3</v>
      </c>
      <c r="X1942" s="12">
        <v>3.6354959517133099E-2</v>
      </c>
      <c r="Y1942" s="14">
        <v>1616</v>
      </c>
      <c r="Z1942" s="14">
        <v>22</v>
      </c>
      <c r="AA1942" s="12" t="s">
        <v>2370</v>
      </c>
    </row>
    <row r="1943" spans="1:27" ht="14.25" x14ac:dyDescent="0.45">
      <c r="A1943" s="12" t="s">
        <v>1814</v>
      </c>
      <c r="B1943" s="12" t="s">
        <v>1986</v>
      </c>
      <c r="C1943" s="12" t="s">
        <v>1972</v>
      </c>
      <c r="D1943" s="12" t="s">
        <v>1974</v>
      </c>
      <c r="E1943" s="20">
        <v>33525</v>
      </c>
      <c r="F1943" s="20">
        <v>43781</v>
      </c>
      <c r="G1943" s="12">
        <v>0.05</v>
      </c>
      <c r="H1943" s="12">
        <v>26</v>
      </c>
      <c r="I1943" s="13">
        <v>1.9230769230769199E-3</v>
      </c>
      <c r="J1943" s="12" t="s">
        <v>1814</v>
      </c>
      <c r="K1943" s="14">
        <v>1812</v>
      </c>
      <c r="L1943" s="14">
        <v>366</v>
      </c>
      <c r="M1943" s="14">
        <v>1878</v>
      </c>
      <c r="N1943" s="12">
        <v>0.05</v>
      </c>
      <c r="O1943" s="12" t="s">
        <v>1814</v>
      </c>
      <c r="P1943" s="12">
        <v>8.0431757675200496E-6</v>
      </c>
      <c r="Q1943" s="12">
        <v>8.7567831098822308E-6</v>
      </c>
      <c r="R1943" s="12">
        <v>0.39314516129032301</v>
      </c>
      <c r="S1943" s="14">
        <v>31</v>
      </c>
      <c r="T1943" s="12">
        <v>8.4891803564964095E-4</v>
      </c>
      <c r="U1943" s="14">
        <v>1919</v>
      </c>
      <c r="V1943" s="14">
        <v>1</v>
      </c>
      <c r="W1943" s="12">
        <v>5.4999999999999997E-3</v>
      </c>
      <c r="X1943" s="12">
        <v>6.3489180356496398E-3</v>
      </c>
      <c r="Y1943" s="14">
        <v>1919</v>
      </c>
      <c r="Z1943" s="14">
        <v>30</v>
      </c>
      <c r="AA1943" s="12" t="s">
        <v>2367</v>
      </c>
    </row>
    <row r="1944" spans="1:27" ht="14.25" x14ac:dyDescent="0.45">
      <c r="A1944" s="12" t="s">
        <v>1824</v>
      </c>
      <c r="B1944" s="12" t="s">
        <v>2215</v>
      </c>
      <c r="C1944" s="12" t="s">
        <v>2215</v>
      </c>
      <c r="D1944" s="12" t="s">
        <v>2215</v>
      </c>
      <c r="E1944" s="20">
        <v>25603</v>
      </c>
      <c r="F1944" s="20">
        <v>44417</v>
      </c>
      <c r="G1944" s="12">
        <v>0.23</v>
      </c>
      <c r="H1944" s="12">
        <v>4.8</v>
      </c>
      <c r="I1944" s="13">
        <v>4.7916666666666698E-2</v>
      </c>
      <c r="J1944" s="12" t="s">
        <v>1824</v>
      </c>
      <c r="K1944" s="14">
        <v>1614</v>
      </c>
      <c r="L1944" s="14">
        <v>1757</v>
      </c>
      <c r="M1944" s="14">
        <v>1769</v>
      </c>
      <c r="N1944" s="12">
        <v>0.23</v>
      </c>
      <c r="O1944" s="12" t="s">
        <v>1824</v>
      </c>
      <c r="P1944" s="12">
        <v>3.6998608530592203E-5</v>
      </c>
      <c r="Q1944" s="12">
        <v>2.1818984582123199E-4</v>
      </c>
      <c r="R1944" s="12">
        <v>7.25806451612903E-2</v>
      </c>
      <c r="S1944" s="14">
        <v>52</v>
      </c>
      <c r="T1944" s="12">
        <v>1.50243131837242E-2</v>
      </c>
      <c r="U1944" s="14">
        <v>1718</v>
      </c>
      <c r="V1944" s="14">
        <v>1</v>
      </c>
      <c r="W1944" s="12">
        <v>5.4999999999999997E-3</v>
      </c>
      <c r="X1944" s="12">
        <v>2.0524313183724201E-2</v>
      </c>
      <c r="Y1944" s="14">
        <v>1718</v>
      </c>
      <c r="Z1944" s="14">
        <v>52</v>
      </c>
      <c r="AA1944" s="12" t="s">
        <v>2371</v>
      </c>
    </row>
    <row r="1945" spans="1:27" ht="14.25" x14ac:dyDescent="0.45">
      <c r="A1945" s="12" t="s">
        <v>1831</v>
      </c>
      <c r="B1945" s="12" t="s">
        <v>1986</v>
      </c>
      <c r="C1945" s="12" t="s">
        <v>1977</v>
      </c>
      <c r="D1945" s="12" t="s">
        <v>1974</v>
      </c>
      <c r="E1945" s="20">
        <v>31679</v>
      </c>
      <c r="F1945" s="20">
        <v>44172</v>
      </c>
      <c r="G1945" s="12">
        <v>0.03</v>
      </c>
      <c r="H1945" s="12">
        <v>12.966666666666701</v>
      </c>
      <c r="I1945" s="13">
        <v>2.31362467866324E-3</v>
      </c>
      <c r="J1945" s="12" t="s">
        <v>1831</v>
      </c>
      <c r="K1945" s="14">
        <v>1805</v>
      </c>
      <c r="L1945" s="14">
        <v>677</v>
      </c>
      <c r="M1945" s="14">
        <v>1895</v>
      </c>
      <c r="N1945" s="12">
        <v>0.03</v>
      </c>
      <c r="O1945" s="12" t="s">
        <v>1831</v>
      </c>
      <c r="P1945" s="12">
        <v>4.8259054605120303E-6</v>
      </c>
      <c r="Q1945" s="12">
        <v>1.0535152944536999E-5</v>
      </c>
      <c r="R1945" s="12">
        <v>0.196068548387097</v>
      </c>
      <c r="S1945" s="14">
        <v>36</v>
      </c>
      <c r="T1945" s="12">
        <v>8.3941851380276203E-4</v>
      </c>
      <c r="U1945" s="14">
        <v>1921</v>
      </c>
      <c r="V1945" s="14">
        <v>1</v>
      </c>
      <c r="W1945" s="12">
        <v>5.4999999999999997E-3</v>
      </c>
      <c r="X1945" s="12">
        <v>6.3394185138027602E-3</v>
      </c>
      <c r="Y1945" s="14">
        <v>1921</v>
      </c>
      <c r="Z1945" s="14">
        <v>35</v>
      </c>
      <c r="AA1945" s="12" t="s">
        <v>2369</v>
      </c>
    </row>
    <row r="1946" spans="1:27" ht="14.25" x14ac:dyDescent="0.45">
      <c r="A1946" s="12" t="s">
        <v>1836</v>
      </c>
      <c r="B1946" s="12" t="s">
        <v>1986</v>
      </c>
      <c r="C1946" s="12" t="s">
        <v>1972</v>
      </c>
      <c r="D1946" s="12" t="s">
        <v>1974</v>
      </c>
      <c r="E1946" s="20">
        <v>34761</v>
      </c>
      <c r="F1946" s="20">
        <v>44263</v>
      </c>
      <c r="G1946" s="12">
        <v>0.03</v>
      </c>
      <c r="H1946" s="12">
        <v>9.93333333333333</v>
      </c>
      <c r="I1946" s="13">
        <v>3.0201342281879198E-3</v>
      </c>
      <c r="J1946" s="12" t="s">
        <v>1836</v>
      </c>
      <c r="K1946" s="14">
        <v>1797</v>
      </c>
      <c r="L1946" s="14">
        <v>962</v>
      </c>
      <c r="M1946" s="14">
        <v>1895</v>
      </c>
      <c r="N1946" s="12">
        <v>0.03</v>
      </c>
      <c r="O1946" s="12" t="s">
        <v>1836</v>
      </c>
      <c r="P1946" s="12">
        <v>4.8259054605120303E-6</v>
      </c>
      <c r="Q1946" s="12">
        <v>1.3752263407466E-5</v>
      </c>
      <c r="R1946" s="12">
        <v>0.15020161290322601</v>
      </c>
      <c r="S1946" s="14">
        <v>27</v>
      </c>
      <c r="T1946" s="12">
        <v>1.0404879177358299E-3</v>
      </c>
      <c r="U1946" s="14">
        <v>1904</v>
      </c>
      <c r="V1946" s="14">
        <v>1</v>
      </c>
      <c r="W1946" s="12">
        <v>5.4999999999999997E-3</v>
      </c>
      <c r="X1946" s="12">
        <v>6.5404879177358302E-3</v>
      </c>
      <c r="Y1946" s="14">
        <v>1904</v>
      </c>
      <c r="Z1946" s="14">
        <v>27</v>
      </c>
      <c r="AA1946" s="12" t="s">
        <v>2367</v>
      </c>
    </row>
    <row r="1947" spans="1:27" ht="14.25" x14ac:dyDescent="0.45">
      <c r="A1947" s="12" t="s">
        <v>1858</v>
      </c>
      <c r="B1947" s="12" t="s">
        <v>2021</v>
      </c>
      <c r="C1947" s="12" t="s">
        <v>1972</v>
      </c>
      <c r="D1947" s="12" t="s">
        <v>2020</v>
      </c>
      <c r="E1947" s="20">
        <v>33608</v>
      </c>
      <c r="F1947" s="20">
        <v>44543</v>
      </c>
      <c r="G1947" s="12">
        <v>1.3</v>
      </c>
      <c r="H1947" s="12">
        <v>0.6</v>
      </c>
      <c r="I1947" s="13">
        <v>2.1666666666666701</v>
      </c>
      <c r="J1947" s="12" t="s">
        <v>1858</v>
      </c>
      <c r="K1947" s="14">
        <v>634</v>
      </c>
      <c r="L1947" s="14">
        <v>1955</v>
      </c>
      <c r="M1947" s="14">
        <v>1504</v>
      </c>
      <c r="N1947" s="12">
        <v>1.3</v>
      </c>
      <c r="O1947" s="12" t="s">
        <v>1858</v>
      </c>
      <c r="P1947" s="12">
        <v>2.0912256995552099E-4</v>
      </c>
      <c r="Q1947" s="12">
        <v>9.86597563713398E-3</v>
      </c>
      <c r="R1947" s="12">
        <v>9.0725806451612892E-3</v>
      </c>
      <c r="S1947" s="14">
        <v>30</v>
      </c>
      <c r="T1947" s="12">
        <v>0.62446557369420597</v>
      </c>
      <c r="U1947" s="14">
        <v>743</v>
      </c>
      <c r="V1947" s="14">
        <v>1</v>
      </c>
      <c r="W1947" s="12">
        <v>5.4999999999999997E-3</v>
      </c>
      <c r="X1947" s="12">
        <v>0.62996557369420603</v>
      </c>
      <c r="Y1947" s="14">
        <v>743</v>
      </c>
      <c r="Z1947" s="14">
        <v>30</v>
      </c>
      <c r="AA1947" s="12" t="s">
        <v>2367</v>
      </c>
    </row>
    <row r="1948" spans="1:27" ht="14.25" x14ac:dyDescent="0.45">
      <c r="A1948" s="12" t="s">
        <v>1874</v>
      </c>
      <c r="B1948" s="12" t="s">
        <v>1986</v>
      </c>
      <c r="C1948" s="12" t="s">
        <v>1972</v>
      </c>
      <c r="D1948" s="12" t="s">
        <v>1990</v>
      </c>
      <c r="E1948" s="20">
        <v>34131</v>
      </c>
      <c r="F1948" s="20">
        <v>44484</v>
      </c>
      <c r="G1948" s="12">
        <v>7.92</v>
      </c>
      <c r="H1948" s="12">
        <v>2.56666666666667</v>
      </c>
      <c r="I1948" s="13">
        <v>3.0857142857142899</v>
      </c>
      <c r="J1948" s="12" t="s">
        <v>1874</v>
      </c>
      <c r="K1948" s="14">
        <v>552</v>
      </c>
      <c r="L1948" s="14">
        <v>1909</v>
      </c>
      <c r="M1948" s="14">
        <v>892</v>
      </c>
      <c r="N1948" s="12">
        <v>7.92</v>
      </c>
      <c r="O1948" s="12" t="s">
        <v>1874</v>
      </c>
      <c r="P1948" s="12">
        <v>1.27403904157518E-3</v>
      </c>
      <c r="Q1948" s="12">
        <v>1.40508839843139E-2</v>
      </c>
      <c r="R1948" s="12">
        <v>3.8810483870967701E-2</v>
      </c>
      <c r="S1948" s="14">
        <v>29</v>
      </c>
      <c r="T1948" s="12">
        <v>0.92595671307868699</v>
      </c>
      <c r="U1948" s="14">
        <v>586</v>
      </c>
      <c r="V1948" s="14">
        <v>1</v>
      </c>
      <c r="W1948" s="12">
        <v>5.4999999999999997E-3</v>
      </c>
      <c r="X1948" s="12">
        <v>0.93145671307868705</v>
      </c>
      <c r="Y1948" s="14">
        <v>586</v>
      </c>
      <c r="Z1948" s="14">
        <v>29</v>
      </c>
      <c r="AA1948" s="12" t="s">
        <v>2367</v>
      </c>
    </row>
    <row r="1949" spans="1:27" ht="14.25" x14ac:dyDescent="0.45">
      <c r="A1949" s="12" t="s">
        <v>1877</v>
      </c>
      <c r="B1949" s="12" t="s">
        <v>1986</v>
      </c>
      <c r="C1949" s="12" t="s">
        <v>1972</v>
      </c>
      <c r="D1949" s="12" t="s">
        <v>2088</v>
      </c>
      <c r="E1949" s="20">
        <v>33248</v>
      </c>
      <c r="F1949" s="20">
        <v>44502</v>
      </c>
      <c r="G1949" s="12">
        <v>2</v>
      </c>
      <c r="H1949" s="12">
        <v>1.9666666666666699</v>
      </c>
      <c r="I1949" s="13">
        <v>1.0169491525423699</v>
      </c>
      <c r="J1949" s="12" t="s">
        <v>1877</v>
      </c>
      <c r="K1949" s="14">
        <v>815</v>
      </c>
      <c r="L1949" s="14">
        <v>1926</v>
      </c>
      <c r="M1949" s="14">
        <v>1359</v>
      </c>
      <c r="N1949" s="12">
        <v>2</v>
      </c>
      <c r="O1949" s="12" t="s">
        <v>1877</v>
      </c>
      <c r="P1949" s="12">
        <v>3.2172703070080199E-4</v>
      </c>
      <c r="Q1949" s="12">
        <v>4.6307056445478896E-3</v>
      </c>
      <c r="R1949" s="12">
        <v>2.9737903225806401E-2</v>
      </c>
      <c r="S1949" s="14">
        <v>31</v>
      </c>
      <c r="T1949" s="12">
        <v>0.301483866435523</v>
      </c>
      <c r="U1949" s="14">
        <v>918</v>
      </c>
      <c r="V1949" s="14">
        <v>2</v>
      </c>
      <c r="W1949" s="12">
        <v>5.5999999999999999E-3</v>
      </c>
      <c r="X1949" s="12">
        <v>0.30708386643552299</v>
      </c>
      <c r="Y1949" s="14">
        <v>919</v>
      </c>
      <c r="Z1949" s="14">
        <v>31</v>
      </c>
      <c r="AA1949" s="12" t="s">
        <v>2367</v>
      </c>
    </row>
    <row r="1950" spans="1:27" ht="14.25" x14ac:dyDescent="0.45">
      <c r="A1950" s="12" t="s">
        <v>1899</v>
      </c>
      <c r="B1950" s="12" t="s">
        <v>2092</v>
      </c>
      <c r="C1950" s="12" t="s">
        <v>1977</v>
      </c>
      <c r="D1950" s="12" t="s">
        <v>1987</v>
      </c>
      <c r="E1950" s="20">
        <v>34395</v>
      </c>
      <c r="F1950" s="20">
        <v>44538</v>
      </c>
      <c r="G1950" s="12">
        <v>21.75</v>
      </c>
      <c r="H1950" s="12">
        <v>0.76666666666666705</v>
      </c>
      <c r="I1950" s="13">
        <v>28.369565217391301</v>
      </c>
      <c r="J1950" s="12" t="s">
        <v>1899</v>
      </c>
      <c r="K1950" s="14">
        <v>86</v>
      </c>
      <c r="L1950" s="14">
        <v>1948</v>
      </c>
      <c r="M1950" s="14">
        <v>709</v>
      </c>
      <c r="N1950" s="12">
        <v>21.75</v>
      </c>
      <c r="O1950" s="12" t="s">
        <v>1899</v>
      </c>
      <c r="P1950" s="12">
        <v>3.49878145887122E-3</v>
      </c>
      <c r="Q1950" s="12">
        <v>0.129181587355784</v>
      </c>
      <c r="R1950" s="12">
        <v>1.1592741935483901E-2</v>
      </c>
      <c r="S1950" s="14">
        <v>28</v>
      </c>
      <c r="T1950" s="12">
        <v>8.2050535144441898</v>
      </c>
      <c r="U1950" s="14">
        <v>144</v>
      </c>
      <c r="V1950" s="14">
        <v>2</v>
      </c>
      <c r="W1950" s="12">
        <v>5.5999999999999999E-3</v>
      </c>
      <c r="X1950" s="12">
        <v>8.2106535144441892</v>
      </c>
      <c r="Y1950" s="14">
        <v>144</v>
      </c>
      <c r="Z1950" s="14">
        <v>28</v>
      </c>
      <c r="AA1950" s="12" t="s">
        <v>2367</v>
      </c>
    </row>
    <row r="1951" spans="1:27" ht="14.25" x14ac:dyDescent="0.45">
      <c r="A1951" s="12" t="s">
        <v>1902</v>
      </c>
      <c r="B1951" s="12" t="s">
        <v>2025</v>
      </c>
      <c r="C1951" s="12" t="s">
        <v>1977</v>
      </c>
      <c r="D1951" s="12" t="s">
        <v>1978</v>
      </c>
      <c r="E1951" s="20">
        <v>34895</v>
      </c>
      <c r="F1951" s="20">
        <v>44460</v>
      </c>
      <c r="G1951" s="12">
        <v>1</v>
      </c>
      <c r="H1951" s="12">
        <v>3.3666666666666698</v>
      </c>
      <c r="I1951" s="13">
        <v>0.29702970297029702</v>
      </c>
      <c r="J1951" s="12" t="s">
        <v>1902</v>
      </c>
      <c r="K1951" s="14">
        <v>1228</v>
      </c>
      <c r="L1951" s="14">
        <v>1881</v>
      </c>
      <c r="M1951" s="14">
        <v>1549</v>
      </c>
      <c r="N1951" s="12">
        <v>1</v>
      </c>
      <c r="O1951" s="12" t="s">
        <v>1902</v>
      </c>
      <c r="P1951" s="12">
        <v>1.6086351535040099E-4</v>
      </c>
      <c r="Q1951" s="12">
        <v>1.35253283677389E-3</v>
      </c>
      <c r="R1951" s="12">
        <v>5.0907258064516098E-2</v>
      </c>
      <c r="S1951" s="14">
        <v>27</v>
      </c>
      <c r="T1951" s="12">
        <v>9.0565684124008103E-2</v>
      </c>
      <c r="U1951" s="14">
        <v>1316</v>
      </c>
      <c r="V1951" s="14">
        <v>1</v>
      </c>
      <c r="W1951" s="12">
        <v>5.4999999999999997E-3</v>
      </c>
      <c r="X1951" s="12">
        <v>9.6065684124008094E-2</v>
      </c>
      <c r="Y1951" s="14">
        <v>1316</v>
      </c>
      <c r="Z1951" s="14">
        <v>26</v>
      </c>
      <c r="AA1951" s="12" t="s">
        <v>2367</v>
      </c>
    </row>
    <row r="1952" spans="1:27" ht="14.25" x14ac:dyDescent="0.45">
      <c r="A1952" s="12" t="s">
        <v>1905</v>
      </c>
      <c r="B1952" s="12" t="s">
        <v>1986</v>
      </c>
      <c r="C1952" s="12" t="s">
        <v>1972</v>
      </c>
      <c r="D1952" s="12" t="s">
        <v>1978</v>
      </c>
      <c r="E1952" s="20">
        <v>35809</v>
      </c>
      <c r="F1952" s="20">
        <v>44481</v>
      </c>
      <c r="G1952" s="12">
        <v>1</v>
      </c>
      <c r="H1952" s="12">
        <v>2.6666666666666701</v>
      </c>
      <c r="I1952" s="13">
        <v>0.375</v>
      </c>
      <c r="J1952" s="12" t="s">
        <v>1905</v>
      </c>
      <c r="K1952" s="14">
        <v>1163</v>
      </c>
      <c r="L1952" s="14">
        <v>1906</v>
      </c>
      <c r="M1952" s="14">
        <v>1549</v>
      </c>
      <c r="N1952" s="12">
        <v>1</v>
      </c>
      <c r="O1952" s="12" t="s">
        <v>1905</v>
      </c>
      <c r="P1952" s="12">
        <v>1.6086351535040099E-4</v>
      </c>
      <c r="Q1952" s="12">
        <v>1.70757270642703E-3</v>
      </c>
      <c r="R1952" s="12">
        <v>4.0322580645161303E-2</v>
      </c>
      <c r="S1952" s="14">
        <v>24</v>
      </c>
      <c r="T1952" s="12">
        <v>0.11275567597732999</v>
      </c>
      <c r="U1952" s="14">
        <v>1254</v>
      </c>
      <c r="V1952" s="14">
        <v>1</v>
      </c>
      <c r="W1952" s="12">
        <v>5.4999999999999997E-3</v>
      </c>
      <c r="X1952" s="12">
        <v>0.11825567597733</v>
      </c>
      <c r="Y1952" s="14">
        <v>1255</v>
      </c>
      <c r="Z1952" s="14">
        <v>24</v>
      </c>
      <c r="AA1952" s="12" t="s">
        <v>2370</v>
      </c>
    </row>
    <row r="1953" spans="1:27" ht="14.25" x14ac:dyDescent="0.45">
      <c r="A1953" s="12" t="s">
        <v>1912</v>
      </c>
      <c r="B1953" s="12" t="s">
        <v>1986</v>
      </c>
      <c r="C1953" s="12" t="s">
        <v>1972</v>
      </c>
      <c r="D1953" s="12" t="s">
        <v>1995</v>
      </c>
      <c r="E1953" s="20">
        <v>31177</v>
      </c>
      <c r="F1953" s="20">
        <v>44523</v>
      </c>
      <c r="G1953" s="12">
        <v>2.12</v>
      </c>
      <c r="H1953" s="12">
        <v>1.2666666666666699</v>
      </c>
      <c r="I1953" s="13">
        <v>1.6736842105263201</v>
      </c>
      <c r="J1953" s="12" t="s">
        <v>1912</v>
      </c>
      <c r="K1953" s="14">
        <v>707</v>
      </c>
      <c r="L1953" s="14">
        <v>1940</v>
      </c>
      <c r="M1953" s="14">
        <v>1335</v>
      </c>
      <c r="N1953" s="12">
        <v>2.12</v>
      </c>
      <c r="O1953" s="12" t="s">
        <v>1912</v>
      </c>
      <c r="P1953" s="12">
        <v>3.4103065254284997E-4</v>
      </c>
      <c r="Q1953" s="12">
        <v>7.6211666055269797E-3</v>
      </c>
      <c r="R1953" s="12">
        <v>1.9153225806451599E-2</v>
      </c>
      <c r="S1953" s="14">
        <v>37</v>
      </c>
      <c r="T1953" s="12">
        <v>0.489111562315793</v>
      </c>
      <c r="U1953" s="14">
        <v>788</v>
      </c>
      <c r="V1953" s="14">
        <v>2</v>
      </c>
      <c r="W1953" s="12">
        <v>5.5999999999999999E-3</v>
      </c>
      <c r="X1953" s="12">
        <v>0.494711562315793</v>
      </c>
      <c r="Y1953" s="14">
        <v>788</v>
      </c>
      <c r="Z1953" s="14">
        <v>37</v>
      </c>
      <c r="AA1953" s="12" t="s">
        <v>2369</v>
      </c>
    </row>
    <row r="1954" spans="1:27" ht="14.25" x14ac:dyDescent="0.45">
      <c r="A1954" s="12" t="s">
        <v>1913</v>
      </c>
      <c r="B1954" s="12" t="s">
        <v>2025</v>
      </c>
      <c r="C1954" s="12" t="s">
        <v>1977</v>
      </c>
      <c r="D1954" s="12" t="s">
        <v>2070</v>
      </c>
      <c r="E1954" s="20">
        <v>25201</v>
      </c>
      <c r="F1954" s="20">
        <v>43815</v>
      </c>
      <c r="G1954" s="12">
        <v>2.48</v>
      </c>
      <c r="H1954" s="12">
        <v>24.866666666666699</v>
      </c>
      <c r="I1954" s="13">
        <v>9.9731903485254694E-2</v>
      </c>
      <c r="J1954" s="12" t="s">
        <v>1913</v>
      </c>
      <c r="K1954" s="14">
        <v>1496</v>
      </c>
      <c r="L1954" s="14">
        <v>376</v>
      </c>
      <c r="M1954" s="14">
        <v>1278</v>
      </c>
      <c r="N1954" s="12">
        <v>2.48</v>
      </c>
      <c r="O1954" s="12" t="s">
        <v>1913</v>
      </c>
      <c r="P1954" s="12">
        <v>3.98941518068994E-4</v>
      </c>
      <c r="Q1954" s="12">
        <v>4.5413193693716298E-4</v>
      </c>
      <c r="R1954" s="12">
        <v>0.376008064516129</v>
      </c>
      <c r="S1954" s="14">
        <v>54</v>
      </c>
      <c r="T1954" s="12">
        <v>4.3343552986160001E-2</v>
      </c>
      <c r="U1954" s="14">
        <v>1544</v>
      </c>
      <c r="V1954" s="14">
        <v>1</v>
      </c>
      <c r="W1954" s="12">
        <v>5.4999999999999997E-3</v>
      </c>
      <c r="X1954" s="12">
        <v>4.8843552986159999E-2</v>
      </c>
      <c r="Y1954" s="14">
        <v>1545</v>
      </c>
      <c r="Z1954" s="14">
        <v>53</v>
      </c>
      <c r="AA1954" s="12" t="s">
        <v>2371</v>
      </c>
    </row>
    <row r="1955" spans="1:27" ht="14.25" x14ac:dyDescent="0.45">
      <c r="A1955" s="12" t="s">
        <v>1918</v>
      </c>
      <c r="B1955" s="12" t="s">
        <v>1986</v>
      </c>
      <c r="C1955" s="12" t="s">
        <v>1974</v>
      </c>
      <c r="D1955" s="12" t="s">
        <v>1982</v>
      </c>
      <c r="E1955" s="20">
        <v>36527</v>
      </c>
      <c r="F1955" s="20">
        <v>44489</v>
      </c>
      <c r="G1955" s="12">
        <v>4</v>
      </c>
      <c r="H1955" s="12">
        <v>2.4</v>
      </c>
      <c r="I1955" s="13">
        <v>1.6666666666666701</v>
      </c>
      <c r="J1955" s="12" t="s">
        <v>1918</v>
      </c>
      <c r="K1955" s="14">
        <v>709</v>
      </c>
      <c r="L1955" s="14">
        <v>1915</v>
      </c>
      <c r="M1955" s="14">
        <v>1121</v>
      </c>
      <c r="N1955" s="12">
        <v>4</v>
      </c>
      <c r="O1955" s="12" t="s">
        <v>1918</v>
      </c>
      <c r="P1955" s="12">
        <v>6.4345406140160397E-4</v>
      </c>
      <c r="Q1955" s="12">
        <v>7.5892120285646E-3</v>
      </c>
      <c r="R1955" s="12">
        <v>3.6290322580645198E-2</v>
      </c>
      <c r="S1955" s="14">
        <v>22</v>
      </c>
      <c r="T1955" s="12">
        <v>0.49845527908784698</v>
      </c>
      <c r="U1955" s="14">
        <v>783</v>
      </c>
      <c r="V1955" s="14">
        <v>4</v>
      </c>
      <c r="W1955" s="12">
        <v>5.7999999999999996E-3</v>
      </c>
      <c r="X1955" s="12">
        <v>0.50425527908784695</v>
      </c>
      <c r="Y1955" s="14">
        <v>783</v>
      </c>
      <c r="Z1955" s="14">
        <v>22</v>
      </c>
      <c r="AA1955" s="12" t="s">
        <v>2370</v>
      </c>
    </row>
    <row r="1956" spans="1:27" ht="14.25" x14ac:dyDescent="0.45">
      <c r="A1956" s="12" t="s">
        <v>1923</v>
      </c>
      <c r="B1956" s="12" t="s">
        <v>1986</v>
      </c>
      <c r="C1956" s="12" t="s">
        <v>1972</v>
      </c>
      <c r="D1956" s="12" t="s">
        <v>2026</v>
      </c>
      <c r="E1956" s="20">
        <v>32480</v>
      </c>
      <c r="F1956" s="20">
        <v>44508</v>
      </c>
      <c r="G1956" s="12">
        <v>4.57</v>
      </c>
      <c r="H1956" s="12">
        <v>1.7666666666666699</v>
      </c>
      <c r="I1956" s="13">
        <v>2.5867924528301902</v>
      </c>
      <c r="J1956" s="12" t="s">
        <v>1923</v>
      </c>
      <c r="K1956" s="14">
        <v>588</v>
      </c>
      <c r="L1956" s="14">
        <v>1928</v>
      </c>
      <c r="M1956" s="14">
        <v>1066</v>
      </c>
      <c r="N1956" s="12">
        <v>4.57</v>
      </c>
      <c r="O1956" s="12" t="s">
        <v>1923</v>
      </c>
      <c r="P1956" s="12">
        <v>7.3514626515133199E-4</v>
      </c>
      <c r="Q1956" s="12">
        <v>1.1779029839051399E-2</v>
      </c>
      <c r="R1956" s="12">
        <v>2.6713709677419401E-2</v>
      </c>
      <c r="S1956" s="14">
        <v>34</v>
      </c>
      <c r="T1956" s="12">
        <v>0.76375734988388699</v>
      </c>
      <c r="U1956" s="14">
        <v>691</v>
      </c>
      <c r="V1956" s="14">
        <v>1</v>
      </c>
      <c r="W1956" s="12">
        <v>5.4999999999999997E-3</v>
      </c>
      <c r="X1956" s="12">
        <v>0.76925734988388705</v>
      </c>
      <c r="Y1956" s="14">
        <v>691</v>
      </c>
      <c r="Z1956" s="14">
        <v>33</v>
      </c>
      <c r="AA1956" s="12" t="s">
        <v>2367</v>
      </c>
    </row>
    <row r="1957" spans="1:27" ht="14.25" x14ac:dyDescent="0.45">
      <c r="A1957" s="12" t="s">
        <v>1927</v>
      </c>
      <c r="B1957" s="12" t="s">
        <v>1986</v>
      </c>
      <c r="C1957" s="12" t="s">
        <v>1981</v>
      </c>
      <c r="D1957" s="12" t="s">
        <v>1982</v>
      </c>
      <c r="E1957" s="20">
        <v>36348</v>
      </c>
      <c r="F1957" s="20">
        <v>44540</v>
      </c>
      <c r="G1957" s="12">
        <v>2</v>
      </c>
      <c r="H1957" s="12">
        <v>0.7</v>
      </c>
      <c r="I1957" s="13">
        <v>2.8571428571428599</v>
      </c>
      <c r="J1957" s="12" t="s">
        <v>1927</v>
      </c>
      <c r="K1957" s="14">
        <v>565</v>
      </c>
      <c r="L1957" s="14">
        <v>1954</v>
      </c>
      <c r="M1957" s="14">
        <v>1359</v>
      </c>
      <c r="N1957" s="12">
        <v>2</v>
      </c>
      <c r="O1957" s="12" t="s">
        <v>1927</v>
      </c>
      <c r="P1957" s="12">
        <v>3.2172703070080199E-4</v>
      </c>
      <c r="Q1957" s="12">
        <v>1.3010077763253599E-2</v>
      </c>
      <c r="R1957" s="12">
        <v>1.05846774193548E-2</v>
      </c>
      <c r="S1957" s="14">
        <v>23</v>
      </c>
      <c r="T1957" s="12">
        <v>0.82519462385463005</v>
      </c>
      <c r="U1957" s="14">
        <v>660</v>
      </c>
      <c r="V1957" s="14">
        <v>2</v>
      </c>
      <c r="W1957" s="12">
        <v>5.5999999999999999E-3</v>
      </c>
      <c r="X1957" s="12">
        <v>0.83079462385462999</v>
      </c>
      <c r="Y1957" s="14">
        <v>660</v>
      </c>
      <c r="Z1957" s="14">
        <v>23</v>
      </c>
      <c r="AA1957" s="12" t="s">
        <v>2370</v>
      </c>
    </row>
    <row r="1958" spans="1:27" ht="14.25" x14ac:dyDescent="0.45">
      <c r="A1958" s="12" t="s">
        <v>1929</v>
      </c>
      <c r="B1958" s="12" t="s">
        <v>1986</v>
      </c>
      <c r="C1958" s="12" t="s">
        <v>1972</v>
      </c>
      <c r="D1958" s="12" t="s">
        <v>1973</v>
      </c>
      <c r="E1958" s="20">
        <v>35672</v>
      </c>
      <c r="F1958" s="20">
        <v>44517</v>
      </c>
      <c r="G1958" s="12">
        <v>2.66</v>
      </c>
      <c r="H1958" s="12">
        <v>1.4666666666666699</v>
      </c>
      <c r="I1958" s="13">
        <v>1.8136363636363599</v>
      </c>
      <c r="J1958" s="12" t="s">
        <v>1929</v>
      </c>
      <c r="K1958" s="14">
        <v>687</v>
      </c>
      <c r="L1958" s="14">
        <v>1936</v>
      </c>
      <c r="M1958" s="14">
        <v>1260</v>
      </c>
      <c r="N1958" s="12">
        <v>2.66</v>
      </c>
      <c r="O1958" s="12" t="s">
        <v>1929</v>
      </c>
      <c r="P1958" s="12">
        <v>4.2789695083206601E-4</v>
      </c>
      <c r="Q1958" s="12">
        <v>8.2584425438107494E-3</v>
      </c>
      <c r="R1958" s="12">
        <v>2.21774193548387E-2</v>
      </c>
      <c r="S1958" s="14">
        <v>25</v>
      </c>
      <c r="T1958" s="12">
        <v>0.53219879464437403</v>
      </c>
      <c r="U1958" s="14">
        <v>774</v>
      </c>
      <c r="V1958" s="14">
        <v>2</v>
      </c>
      <c r="W1958" s="12">
        <v>5.5999999999999999E-3</v>
      </c>
      <c r="X1958" s="12">
        <v>0.53779879464437397</v>
      </c>
      <c r="Y1958" s="14">
        <v>774</v>
      </c>
      <c r="Z1958" s="14">
        <v>24</v>
      </c>
      <c r="AA1958" s="12" t="s">
        <v>2370</v>
      </c>
    </row>
    <row r="1959" spans="1:27" ht="14.25" x14ac:dyDescent="0.45">
      <c r="A1959" s="12" t="s">
        <v>1934</v>
      </c>
      <c r="B1959" s="12" t="s">
        <v>2092</v>
      </c>
      <c r="C1959" s="12" t="s">
        <v>1972</v>
      </c>
      <c r="D1959" s="12" t="s">
        <v>1973</v>
      </c>
      <c r="E1959" s="20">
        <v>34616</v>
      </c>
      <c r="F1959" s="20">
        <v>44510</v>
      </c>
      <c r="G1959" s="12">
        <v>18.559999999999999</v>
      </c>
      <c r="H1959" s="12">
        <v>1.7</v>
      </c>
      <c r="I1959" s="13">
        <v>10.9176470588235</v>
      </c>
      <c r="J1959" s="12" t="s">
        <v>1934</v>
      </c>
      <c r="K1959" s="14">
        <v>263</v>
      </c>
      <c r="L1959" s="14">
        <v>1930</v>
      </c>
      <c r="M1959" s="14">
        <v>732</v>
      </c>
      <c r="N1959" s="12">
        <v>18.559999999999999</v>
      </c>
      <c r="O1959" s="12" t="s">
        <v>1934</v>
      </c>
      <c r="P1959" s="12">
        <v>2.9856268449034401E-3</v>
      </c>
      <c r="Q1959" s="12">
        <v>4.9713803029467901E-2</v>
      </c>
      <c r="R1959" s="12">
        <v>2.57056451612903E-2</v>
      </c>
      <c r="S1959" s="14">
        <v>28</v>
      </c>
      <c r="T1959" s="12">
        <v>3.2190736960256201</v>
      </c>
      <c r="U1959" s="14">
        <v>359</v>
      </c>
      <c r="V1959" s="14">
        <v>1</v>
      </c>
      <c r="W1959" s="12">
        <v>5.4999999999999997E-3</v>
      </c>
      <c r="X1959" s="12">
        <v>3.2245736960256202</v>
      </c>
      <c r="Y1959" s="14">
        <v>359</v>
      </c>
      <c r="Z1959" s="14">
        <v>27</v>
      </c>
      <c r="AA1959" s="12" t="s">
        <v>2367</v>
      </c>
    </row>
    <row r="1960" spans="1:27" ht="14.25" x14ac:dyDescent="0.45">
      <c r="A1960" s="12" t="s">
        <v>1936</v>
      </c>
      <c r="B1960" s="12" t="s">
        <v>1986</v>
      </c>
      <c r="C1960" s="12" t="s">
        <v>1972</v>
      </c>
      <c r="D1960" s="12" t="s">
        <v>2007</v>
      </c>
      <c r="E1960" s="20">
        <v>34562</v>
      </c>
      <c r="F1960" s="20">
        <v>44501</v>
      </c>
      <c r="G1960" s="12">
        <v>21.31</v>
      </c>
      <c r="H1960" s="12">
        <v>2</v>
      </c>
      <c r="I1960" s="13">
        <v>10.654999999999999</v>
      </c>
      <c r="J1960" s="12" t="s">
        <v>1936</v>
      </c>
      <c r="K1960" s="14">
        <v>271</v>
      </c>
      <c r="L1960" s="14">
        <v>1925</v>
      </c>
      <c r="M1960" s="14">
        <v>712</v>
      </c>
      <c r="N1960" s="12">
        <v>21.31</v>
      </c>
      <c r="O1960" s="12" t="s">
        <v>1936</v>
      </c>
      <c r="P1960" s="12">
        <v>3.4280015121170401E-3</v>
      </c>
      <c r="Q1960" s="12">
        <v>4.8517832498613502E-2</v>
      </c>
      <c r="R1960" s="12">
        <v>3.0241935483871E-2</v>
      </c>
      <c r="S1960" s="14">
        <v>28</v>
      </c>
      <c r="T1960" s="12">
        <v>3.1609145878677301</v>
      </c>
      <c r="U1960" s="14">
        <v>364</v>
      </c>
      <c r="V1960" s="14">
        <v>3</v>
      </c>
      <c r="W1960" s="12">
        <v>5.7000000000000002E-3</v>
      </c>
      <c r="X1960" s="12">
        <v>3.1666145878677301</v>
      </c>
      <c r="Y1960" s="14">
        <v>364</v>
      </c>
      <c r="Z1960" s="14">
        <v>27</v>
      </c>
      <c r="AA1960" s="12" t="s">
        <v>2367</v>
      </c>
    </row>
    <row r="1961" spans="1:27" ht="14.25" x14ac:dyDescent="0.45">
      <c r="A1961" s="12" t="s">
        <v>1940</v>
      </c>
      <c r="B1961" s="12" t="s">
        <v>1986</v>
      </c>
      <c r="C1961" s="12" t="s">
        <v>1972</v>
      </c>
      <c r="D1961" s="12" t="s">
        <v>1995</v>
      </c>
      <c r="E1961" s="20">
        <v>30141</v>
      </c>
      <c r="F1961" s="20">
        <v>44532</v>
      </c>
      <c r="G1961" s="12">
        <v>4.54</v>
      </c>
      <c r="H1961" s="12">
        <v>0.96666666666666701</v>
      </c>
      <c r="I1961" s="13">
        <v>4.6965517241379304</v>
      </c>
      <c r="J1961" s="12" t="s">
        <v>1940</v>
      </c>
      <c r="K1961" s="14">
        <v>458</v>
      </c>
      <c r="L1961" s="14">
        <v>1943</v>
      </c>
      <c r="M1961" s="14">
        <v>1069</v>
      </c>
      <c r="N1961" s="12">
        <v>4.54</v>
      </c>
      <c r="O1961" s="12" t="s">
        <v>1940</v>
      </c>
      <c r="P1961" s="12">
        <v>7.3032035969082E-4</v>
      </c>
      <c r="Q1961" s="12">
        <v>2.1385876102561999E-2</v>
      </c>
      <c r="R1961" s="12">
        <v>1.4616935483871E-2</v>
      </c>
      <c r="S1961" s="14">
        <v>40</v>
      </c>
      <c r="T1961" s="12">
        <v>1.36400426989853</v>
      </c>
      <c r="U1961" s="14">
        <v>514</v>
      </c>
      <c r="V1961" s="14">
        <v>1</v>
      </c>
      <c r="W1961" s="12">
        <v>5.4999999999999997E-3</v>
      </c>
      <c r="X1961" s="12">
        <v>1.36950426989853</v>
      </c>
      <c r="Y1961" s="14">
        <v>514</v>
      </c>
      <c r="Z1961" s="14">
        <v>40</v>
      </c>
      <c r="AA1961" s="12" t="s">
        <v>2369</v>
      </c>
    </row>
    <row r="1962" spans="1:27" ht="14.25" x14ac:dyDescent="0.45">
      <c r="A1962" s="12" t="s">
        <v>1956</v>
      </c>
      <c r="B1962" s="12" t="s">
        <v>2092</v>
      </c>
      <c r="C1962" s="12" t="s">
        <v>1981</v>
      </c>
      <c r="D1962" s="12" t="s">
        <v>1974</v>
      </c>
      <c r="E1962" s="20">
        <v>35619</v>
      </c>
      <c r="F1962" s="20">
        <v>44375</v>
      </c>
      <c r="G1962" s="12">
        <v>7.31</v>
      </c>
      <c r="H1962" s="12">
        <v>6.2</v>
      </c>
      <c r="I1962" s="13">
        <v>1.1790322580645201</v>
      </c>
      <c r="J1962" s="12" t="s">
        <v>1956</v>
      </c>
      <c r="K1962" s="14">
        <v>773</v>
      </c>
      <c r="L1962" s="14">
        <v>1638</v>
      </c>
      <c r="M1962" s="14">
        <v>907</v>
      </c>
      <c r="N1962" s="12">
        <v>7.31</v>
      </c>
      <c r="O1962" s="12" t="s">
        <v>1956</v>
      </c>
      <c r="P1962" s="12">
        <v>1.17591229721143E-3</v>
      </c>
      <c r="Q1962" s="12">
        <v>5.3687554769813401E-3</v>
      </c>
      <c r="R1962" s="12">
        <v>9.375E-2</v>
      </c>
      <c r="S1962" s="14">
        <v>25</v>
      </c>
      <c r="T1962" s="12">
        <v>0.37964392845676298</v>
      </c>
      <c r="U1962" s="14">
        <v>845</v>
      </c>
      <c r="V1962" s="14">
        <v>1</v>
      </c>
      <c r="W1962" s="12">
        <v>5.4999999999999997E-3</v>
      </c>
      <c r="X1962" s="12">
        <v>0.38514392845676299</v>
      </c>
      <c r="Y1962" s="14">
        <v>845</v>
      </c>
      <c r="Z1962" s="14">
        <v>25</v>
      </c>
      <c r="AA1962" s="12" t="s">
        <v>2367</v>
      </c>
    </row>
    <row r="1963" spans="1:27" ht="14.25" x14ac:dyDescent="0.45">
      <c r="A1963" s="12" t="s">
        <v>1965</v>
      </c>
      <c r="B1963" s="12" t="s">
        <v>2344</v>
      </c>
      <c r="C1963" s="12" t="s">
        <v>1972</v>
      </c>
      <c r="D1963" s="12" t="s">
        <v>1974</v>
      </c>
      <c r="E1963" s="20">
        <v>32147</v>
      </c>
      <c r="F1963" s="20">
        <v>43795</v>
      </c>
      <c r="G1963" s="12">
        <v>3.6</v>
      </c>
      <c r="H1963" s="12">
        <v>25.533333333333299</v>
      </c>
      <c r="I1963" s="13">
        <v>0.14099216710182799</v>
      </c>
      <c r="J1963" s="12" t="s">
        <v>1965</v>
      </c>
      <c r="K1963" s="14">
        <v>1425</v>
      </c>
      <c r="L1963" s="14">
        <v>372</v>
      </c>
      <c r="M1963" s="14">
        <v>1155</v>
      </c>
      <c r="N1963" s="12">
        <v>3.6</v>
      </c>
      <c r="O1963" s="12" t="s">
        <v>1965</v>
      </c>
      <c r="P1963" s="12">
        <v>5.7910865526144303E-4</v>
      </c>
      <c r="Q1963" s="12">
        <v>6.4201167030154805E-4</v>
      </c>
      <c r="R1963" s="12">
        <v>0.38608870967741898</v>
      </c>
      <c r="S1963" s="14">
        <v>34</v>
      </c>
      <c r="T1963" s="12">
        <v>6.1842303966150897E-2</v>
      </c>
      <c r="U1963" s="14">
        <v>1475</v>
      </c>
      <c r="V1963" s="14">
        <v>1</v>
      </c>
      <c r="W1963" s="12">
        <v>5.4999999999999997E-3</v>
      </c>
      <c r="X1963" s="12">
        <v>6.7342303966150902E-2</v>
      </c>
      <c r="Y1963" s="14">
        <v>1475</v>
      </c>
      <c r="Z1963" s="14">
        <v>34</v>
      </c>
      <c r="AA1963" s="12" t="s">
        <v>2367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BA1D-31D1-468D-BF65-1D160222E14C}">
  <dimension ref="A1:X51"/>
  <sheetViews>
    <sheetView topLeftCell="A33" zoomScale="60" workbookViewId="0">
      <selection activeCell="C53" sqref="C53"/>
    </sheetView>
  </sheetViews>
  <sheetFormatPr defaultRowHeight="12.75" x14ac:dyDescent="0.35"/>
  <cols>
    <col min="3" max="3" width="10.9296875" customWidth="1"/>
    <col min="4" max="4" width="21.86328125" customWidth="1"/>
    <col min="5" max="5" width="30.59765625" customWidth="1"/>
    <col min="6" max="6" width="11.19921875" customWidth="1"/>
    <col min="7" max="7" width="4.9296875" customWidth="1"/>
    <col min="8" max="8" width="11.19921875" customWidth="1"/>
    <col min="9" max="9" width="11.796875" style="23" customWidth="1"/>
    <col min="10" max="10" width="14.33203125" style="27" customWidth="1"/>
    <col min="11" max="11" width="12.73046875" customWidth="1"/>
    <col min="12" max="12" width="13.59765625" style="25" customWidth="1"/>
    <col min="13" max="13" width="12.53125" customWidth="1"/>
    <col min="14" max="14" width="11.19921875" customWidth="1"/>
    <col min="15" max="15" width="9.53125" customWidth="1"/>
    <col min="16" max="16" width="11.796875" customWidth="1"/>
    <col min="17" max="17" width="11.9296875" customWidth="1"/>
    <col min="20" max="20" width="11.33203125" customWidth="1"/>
    <col min="21" max="21" width="12.9296875" customWidth="1"/>
    <col min="22" max="22" width="10.19921875" customWidth="1"/>
    <col min="23" max="23" width="12.6640625" customWidth="1"/>
    <col min="24" max="24" width="15.6640625" customWidth="1"/>
  </cols>
  <sheetData>
    <row r="1" spans="1:24" ht="14.25" x14ac:dyDescent="0.45">
      <c r="A1" t="s">
        <v>2373</v>
      </c>
      <c r="B1" s="12" t="s">
        <v>1</v>
      </c>
      <c r="C1" s="12" t="s">
        <v>1966</v>
      </c>
      <c r="D1" s="12" t="s">
        <v>1967</v>
      </c>
      <c r="E1" s="12" t="s">
        <v>1968</v>
      </c>
      <c r="F1" s="12" t="s">
        <v>1969</v>
      </c>
      <c r="G1" s="12" t="s">
        <v>2365</v>
      </c>
      <c r="H1" s="12" t="s">
        <v>2366</v>
      </c>
      <c r="I1" s="22" t="s">
        <v>1970</v>
      </c>
      <c r="J1" s="12" t="s">
        <v>2347</v>
      </c>
      <c r="K1" s="12" t="s">
        <v>2346</v>
      </c>
      <c r="L1" s="12" t="s">
        <v>2348</v>
      </c>
      <c r="M1" s="12" t="s">
        <v>2357</v>
      </c>
      <c r="N1" s="12" t="s">
        <v>2355</v>
      </c>
      <c r="O1" s="12" t="s">
        <v>2356</v>
      </c>
      <c r="P1" s="12" t="s">
        <v>2351</v>
      </c>
      <c r="Q1" s="12" t="s">
        <v>2352</v>
      </c>
      <c r="R1" s="12" t="s">
        <v>2349</v>
      </c>
      <c r="S1" s="12" t="s">
        <v>2359</v>
      </c>
      <c r="T1" s="12" t="s">
        <v>2360</v>
      </c>
      <c r="U1" s="12" t="s">
        <v>2361</v>
      </c>
      <c r="V1" s="12" t="s">
        <v>2362</v>
      </c>
      <c r="W1" s="12" t="s">
        <v>2363</v>
      </c>
      <c r="X1" s="12" t="s">
        <v>2364</v>
      </c>
    </row>
    <row r="2" spans="1:24" ht="14.25" x14ac:dyDescent="0.45">
      <c r="A2">
        <v>1</v>
      </c>
      <c r="B2" s="12" t="s">
        <v>128</v>
      </c>
      <c r="C2" s="12" t="s">
        <v>1971</v>
      </c>
      <c r="D2" s="12" t="s">
        <v>1972</v>
      </c>
      <c r="E2" s="12" t="s">
        <v>1990</v>
      </c>
      <c r="F2" s="21">
        <v>30309</v>
      </c>
      <c r="G2" s="14">
        <v>39</v>
      </c>
      <c r="H2" s="12" t="s">
        <v>2369</v>
      </c>
      <c r="I2" s="22">
        <v>43704</v>
      </c>
      <c r="J2" s="26">
        <v>28.566666666666698</v>
      </c>
      <c r="K2" s="12">
        <v>6216.45</v>
      </c>
      <c r="L2" s="24">
        <v>217.612018669778</v>
      </c>
      <c r="M2" s="12">
        <v>0.43195564516128998</v>
      </c>
      <c r="N2" s="12">
        <v>1</v>
      </c>
      <c r="O2" s="12">
        <v>0.99090224978934305</v>
      </c>
      <c r="P2" s="14">
        <v>266</v>
      </c>
      <c r="Q2" s="14">
        <v>1</v>
      </c>
      <c r="R2" s="14">
        <v>2</v>
      </c>
      <c r="S2" s="12">
        <v>99.431390611834004</v>
      </c>
      <c r="T2" s="14">
        <v>1</v>
      </c>
      <c r="U2" s="14">
        <v>80</v>
      </c>
      <c r="V2" s="12">
        <v>9.4999999999999998E-3</v>
      </c>
      <c r="W2" s="12">
        <v>99.440890611834007</v>
      </c>
      <c r="X2" s="14">
        <v>1</v>
      </c>
    </row>
    <row r="3" spans="1:24" ht="14.25" x14ac:dyDescent="0.45">
      <c r="A3">
        <v>2</v>
      </c>
      <c r="B3" s="12" t="s">
        <v>314</v>
      </c>
      <c r="C3" s="12" t="s">
        <v>1971</v>
      </c>
      <c r="D3" s="12" t="s">
        <v>1972</v>
      </c>
      <c r="E3" s="12" t="s">
        <v>1993</v>
      </c>
      <c r="F3" s="21">
        <v>32510</v>
      </c>
      <c r="G3" s="14">
        <v>33</v>
      </c>
      <c r="H3" s="12" t="s">
        <v>2367</v>
      </c>
      <c r="I3" s="22">
        <v>43749</v>
      </c>
      <c r="J3" s="26">
        <v>27.066666666666698</v>
      </c>
      <c r="K3" s="12">
        <v>5944.11</v>
      </c>
      <c r="L3" s="24">
        <v>219.609975369458</v>
      </c>
      <c r="M3" s="12">
        <v>0.40927419354838701</v>
      </c>
      <c r="N3" s="12">
        <v>0.95619043022947203</v>
      </c>
      <c r="O3" s="12">
        <v>1</v>
      </c>
      <c r="P3" s="14">
        <v>322</v>
      </c>
      <c r="Q3" s="14">
        <v>2</v>
      </c>
      <c r="R3" s="14">
        <v>1</v>
      </c>
      <c r="S3" s="12">
        <v>98.357141133605197</v>
      </c>
      <c r="T3" s="14">
        <v>2</v>
      </c>
      <c r="U3" s="14">
        <v>60</v>
      </c>
      <c r="V3" s="12">
        <v>8.9999999999999993E-3</v>
      </c>
      <c r="W3" s="12">
        <v>98.366141133605197</v>
      </c>
      <c r="X3" s="14">
        <v>2</v>
      </c>
    </row>
    <row r="4" spans="1:24" ht="14.25" x14ac:dyDescent="0.45">
      <c r="A4">
        <v>3</v>
      </c>
      <c r="B4" s="12" t="s">
        <v>241</v>
      </c>
      <c r="C4" s="12" t="s">
        <v>1971</v>
      </c>
      <c r="D4" s="12" t="s">
        <v>1972</v>
      </c>
      <c r="E4" s="12" t="s">
        <v>2012</v>
      </c>
      <c r="F4" s="21">
        <v>29181</v>
      </c>
      <c r="G4" s="14">
        <v>42</v>
      </c>
      <c r="H4" s="12" t="s">
        <v>2369</v>
      </c>
      <c r="I4" s="22">
        <v>43808</v>
      </c>
      <c r="J4" s="26">
        <v>25.1</v>
      </c>
      <c r="K4" s="12">
        <v>5265.27</v>
      </c>
      <c r="L4" s="24">
        <v>209.77171314741</v>
      </c>
      <c r="M4" s="12">
        <v>0.37953629032258102</v>
      </c>
      <c r="N4" s="12">
        <v>0.84698984146900502</v>
      </c>
      <c r="O4" s="12">
        <v>0.95520120520255702</v>
      </c>
      <c r="P4" s="14">
        <v>373</v>
      </c>
      <c r="Q4" s="14">
        <v>3</v>
      </c>
      <c r="R4" s="14">
        <v>3</v>
      </c>
      <c r="S4" s="12">
        <v>91.462194380247496</v>
      </c>
      <c r="T4" s="14">
        <v>3</v>
      </c>
      <c r="U4" s="14">
        <v>108</v>
      </c>
      <c r="V4" s="12">
        <v>9.9000000000000008E-3</v>
      </c>
      <c r="W4" s="12">
        <v>91.472094380247498</v>
      </c>
      <c r="X4" s="14">
        <v>3</v>
      </c>
    </row>
    <row r="5" spans="1:24" ht="14.25" x14ac:dyDescent="0.45">
      <c r="A5">
        <v>4</v>
      </c>
      <c r="B5" s="12" t="s">
        <v>1562</v>
      </c>
      <c r="C5" s="12" t="s">
        <v>1971</v>
      </c>
      <c r="D5" s="12" t="s">
        <v>1972</v>
      </c>
      <c r="E5" s="12" t="s">
        <v>1997</v>
      </c>
      <c r="F5" s="21">
        <v>35524</v>
      </c>
      <c r="G5" s="14">
        <v>25</v>
      </c>
      <c r="H5" s="12" t="s">
        <v>2367</v>
      </c>
      <c r="I5" s="22">
        <v>44417</v>
      </c>
      <c r="J5" s="26">
        <v>4.8</v>
      </c>
      <c r="K5" s="12">
        <v>958.27</v>
      </c>
      <c r="L5" s="24">
        <v>199.63958333333301</v>
      </c>
      <c r="M5" s="12">
        <v>7.25806451612903E-2</v>
      </c>
      <c r="N5" s="12">
        <v>0.154150680854829</v>
      </c>
      <c r="O5" s="12">
        <v>0.90906427632657505</v>
      </c>
      <c r="P5" s="14">
        <v>1757</v>
      </c>
      <c r="Q5" s="14">
        <v>54</v>
      </c>
      <c r="R5" s="14">
        <v>4</v>
      </c>
      <c r="S5" s="12">
        <v>62.597167802466998</v>
      </c>
      <c r="T5" s="14">
        <v>4</v>
      </c>
      <c r="U5" s="14">
        <v>10</v>
      </c>
      <c r="V5" s="12">
        <v>6.4000000000000003E-3</v>
      </c>
      <c r="W5" s="12">
        <v>62.603567802466998</v>
      </c>
      <c r="X5" s="14">
        <v>4</v>
      </c>
    </row>
    <row r="6" spans="1:24" ht="14.25" x14ac:dyDescent="0.45">
      <c r="A6">
        <v>5</v>
      </c>
      <c r="B6" s="12" t="s">
        <v>151</v>
      </c>
      <c r="C6" s="12" t="s">
        <v>1971</v>
      </c>
      <c r="D6" s="12" t="s">
        <v>1972</v>
      </c>
      <c r="E6" s="12" t="s">
        <v>1993</v>
      </c>
      <c r="F6" s="21">
        <v>35708</v>
      </c>
      <c r="G6" s="14">
        <v>24</v>
      </c>
      <c r="H6" s="12" t="s">
        <v>2370</v>
      </c>
      <c r="I6" s="22">
        <v>44124</v>
      </c>
      <c r="J6" s="26">
        <v>14.5666666666667</v>
      </c>
      <c r="K6" s="12">
        <v>2428.4499999999998</v>
      </c>
      <c r="L6" s="24">
        <v>166.71281464530901</v>
      </c>
      <c r="M6" s="12">
        <v>0.22026209677419401</v>
      </c>
      <c r="N6" s="12">
        <v>0.39064900385268098</v>
      </c>
      <c r="O6" s="12">
        <v>0.75913133893322304</v>
      </c>
      <c r="P6" s="14">
        <v>557</v>
      </c>
      <c r="Q6" s="14">
        <v>15</v>
      </c>
      <c r="R6" s="14">
        <v>6</v>
      </c>
      <c r="S6" s="12">
        <v>62.095046327802002</v>
      </c>
      <c r="T6" s="14">
        <v>5</v>
      </c>
      <c r="U6" s="14">
        <v>30</v>
      </c>
      <c r="V6" s="12">
        <v>7.7000000000000002E-3</v>
      </c>
      <c r="W6" s="12">
        <v>62.102746327802002</v>
      </c>
      <c r="X6" s="14">
        <v>5</v>
      </c>
    </row>
    <row r="7" spans="1:24" ht="14.25" x14ac:dyDescent="0.45">
      <c r="A7">
        <v>6</v>
      </c>
      <c r="B7" s="12" t="s">
        <v>336</v>
      </c>
      <c r="C7" s="12" t="s">
        <v>1986</v>
      </c>
      <c r="D7" s="12" t="s">
        <v>1972</v>
      </c>
      <c r="E7" s="12" t="s">
        <v>1973</v>
      </c>
      <c r="F7" s="21">
        <v>33366</v>
      </c>
      <c r="G7" s="14">
        <v>31</v>
      </c>
      <c r="H7" s="12" t="s">
        <v>2367</v>
      </c>
      <c r="I7" s="22">
        <v>44130</v>
      </c>
      <c r="J7" s="26">
        <v>14.366666666666699</v>
      </c>
      <c r="K7" s="12">
        <v>2370.33</v>
      </c>
      <c r="L7" s="24">
        <v>164.98816705336401</v>
      </c>
      <c r="M7" s="12">
        <v>0.21723790322580599</v>
      </c>
      <c r="N7" s="12">
        <v>0.38129961634051601</v>
      </c>
      <c r="O7" s="12">
        <v>0.75127810918333005</v>
      </c>
      <c r="P7" s="14">
        <v>577</v>
      </c>
      <c r="Q7" s="14">
        <v>16</v>
      </c>
      <c r="R7" s="14">
        <v>7</v>
      </c>
      <c r="S7" s="12">
        <v>61.253617436727502</v>
      </c>
      <c r="T7" s="14">
        <v>6</v>
      </c>
      <c r="U7" s="14">
        <v>24</v>
      </c>
      <c r="V7" s="12">
        <v>7.4000000000000003E-3</v>
      </c>
      <c r="W7" s="12">
        <v>61.261017436727499</v>
      </c>
      <c r="X7" s="14">
        <v>6</v>
      </c>
    </row>
    <row r="8" spans="1:24" ht="14.25" x14ac:dyDescent="0.45">
      <c r="A8">
        <v>7</v>
      </c>
      <c r="B8" s="12" t="s">
        <v>24</v>
      </c>
      <c r="C8" s="12" t="s">
        <v>1971</v>
      </c>
      <c r="D8" s="12" t="s">
        <v>1972</v>
      </c>
      <c r="E8" s="12" t="s">
        <v>1993</v>
      </c>
      <c r="F8" s="21">
        <v>35170</v>
      </c>
      <c r="G8" s="14">
        <v>26</v>
      </c>
      <c r="H8" s="12" t="s">
        <v>2367</v>
      </c>
      <c r="I8" s="22">
        <v>44124</v>
      </c>
      <c r="J8" s="26">
        <v>14.5666666666667</v>
      </c>
      <c r="K8" s="12">
        <v>2156.3000000000002</v>
      </c>
      <c r="L8" s="24">
        <v>148.02974828375301</v>
      </c>
      <c r="M8" s="12">
        <v>0.22026209677419401</v>
      </c>
      <c r="N8" s="12">
        <v>0.34686999815007002</v>
      </c>
      <c r="O8" s="12">
        <v>0.67405748775626795</v>
      </c>
      <c r="P8" s="14">
        <v>557</v>
      </c>
      <c r="Q8" s="14">
        <v>20</v>
      </c>
      <c r="R8" s="14">
        <v>9</v>
      </c>
      <c r="S8" s="12">
        <v>55.136217915394397</v>
      </c>
      <c r="T8" s="14">
        <v>7</v>
      </c>
      <c r="U8" s="14">
        <v>18</v>
      </c>
      <c r="V8" s="12">
        <v>7.0000000000000001E-3</v>
      </c>
      <c r="W8" s="12">
        <v>55.143217915394402</v>
      </c>
      <c r="X8" s="14">
        <v>7</v>
      </c>
    </row>
    <row r="9" spans="1:24" ht="14.25" x14ac:dyDescent="0.45">
      <c r="A9">
        <v>8</v>
      </c>
      <c r="B9" s="12" t="s">
        <v>1557</v>
      </c>
      <c r="C9" s="12" t="s">
        <v>1971</v>
      </c>
      <c r="D9" s="12" t="s">
        <v>1972</v>
      </c>
      <c r="E9" s="12" t="s">
        <v>1993</v>
      </c>
      <c r="F9" s="21">
        <v>35377</v>
      </c>
      <c r="G9" s="14">
        <v>25</v>
      </c>
      <c r="H9" s="12" t="s">
        <v>2367</v>
      </c>
      <c r="I9" s="22">
        <v>44410</v>
      </c>
      <c r="J9" s="26">
        <v>5.0333333333333297</v>
      </c>
      <c r="K9" s="12">
        <v>868.56</v>
      </c>
      <c r="L9" s="24">
        <v>172.56158940397299</v>
      </c>
      <c r="M9" s="12">
        <v>7.6108870967741896E-2</v>
      </c>
      <c r="N9" s="12">
        <v>0.13971961489274401</v>
      </c>
      <c r="O9" s="12">
        <v>0.78576389398371604</v>
      </c>
      <c r="P9" s="14">
        <v>1727</v>
      </c>
      <c r="Q9" s="14">
        <v>67</v>
      </c>
      <c r="R9" s="14">
        <v>5</v>
      </c>
      <c r="S9" s="12">
        <v>54.349728932460202</v>
      </c>
      <c r="T9" s="14">
        <v>8</v>
      </c>
      <c r="U9" s="14">
        <v>10</v>
      </c>
      <c r="V9" s="12">
        <v>6.4000000000000003E-3</v>
      </c>
      <c r="W9" s="12">
        <v>54.356128932460201</v>
      </c>
      <c r="X9" s="14">
        <v>8</v>
      </c>
    </row>
    <row r="10" spans="1:24" ht="14.25" x14ac:dyDescent="0.45">
      <c r="A10">
        <v>9</v>
      </c>
      <c r="B10" s="12" t="s">
        <v>8</v>
      </c>
      <c r="C10" s="12" t="s">
        <v>1980</v>
      </c>
      <c r="D10" s="12" t="s">
        <v>1981</v>
      </c>
      <c r="E10" s="12" t="s">
        <v>1982</v>
      </c>
      <c r="F10" s="21">
        <v>35195</v>
      </c>
      <c r="G10" s="14">
        <v>26</v>
      </c>
      <c r="H10" s="12" t="s">
        <v>2367</v>
      </c>
      <c r="I10" s="22">
        <v>43742</v>
      </c>
      <c r="J10" s="26">
        <v>27.3</v>
      </c>
      <c r="K10" s="12">
        <v>3093.99</v>
      </c>
      <c r="L10" s="24">
        <v>113.33296703296701</v>
      </c>
      <c r="M10" s="12">
        <v>0.41280241935483902</v>
      </c>
      <c r="N10" s="12">
        <v>0.49771010785898701</v>
      </c>
      <c r="O10" s="12">
        <v>0.516064749983705</v>
      </c>
      <c r="P10" s="14">
        <v>304</v>
      </c>
      <c r="Q10" s="14">
        <v>6</v>
      </c>
      <c r="R10" s="14">
        <v>10</v>
      </c>
      <c r="S10" s="12">
        <v>50.918175918693599</v>
      </c>
      <c r="T10" s="14">
        <v>9</v>
      </c>
      <c r="U10" s="14">
        <v>24</v>
      </c>
      <c r="V10" s="12">
        <v>7.4000000000000003E-3</v>
      </c>
      <c r="W10" s="12">
        <v>50.925575918693603</v>
      </c>
      <c r="X10" s="14">
        <v>9</v>
      </c>
    </row>
    <row r="11" spans="1:24" ht="14.25" x14ac:dyDescent="0.45">
      <c r="A11">
        <v>10</v>
      </c>
      <c r="B11" s="12" t="s">
        <v>1798</v>
      </c>
      <c r="C11" s="12" t="s">
        <v>1971</v>
      </c>
      <c r="D11" s="12" t="s">
        <v>1972</v>
      </c>
      <c r="E11" s="12" t="s">
        <v>1997</v>
      </c>
      <c r="F11" s="21">
        <v>27909</v>
      </c>
      <c r="G11" s="14">
        <v>46</v>
      </c>
      <c r="H11" s="12" t="s">
        <v>2371</v>
      </c>
      <c r="I11" s="22">
        <v>44434</v>
      </c>
      <c r="J11" s="26">
        <v>4.2333333333333298</v>
      </c>
      <c r="K11" s="12">
        <v>686.54</v>
      </c>
      <c r="L11" s="24">
        <v>162.17480314960599</v>
      </c>
      <c r="M11" s="12">
        <v>6.4012096774193505E-2</v>
      </c>
      <c r="N11" s="12">
        <v>0.11043923782866399</v>
      </c>
      <c r="O11" s="12">
        <v>0.738467380075853</v>
      </c>
      <c r="P11" s="14">
        <v>1850</v>
      </c>
      <c r="Q11" s="14">
        <v>93</v>
      </c>
      <c r="R11" s="14">
        <v>8</v>
      </c>
      <c r="S11" s="12">
        <v>50.295682673315703</v>
      </c>
      <c r="T11" s="14">
        <v>10</v>
      </c>
      <c r="U11" s="14">
        <v>4</v>
      </c>
      <c r="V11" s="12">
        <v>5.7999999999999996E-3</v>
      </c>
      <c r="W11" s="12">
        <v>50.301482673315697</v>
      </c>
      <c r="X11" s="14">
        <v>10</v>
      </c>
    </row>
    <row r="12" spans="1:24" ht="14.25" x14ac:dyDescent="0.45">
      <c r="A12">
        <v>11</v>
      </c>
      <c r="B12" s="12" t="s">
        <v>366</v>
      </c>
      <c r="C12" s="12" t="s">
        <v>1971</v>
      </c>
      <c r="D12" s="12" t="s">
        <v>1972</v>
      </c>
      <c r="E12" s="12" t="s">
        <v>1974</v>
      </c>
      <c r="F12" s="21">
        <v>35762</v>
      </c>
      <c r="G12" s="14">
        <v>24</v>
      </c>
      <c r="H12" s="12" t="s">
        <v>2370</v>
      </c>
      <c r="I12" s="22">
        <v>43363</v>
      </c>
      <c r="J12" s="26">
        <v>39.933333333333302</v>
      </c>
      <c r="K12" s="12">
        <v>3531.82</v>
      </c>
      <c r="L12" s="24">
        <v>88.442904841402296</v>
      </c>
      <c r="M12" s="12">
        <v>0.60383064516129004</v>
      </c>
      <c r="N12" s="12">
        <v>0.56814098078485298</v>
      </c>
      <c r="O12" s="12">
        <v>0.40272717435813898</v>
      </c>
      <c r="P12" s="14">
        <v>188</v>
      </c>
      <c r="Q12" s="14">
        <v>4</v>
      </c>
      <c r="R12" s="14">
        <v>24</v>
      </c>
      <c r="S12" s="12">
        <v>46.475735176815697</v>
      </c>
      <c r="T12" s="14">
        <v>11</v>
      </c>
      <c r="U12" s="14">
        <v>88</v>
      </c>
      <c r="V12" s="12">
        <v>9.7000000000000003E-3</v>
      </c>
      <c r="W12" s="12">
        <v>46.485435176815699</v>
      </c>
      <c r="X12" s="14">
        <v>11</v>
      </c>
    </row>
    <row r="13" spans="1:24" ht="14.25" x14ac:dyDescent="0.45">
      <c r="A13">
        <v>12</v>
      </c>
      <c r="B13" s="12" t="s">
        <v>138</v>
      </c>
      <c r="C13" s="12" t="s">
        <v>1971</v>
      </c>
      <c r="D13" s="12" t="s">
        <v>1972</v>
      </c>
      <c r="E13" s="12" t="s">
        <v>1997</v>
      </c>
      <c r="F13" s="21">
        <v>33928</v>
      </c>
      <c r="G13" s="14">
        <v>29</v>
      </c>
      <c r="H13" s="12" t="s">
        <v>2367</v>
      </c>
      <c r="I13" s="22">
        <v>43608</v>
      </c>
      <c r="J13" s="26">
        <v>31.766666666666701</v>
      </c>
      <c r="K13" s="12">
        <v>3089.07</v>
      </c>
      <c r="L13" s="24">
        <v>97.242497376705202</v>
      </c>
      <c r="M13" s="12">
        <v>0.48034274193548399</v>
      </c>
      <c r="N13" s="12">
        <v>0.49691865936346302</v>
      </c>
      <c r="O13" s="12">
        <v>0.44279635846737098</v>
      </c>
      <c r="P13" s="14">
        <v>248</v>
      </c>
      <c r="Q13" s="14">
        <v>7</v>
      </c>
      <c r="R13" s="14">
        <v>16</v>
      </c>
      <c r="S13" s="12">
        <v>46.309222130340601</v>
      </c>
      <c r="T13" s="14">
        <v>12</v>
      </c>
      <c r="U13" s="14">
        <v>22</v>
      </c>
      <c r="V13" s="12">
        <v>7.3000000000000001E-3</v>
      </c>
      <c r="W13" s="12">
        <v>46.316522130340601</v>
      </c>
      <c r="X13" s="14">
        <v>12</v>
      </c>
    </row>
    <row r="14" spans="1:24" ht="14.25" x14ac:dyDescent="0.45">
      <c r="A14">
        <v>13</v>
      </c>
      <c r="B14" s="12" t="s">
        <v>80</v>
      </c>
      <c r="C14" s="12" t="s">
        <v>1971</v>
      </c>
      <c r="D14" s="12" t="s">
        <v>1972</v>
      </c>
      <c r="E14" s="12" t="s">
        <v>1973</v>
      </c>
      <c r="F14" s="21">
        <v>29712</v>
      </c>
      <c r="G14" s="14">
        <v>41</v>
      </c>
      <c r="H14" s="12" t="s">
        <v>2369</v>
      </c>
      <c r="I14" s="22">
        <v>43335</v>
      </c>
      <c r="J14" s="26">
        <v>40.866666666666703</v>
      </c>
      <c r="K14" s="12">
        <v>3364.99</v>
      </c>
      <c r="L14" s="24">
        <v>82.340701468189195</v>
      </c>
      <c r="M14" s="12">
        <v>0.61794354838709697</v>
      </c>
      <c r="N14" s="12">
        <v>0.54130412051894505</v>
      </c>
      <c r="O14" s="12">
        <v>0.37494062521369698</v>
      </c>
      <c r="P14" s="14">
        <v>171</v>
      </c>
      <c r="Q14" s="14">
        <v>5</v>
      </c>
      <c r="R14" s="14">
        <v>28</v>
      </c>
      <c r="S14" s="12">
        <v>43.732693595316498</v>
      </c>
      <c r="T14" s="14">
        <v>13</v>
      </c>
      <c r="U14" s="14">
        <v>55</v>
      </c>
      <c r="V14" s="12">
        <v>8.8000000000000005E-3</v>
      </c>
      <c r="W14" s="12">
        <v>43.741493595316498</v>
      </c>
      <c r="X14" s="14">
        <v>13</v>
      </c>
    </row>
    <row r="15" spans="1:24" ht="14.25" x14ac:dyDescent="0.45">
      <c r="A15">
        <v>14</v>
      </c>
      <c r="B15" s="12" t="s">
        <v>340</v>
      </c>
      <c r="C15" s="12" t="s">
        <v>1971</v>
      </c>
      <c r="D15" s="12" t="s">
        <v>1972</v>
      </c>
      <c r="E15" s="12" t="s">
        <v>1993</v>
      </c>
      <c r="F15" s="21">
        <v>30845</v>
      </c>
      <c r="G15" s="14">
        <v>38</v>
      </c>
      <c r="H15" s="12" t="s">
        <v>2369</v>
      </c>
      <c r="I15" s="22">
        <v>43558</v>
      </c>
      <c r="J15" s="26">
        <v>33.433333333333302</v>
      </c>
      <c r="K15" s="12">
        <v>2997.77</v>
      </c>
      <c r="L15" s="24">
        <v>89.664107676969095</v>
      </c>
      <c r="M15" s="12">
        <v>0.50554435483870996</v>
      </c>
      <c r="N15" s="12">
        <v>0.48223182041197099</v>
      </c>
      <c r="O15" s="12">
        <v>0.40828795470753898</v>
      </c>
      <c r="P15" s="14">
        <v>236</v>
      </c>
      <c r="Q15" s="14">
        <v>9</v>
      </c>
      <c r="R15" s="14">
        <v>23</v>
      </c>
      <c r="S15" s="12">
        <v>43.601690434670097</v>
      </c>
      <c r="T15" s="14">
        <v>14</v>
      </c>
      <c r="U15" s="14">
        <v>20</v>
      </c>
      <c r="V15" s="12">
        <v>7.1000000000000004E-3</v>
      </c>
      <c r="W15" s="12">
        <v>43.608790434670098</v>
      </c>
      <c r="X15" s="14">
        <v>14</v>
      </c>
    </row>
    <row r="16" spans="1:24" ht="14.25" x14ac:dyDescent="0.45">
      <c r="A16">
        <v>15</v>
      </c>
      <c r="B16" s="12" t="s">
        <v>240</v>
      </c>
      <c r="C16" s="12" t="s">
        <v>1971</v>
      </c>
      <c r="D16" s="12" t="s">
        <v>1972</v>
      </c>
      <c r="E16" s="12" t="s">
        <v>2020</v>
      </c>
      <c r="F16" s="21">
        <v>32015</v>
      </c>
      <c r="G16" s="14">
        <v>34</v>
      </c>
      <c r="H16" s="12" t="s">
        <v>2367</v>
      </c>
      <c r="I16" s="22">
        <v>43762</v>
      </c>
      <c r="J16" s="26">
        <v>26.633333333333301</v>
      </c>
      <c r="K16" s="12">
        <v>2448.29</v>
      </c>
      <c r="L16" s="24">
        <v>91.925782227784794</v>
      </c>
      <c r="M16" s="12">
        <v>0.40272177419354799</v>
      </c>
      <c r="N16" s="12">
        <v>0.39384053599723301</v>
      </c>
      <c r="O16" s="12">
        <v>0.41858655133098799</v>
      </c>
      <c r="P16" s="14">
        <v>341</v>
      </c>
      <c r="Q16" s="14">
        <v>14</v>
      </c>
      <c r="R16" s="14">
        <v>19</v>
      </c>
      <c r="S16" s="12">
        <v>40.930679558083</v>
      </c>
      <c r="T16" s="14">
        <v>15</v>
      </c>
      <c r="U16" s="14">
        <v>55</v>
      </c>
      <c r="V16" s="12">
        <v>8.8000000000000005E-3</v>
      </c>
      <c r="W16" s="12">
        <v>40.939479558083001</v>
      </c>
      <c r="X16" s="14">
        <v>15</v>
      </c>
    </row>
    <row r="17" spans="1:24" ht="14.25" x14ac:dyDescent="0.45">
      <c r="A17">
        <v>16</v>
      </c>
      <c r="B17" s="12" t="s">
        <v>414</v>
      </c>
      <c r="C17" s="12" t="s">
        <v>1971</v>
      </c>
      <c r="D17" s="12" t="s">
        <v>1974</v>
      </c>
      <c r="E17" s="12" t="s">
        <v>1993</v>
      </c>
      <c r="F17" s="21">
        <v>33158</v>
      </c>
      <c r="G17" s="14">
        <v>31</v>
      </c>
      <c r="H17" s="12" t="s">
        <v>2367</v>
      </c>
      <c r="I17" s="22">
        <v>44138</v>
      </c>
      <c r="J17" s="26">
        <v>14.1</v>
      </c>
      <c r="K17" s="12">
        <v>1533.82</v>
      </c>
      <c r="L17" s="24">
        <v>108.78156028368799</v>
      </c>
      <c r="M17" s="12">
        <v>0.21320564516129001</v>
      </c>
      <c r="N17" s="12">
        <v>0.246735677114752</v>
      </c>
      <c r="O17" s="12">
        <v>0.495339795474594</v>
      </c>
      <c r="P17" s="14">
        <v>606</v>
      </c>
      <c r="Q17" s="14">
        <v>32</v>
      </c>
      <c r="R17" s="14">
        <v>11</v>
      </c>
      <c r="S17" s="12">
        <v>40.211325108965298</v>
      </c>
      <c r="T17" s="14">
        <v>16</v>
      </c>
      <c r="U17" s="14">
        <v>14</v>
      </c>
      <c r="V17" s="12">
        <v>6.7000000000000002E-3</v>
      </c>
      <c r="W17" s="12">
        <v>40.2180251089653</v>
      </c>
      <c r="X17" s="14">
        <v>16</v>
      </c>
    </row>
    <row r="18" spans="1:24" ht="14.25" x14ac:dyDescent="0.45">
      <c r="A18">
        <v>17</v>
      </c>
      <c r="B18" s="12" t="s">
        <v>195</v>
      </c>
      <c r="C18" s="12" t="s">
        <v>1971</v>
      </c>
      <c r="D18" s="12" t="s">
        <v>1972</v>
      </c>
      <c r="E18" s="12" t="s">
        <v>1975</v>
      </c>
      <c r="F18" s="21">
        <v>30775</v>
      </c>
      <c r="G18" s="14">
        <v>38</v>
      </c>
      <c r="H18" s="12" t="s">
        <v>2369</v>
      </c>
      <c r="I18" s="22">
        <v>43707</v>
      </c>
      <c r="J18" s="26">
        <v>28.466666666666701</v>
      </c>
      <c r="K18" s="12">
        <v>2500.14</v>
      </c>
      <c r="L18" s="24">
        <v>87.826932084309107</v>
      </c>
      <c r="M18" s="12">
        <v>0.43044354838709697</v>
      </c>
      <c r="N18" s="12">
        <v>0.40218130926815099</v>
      </c>
      <c r="O18" s="12">
        <v>0.39992232564369901</v>
      </c>
      <c r="P18" s="14">
        <v>271</v>
      </c>
      <c r="Q18" s="14">
        <v>12</v>
      </c>
      <c r="R18" s="14">
        <v>25</v>
      </c>
      <c r="S18" s="12">
        <v>40.076944450286902</v>
      </c>
      <c r="T18" s="14">
        <v>17</v>
      </c>
      <c r="U18" s="14">
        <v>50</v>
      </c>
      <c r="V18" s="12">
        <v>8.6E-3</v>
      </c>
      <c r="W18" s="12">
        <v>40.085544450286903</v>
      </c>
      <c r="X18" s="14">
        <v>17</v>
      </c>
    </row>
    <row r="19" spans="1:24" ht="14.25" x14ac:dyDescent="0.45">
      <c r="A19">
        <v>18</v>
      </c>
      <c r="B19" s="12" t="s">
        <v>310</v>
      </c>
      <c r="C19" s="12" t="s">
        <v>1971</v>
      </c>
      <c r="D19" s="12" t="s">
        <v>1981</v>
      </c>
      <c r="E19" s="12" t="s">
        <v>1975</v>
      </c>
      <c r="F19" s="21">
        <v>35652</v>
      </c>
      <c r="G19" s="14">
        <v>24</v>
      </c>
      <c r="H19" s="12" t="s">
        <v>2370</v>
      </c>
      <c r="I19" s="22">
        <v>43738</v>
      </c>
      <c r="J19" s="26">
        <v>27.433333333333302</v>
      </c>
      <c r="K19" s="12">
        <v>2329.13</v>
      </c>
      <c r="L19" s="24">
        <v>84.901458080194402</v>
      </c>
      <c r="M19" s="12">
        <v>0.41481854838709697</v>
      </c>
      <c r="N19" s="12">
        <v>0.37467203950807898</v>
      </c>
      <c r="O19" s="12">
        <v>0.38660110014293098</v>
      </c>
      <c r="P19" s="14">
        <v>300</v>
      </c>
      <c r="Q19" s="14">
        <v>17</v>
      </c>
      <c r="R19" s="14">
        <v>26</v>
      </c>
      <c r="S19" s="12">
        <v>38.212770240486101</v>
      </c>
      <c r="T19" s="14">
        <v>18</v>
      </c>
      <c r="U19" s="14">
        <v>9</v>
      </c>
      <c r="V19" s="12">
        <v>6.3E-3</v>
      </c>
      <c r="W19" s="12">
        <v>38.219070240486097</v>
      </c>
      <c r="X19" s="14">
        <v>18</v>
      </c>
    </row>
    <row r="20" spans="1:24" ht="14.25" x14ac:dyDescent="0.45">
      <c r="A20">
        <v>19</v>
      </c>
      <c r="B20" s="12" t="s">
        <v>1481</v>
      </c>
      <c r="C20" s="12" t="s">
        <v>1986</v>
      </c>
      <c r="D20" s="12" t="s">
        <v>1972</v>
      </c>
      <c r="E20" s="12" t="s">
        <v>1974</v>
      </c>
      <c r="F20" s="21">
        <v>34224</v>
      </c>
      <c r="G20" s="14">
        <v>28</v>
      </c>
      <c r="H20" s="12" t="s">
        <v>2367</v>
      </c>
      <c r="I20" s="22">
        <v>44224</v>
      </c>
      <c r="J20" s="26">
        <v>11.233333333333301</v>
      </c>
      <c r="K20" s="12">
        <v>1194.43</v>
      </c>
      <c r="L20" s="24">
        <v>106.32908011869399</v>
      </c>
      <c r="M20" s="12">
        <v>0.16985887096774199</v>
      </c>
      <c r="N20" s="12">
        <v>0.19214020863997899</v>
      </c>
      <c r="O20" s="12">
        <v>0.48417236029380301</v>
      </c>
      <c r="P20" s="14">
        <v>889</v>
      </c>
      <c r="Q20" s="14">
        <v>40</v>
      </c>
      <c r="R20" s="14">
        <v>13</v>
      </c>
      <c r="S20" s="12">
        <v>37.466030342361897</v>
      </c>
      <c r="T20" s="14">
        <v>19</v>
      </c>
      <c r="U20" s="14">
        <v>12</v>
      </c>
      <c r="V20" s="12">
        <v>6.6E-3</v>
      </c>
      <c r="W20" s="12">
        <v>37.472630342361903</v>
      </c>
      <c r="X20" s="14">
        <v>19</v>
      </c>
    </row>
    <row r="21" spans="1:24" ht="14.25" x14ac:dyDescent="0.45">
      <c r="A21">
        <v>20</v>
      </c>
      <c r="B21" s="12" t="s">
        <v>296</v>
      </c>
      <c r="C21" s="12" t="s">
        <v>1980</v>
      </c>
      <c r="D21" s="12" t="s">
        <v>1972</v>
      </c>
      <c r="E21" s="12" t="s">
        <v>1987</v>
      </c>
      <c r="F21" s="21">
        <v>32716</v>
      </c>
      <c r="G21" s="14">
        <v>32</v>
      </c>
      <c r="H21" s="12" t="s">
        <v>2367</v>
      </c>
      <c r="I21" s="22">
        <v>43137</v>
      </c>
      <c r="J21" s="26">
        <v>47.466666666666697</v>
      </c>
      <c r="K21" s="12">
        <v>3033.28</v>
      </c>
      <c r="L21" s="24">
        <v>63.903370786516902</v>
      </c>
      <c r="M21" s="12">
        <v>0.717741935483871</v>
      </c>
      <c r="N21" s="12">
        <v>0.487944083842064</v>
      </c>
      <c r="O21" s="12">
        <v>0.29098573814331402</v>
      </c>
      <c r="P21" s="14">
        <v>66</v>
      </c>
      <c r="Q21" s="14">
        <v>8</v>
      </c>
      <c r="R21" s="14">
        <v>37</v>
      </c>
      <c r="S21" s="12">
        <v>36.484511778034502</v>
      </c>
      <c r="T21" s="14">
        <v>20</v>
      </c>
      <c r="U21" s="14">
        <v>48</v>
      </c>
      <c r="V21" s="12">
        <v>8.3999999999999995E-3</v>
      </c>
      <c r="W21" s="12">
        <v>36.492911778034497</v>
      </c>
      <c r="X21" s="14">
        <v>20</v>
      </c>
    </row>
    <row r="22" spans="1:24" ht="14.25" x14ac:dyDescent="0.45">
      <c r="A22">
        <v>21</v>
      </c>
      <c r="B22" s="12" t="s">
        <v>931</v>
      </c>
      <c r="C22" s="12" t="s">
        <v>1971</v>
      </c>
      <c r="D22" s="12" t="s">
        <v>1974</v>
      </c>
      <c r="E22" s="12" t="s">
        <v>1974</v>
      </c>
      <c r="F22" s="21">
        <v>35967</v>
      </c>
      <c r="G22" s="14">
        <v>24</v>
      </c>
      <c r="H22" s="12" t="s">
        <v>2370</v>
      </c>
      <c r="I22" s="22">
        <v>44281</v>
      </c>
      <c r="J22" s="26">
        <v>9.3333333333333304</v>
      </c>
      <c r="K22" s="12">
        <v>994.74</v>
      </c>
      <c r="L22" s="24">
        <v>106.579285714286</v>
      </c>
      <c r="M22" s="12">
        <v>0.141129032258065</v>
      </c>
      <c r="N22" s="12">
        <v>0.16001737325965801</v>
      </c>
      <c r="O22" s="12">
        <v>0.48531167828320798</v>
      </c>
      <c r="P22" s="14">
        <v>1102</v>
      </c>
      <c r="Q22" s="14">
        <v>52</v>
      </c>
      <c r="R22" s="14">
        <v>12</v>
      </c>
      <c r="S22" s="12">
        <v>36.332631389937703</v>
      </c>
      <c r="T22" s="14">
        <v>21</v>
      </c>
      <c r="U22" s="14">
        <v>9</v>
      </c>
      <c r="V22" s="12">
        <v>6.3E-3</v>
      </c>
      <c r="W22" s="12">
        <v>36.338931389937699</v>
      </c>
      <c r="X22" s="14">
        <v>21</v>
      </c>
    </row>
    <row r="23" spans="1:24" ht="14.25" x14ac:dyDescent="0.45">
      <c r="A23">
        <v>22</v>
      </c>
      <c r="B23" s="12" t="s">
        <v>55</v>
      </c>
      <c r="C23" s="12" t="s">
        <v>1971</v>
      </c>
      <c r="D23" s="12" t="s">
        <v>1972</v>
      </c>
      <c r="E23" s="12" t="s">
        <v>2026</v>
      </c>
      <c r="F23" s="21">
        <v>28380</v>
      </c>
      <c r="G23" s="14">
        <v>44</v>
      </c>
      <c r="H23" s="12" t="s">
        <v>2369</v>
      </c>
      <c r="I23" s="22">
        <v>43844</v>
      </c>
      <c r="J23" s="26">
        <v>23.9</v>
      </c>
      <c r="K23" s="12">
        <v>2018.03</v>
      </c>
      <c r="L23" s="24">
        <v>84.436401673640205</v>
      </c>
      <c r="M23" s="12">
        <v>0.36139112903225801</v>
      </c>
      <c r="N23" s="12">
        <v>0.32462739988257</v>
      </c>
      <c r="O23" s="12">
        <v>0.384483453138181</v>
      </c>
      <c r="P23" s="14">
        <v>387</v>
      </c>
      <c r="Q23" s="14">
        <v>22</v>
      </c>
      <c r="R23" s="14">
        <v>27</v>
      </c>
      <c r="S23" s="12">
        <v>36.203743316732698</v>
      </c>
      <c r="T23" s="14">
        <v>22</v>
      </c>
      <c r="U23" s="14">
        <v>55</v>
      </c>
      <c r="V23" s="12">
        <v>8.8000000000000005E-3</v>
      </c>
      <c r="W23" s="12">
        <v>36.212543316732699</v>
      </c>
      <c r="X23" s="14">
        <v>22</v>
      </c>
    </row>
    <row r="24" spans="1:24" ht="14.25" x14ac:dyDescent="0.45">
      <c r="A24">
        <v>23</v>
      </c>
      <c r="B24" s="12" t="s">
        <v>1031</v>
      </c>
      <c r="C24" s="12" t="s">
        <v>1971</v>
      </c>
      <c r="D24" s="12" t="s">
        <v>1972</v>
      </c>
      <c r="E24" s="12" t="s">
        <v>1974</v>
      </c>
      <c r="F24" s="21">
        <v>33498</v>
      </c>
      <c r="G24" s="14">
        <v>30</v>
      </c>
      <c r="H24" s="12" t="s">
        <v>2367</v>
      </c>
      <c r="I24" s="22">
        <v>44326</v>
      </c>
      <c r="J24" s="26">
        <v>7.8333333333333304</v>
      </c>
      <c r="K24" s="12">
        <v>799.3</v>
      </c>
      <c r="L24" s="24">
        <v>102.03829787234</v>
      </c>
      <c r="M24" s="12">
        <v>0.118447580645161</v>
      </c>
      <c r="N24" s="12">
        <v>0.12857820781957499</v>
      </c>
      <c r="O24" s="12">
        <v>0.46463416655221401</v>
      </c>
      <c r="P24" s="14">
        <v>1244</v>
      </c>
      <c r="Q24" s="14">
        <v>73</v>
      </c>
      <c r="R24" s="14">
        <v>14</v>
      </c>
      <c r="S24" s="12">
        <v>33.861318202747398</v>
      </c>
      <c r="T24" s="14">
        <v>23</v>
      </c>
      <c r="U24" s="14">
        <v>5</v>
      </c>
      <c r="V24" s="12">
        <v>5.8999999999999999E-3</v>
      </c>
      <c r="W24" s="12">
        <v>33.867218202747402</v>
      </c>
      <c r="X24" s="14">
        <v>23</v>
      </c>
    </row>
    <row r="25" spans="1:24" ht="14.25" x14ac:dyDescent="0.45">
      <c r="A25">
        <v>24</v>
      </c>
      <c r="B25" s="12" t="s">
        <v>477</v>
      </c>
      <c r="C25" s="12" t="s">
        <v>1980</v>
      </c>
      <c r="D25" s="12" t="s">
        <v>1972</v>
      </c>
      <c r="E25" s="12" t="s">
        <v>1982</v>
      </c>
      <c r="F25" s="21">
        <v>35391</v>
      </c>
      <c r="G25" s="14">
        <v>25</v>
      </c>
      <c r="H25" s="12" t="s">
        <v>2367</v>
      </c>
      <c r="I25" s="22">
        <v>43733</v>
      </c>
      <c r="J25" s="26">
        <v>27.6</v>
      </c>
      <c r="K25" s="12">
        <v>2053.14</v>
      </c>
      <c r="L25" s="24">
        <v>74.389130434782601</v>
      </c>
      <c r="M25" s="12">
        <v>0.41733870967741898</v>
      </c>
      <c r="N25" s="12">
        <v>0.33027531790652198</v>
      </c>
      <c r="O25" s="12">
        <v>0.33873293009406802</v>
      </c>
      <c r="P25" s="14">
        <v>296</v>
      </c>
      <c r="Q25" s="14">
        <v>21</v>
      </c>
      <c r="R25" s="14">
        <v>32</v>
      </c>
      <c r="S25" s="12">
        <v>33.556132552373803</v>
      </c>
      <c r="T25" s="14">
        <v>24</v>
      </c>
      <c r="U25" s="14">
        <v>81</v>
      </c>
      <c r="V25" s="12">
        <v>9.5999999999999992E-3</v>
      </c>
      <c r="W25" s="12">
        <v>33.565732552373802</v>
      </c>
      <c r="X25" s="14">
        <v>24</v>
      </c>
    </row>
    <row r="26" spans="1:24" ht="14.25" x14ac:dyDescent="0.45">
      <c r="A26">
        <v>25</v>
      </c>
      <c r="B26" s="12" t="s">
        <v>23</v>
      </c>
      <c r="C26" s="12" t="s">
        <v>1971</v>
      </c>
      <c r="D26" s="12" t="s">
        <v>1977</v>
      </c>
      <c r="E26" s="12" t="s">
        <v>1974</v>
      </c>
      <c r="F26" s="21">
        <v>33263</v>
      </c>
      <c r="G26" s="14">
        <v>31</v>
      </c>
      <c r="H26" s="12" t="s">
        <v>2367</v>
      </c>
      <c r="I26" s="22">
        <v>44207</v>
      </c>
      <c r="J26" s="26">
        <v>11.8</v>
      </c>
      <c r="K26" s="12">
        <v>1083.98</v>
      </c>
      <c r="L26" s="24">
        <v>91.862711864406805</v>
      </c>
      <c r="M26" s="12">
        <v>0.178427419354839</v>
      </c>
      <c r="N26" s="12">
        <v>0.174372833369528</v>
      </c>
      <c r="O26" s="12">
        <v>0.41829935871475199</v>
      </c>
      <c r="P26" s="14">
        <v>798</v>
      </c>
      <c r="Q26" s="14">
        <v>50</v>
      </c>
      <c r="R26" s="14">
        <v>20</v>
      </c>
      <c r="S26" s="12">
        <v>32.682691171029298</v>
      </c>
      <c r="T26" s="14">
        <v>25</v>
      </c>
      <c r="U26" s="14">
        <v>8</v>
      </c>
      <c r="V26" s="12">
        <v>6.1999999999999998E-3</v>
      </c>
      <c r="W26" s="12">
        <v>32.688891171029297</v>
      </c>
      <c r="X26" s="14">
        <v>25</v>
      </c>
    </row>
    <row r="27" spans="1:24" ht="14.25" x14ac:dyDescent="0.45">
      <c r="A27">
        <v>26</v>
      </c>
      <c r="B27" s="12" t="s">
        <v>799</v>
      </c>
      <c r="C27" s="12" t="s">
        <v>2021</v>
      </c>
      <c r="D27" s="12" t="s">
        <v>1972</v>
      </c>
      <c r="E27" s="12" t="s">
        <v>2007</v>
      </c>
      <c r="F27" s="21">
        <v>33669</v>
      </c>
      <c r="G27" s="14">
        <v>30</v>
      </c>
      <c r="H27" s="12" t="s">
        <v>2367</v>
      </c>
      <c r="I27" s="22">
        <v>44280</v>
      </c>
      <c r="J27" s="26">
        <v>9.3666666666666707</v>
      </c>
      <c r="K27" s="12">
        <v>873.35</v>
      </c>
      <c r="L27" s="24">
        <v>93.2402135231317</v>
      </c>
      <c r="M27" s="12">
        <v>0.141633064516129</v>
      </c>
      <c r="N27" s="12">
        <v>0.140490151131273</v>
      </c>
      <c r="O27" s="12">
        <v>0.424571850009409</v>
      </c>
      <c r="P27" s="14">
        <v>1063</v>
      </c>
      <c r="Q27" s="14">
        <v>66</v>
      </c>
      <c r="R27" s="14">
        <v>18</v>
      </c>
      <c r="S27" s="12">
        <v>31.804121293010802</v>
      </c>
      <c r="T27" s="14">
        <v>26</v>
      </c>
      <c r="U27" s="14">
        <v>14</v>
      </c>
      <c r="V27" s="12">
        <v>6.7000000000000002E-3</v>
      </c>
      <c r="W27" s="12">
        <v>31.8108212930108</v>
      </c>
      <c r="X27" s="14">
        <v>26</v>
      </c>
    </row>
    <row r="28" spans="1:24" ht="14.25" x14ac:dyDescent="0.45">
      <c r="A28">
        <v>27</v>
      </c>
      <c r="B28" s="12" t="s">
        <v>21</v>
      </c>
      <c r="C28" s="12" t="s">
        <v>1980</v>
      </c>
      <c r="D28" s="12" t="s">
        <v>1972</v>
      </c>
      <c r="E28" s="12" t="s">
        <v>1975</v>
      </c>
      <c r="F28" s="21">
        <v>28466</v>
      </c>
      <c r="G28" s="14">
        <v>44</v>
      </c>
      <c r="H28" s="12" t="s">
        <v>2369</v>
      </c>
      <c r="I28" s="22">
        <v>42817</v>
      </c>
      <c r="J28" s="26">
        <v>58.133333333333297</v>
      </c>
      <c r="K28" s="12">
        <v>2855.28</v>
      </c>
      <c r="L28" s="24">
        <v>49.116055045871597</v>
      </c>
      <c r="M28" s="12">
        <v>0.87903225806451601</v>
      </c>
      <c r="N28" s="12">
        <v>0.459310378109693</v>
      </c>
      <c r="O28" s="12">
        <v>0.22365129344986201</v>
      </c>
      <c r="P28" s="14">
        <v>9</v>
      </c>
      <c r="Q28" s="14">
        <v>10</v>
      </c>
      <c r="R28" s="14">
        <v>46</v>
      </c>
      <c r="S28" s="12">
        <v>31.202345019729801</v>
      </c>
      <c r="T28" s="14">
        <v>27</v>
      </c>
      <c r="U28" s="14">
        <v>108</v>
      </c>
      <c r="V28" s="12">
        <v>9.9000000000000008E-3</v>
      </c>
      <c r="W28" s="12">
        <v>31.212245019729799</v>
      </c>
      <c r="X28" s="14">
        <v>27</v>
      </c>
    </row>
    <row r="29" spans="1:24" ht="14.25" x14ac:dyDescent="0.45">
      <c r="A29">
        <v>28</v>
      </c>
      <c r="B29" s="12" t="s">
        <v>1286</v>
      </c>
      <c r="C29" s="12" t="s">
        <v>1971</v>
      </c>
      <c r="D29" s="12" t="s">
        <v>1972</v>
      </c>
      <c r="E29" s="12" t="s">
        <v>2007</v>
      </c>
      <c r="F29" s="21">
        <v>35429</v>
      </c>
      <c r="G29" s="14">
        <v>25</v>
      </c>
      <c r="H29" s="12" t="s">
        <v>2367</v>
      </c>
      <c r="I29" s="22">
        <v>44372</v>
      </c>
      <c r="J29" s="26">
        <v>6.3</v>
      </c>
      <c r="K29" s="12">
        <v>593.30999999999995</v>
      </c>
      <c r="L29" s="24">
        <v>94.176190476190499</v>
      </c>
      <c r="M29" s="12">
        <v>9.5262096774193505E-2</v>
      </c>
      <c r="N29" s="12">
        <v>9.5441932292546397E-2</v>
      </c>
      <c r="O29" s="12">
        <v>0.42883384653977702</v>
      </c>
      <c r="P29" s="14">
        <v>1606</v>
      </c>
      <c r="Q29" s="14">
        <v>118</v>
      </c>
      <c r="R29" s="14">
        <v>17</v>
      </c>
      <c r="S29" s="12">
        <v>30.381187869706601</v>
      </c>
      <c r="T29" s="14">
        <v>28</v>
      </c>
      <c r="U29" s="14">
        <v>5</v>
      </c>
      <c r="V29" s="12">
        <v>5.8999999999999999E-3</v>
      </c>
      <c r="W29" s="12">
        <v>30.387087869706601</v>
      </c>
      <c r="X29" s="14">
        <v>28</v>
      </c>
    </row>
    <row r="30" spans="1:24" ht="14.25" x14ac:dyDescent="0.45">
      <c r="A30">
        <v>29</v>
      </c>
      <c r="B30" s="12" t="s">
        <v>1906</v>
      </c>
      <c r="C30" s="12" t="s">
        <v>2368</v>
      </c>
      <c r="D30" s="12" t="s">
        <v>2368</v>
      </c>
      <c r="E30" s="12" t="s">
        <v>2368</v>
      </c>
      <c r="F30" s="21">
        <v>1</v>
      </c>
      <c r="G30" s="14">
        <v>122</v>
      </c>
      <c r="H30" s="12" t="s">
        <v>2372</v>
      </c>
      <c r="I30" s="22">
        <v>44484</v>
      </c>
      <c r="J30" s="26">
        <v>2.56666666666667</v>
      </c>
      <c r="K30" s="12">
        <v>250.64</v>
      </c>
      <c r="L30" s="24">
        <v>97.651948051947997</v>
      </c>
      <c r="M30" s="12">
        <v>3.8810483870967701E-2</v>
      </c>
      <c r="N30" s="12">
        <v>4.0318831487424503E-2</v>
      </c>
      <c r="O30" s="12">
        <v>0.44466080326116603</v>
      </c>
      <c r="P30" s="14">
        <v>1909</v>
      </c>
      <c r="Q30" s="14">
        <v>255</v>
      </c>
      <c r="R30" s="14">
        <v>15</v>
      </c>
      <c r="S30" s="12">
        <v>29.303256384601301</v>
      </c>
      <c r="T30" s="14">
        <v>29</v>
      </c>
      <c r="U30" s="14">
        <v>2</v>
      </c>
      <c r="V30" s="12">
        <v>5.5999999999999999E-3</v>
      </c>
      <c r="W30" s="12">
        <v>29.308856384601299</v>
      </c>
      <c r="X30" s="14">
        <v>29</v>
      </c>
    </row>
    <row r="31" spans="1:24" ht="14.25" x14ac:dyDescent="0.45">
      <c r="A31">
        <v>30</v>
      </c>
      <c r="B31" s="12" t="s">
        <v>459</v>
      </c>
      <c r="C31" s="12" t="s">
        <v>1971</v>
      </c>
      <c r="D31" s="12" t="s">
        <v>1981</v>
      </c>
      <c r="E31" s="12" t="s">
        <v>2020</v>
      </c>
      <c r="F31" s="21">
        <v>31254</v>
      </c>
      <c r="G31" s="14">
        <v>36</v>
      </c>
      <c r="H31" s="12" t="s">
        <v>2369</v>
      </c>
      <c r="I31" s="22">
        <v>43838</v>
      </c>
      <c r="J31" s="26">
        <v>24.1</v>
      </c>
      <c r="K31" s="12">
        <v>1600.09</v>
      </c>
      <c r="L31" s="24">
        <v>66.393775933609902</v>
      </c>
      <c r="M31" s="12">
        <v>0.36441532258064502</v>
      </c>
      <c r="N31" s="12">
        <v>0.25739610227702298</v>
      </c>
      <c r="O31" s="12">
        <v>0.30232586576230502</v>
      </c>
      <c r="P31" s="14">
        <v>384</v>
      </c>
      <c r="Q31" s="14">
        <v>30</v>
      </c>
      <c r="R31" s="14">
        <v>36</v>
      </c>
      <c r="S31" s="12">
        <v>28.547720445532399</v>
      </c>
      <c r="T31" s="14">
        <v>30</v>
      </c>
      <c r="U31" s="14">
        <v>22</v>
      </c>
      <c r="V31" s="12">
        <v>7.3000000000000001E-3</v>
      </c>
      <c r="W31" s="12">
        <v>28.555020445532399</v>
      </c>
      <c r="X31" s="14">
        <v>30</v>
      </c>
    </row>
    <row r="32" spans="1:24" ht="14.25" x14ac:dyDescent="0.45">
      <c r="A32">
        <v>31</v>
      </c>
      <c r="B32" s="12" t="s">
        <v>337</v>
      </c>
      <c r="C32" s="12" t="s">
        <v>1971</v>
      </c>
      <c r="D32" s="12" t="s">
        <v>1972</v>
      </c>
      <c r="E32" s="12" t="s">
        <v>1993</v>
      </c>
      <c r="F32" s="21">
        <v>31443</v>
      </c>
      <c r="G32" s="14">
        <v>36</v>
      </c>
      <c r="H32" s="12" t="s">
        <v>2369</v>
      </c>
      <c r="I32" s="22">
        <v>42821</v>
      </c>
      <c r="J32" s="26">
        <v>58</v>
      </c>
      <c r="K32" s="12">
        <v>2539.25</v>
      </c>
      <c r="L32" s="24">
        <v>43.780172413793103</v>
      </c>
      <c r="M32" s="12">
        <v>0.87701612903225801</v>
      </c>
      <c r="N32" s="12">
        <v>0.40847268135350601</v>
      </c>
      <c r="O32" s="12">
        <v>0.199354206657234</v>
      </c>
      <c r="P32" s="14">
        <v>17</v>
      </c>
      <c r="Q32" s="14">
        <v>11</v>
      </c>
      <c r="R32" s="14">
        <v>53</v>
      </c>
      <c r="S32" s="12">
        <v>27.777363466833599</v>
      </c>
      <c r="T32" s="14">
        <v>31</v>
      </c>
      <c r="U32" s="14">
        <v>66</v>
      </c>
      <c r="V32" s="12">
        <v>9.1999999999999998E-3</v>
      </c>
      <c r="W32" s="12">
        <v>27.786563466833599</v>
      </c>
      <c r="X32" s="14">
        <v>31</v>
      </c>
    </row>
    <row r="33" spans="1:24" ht="14.25" x14ac:dyDescent="0.45">
      <c r="A33">
        <v>32</v>
      </c>
      <c r="B33" s="12" t="s">
        <v>298</v>
      </c>
      <c r="C33" s="12" t="s">
        <v>2021</v>
      </c>
      <c r="D33" s="12" t="s">
        <v>1981</v>
      </c>
      <c r="E33" s="12" t="s">
        <v>1982</v>
      </c>
      <c r="F33" s="21">
        <v>35175</v>
      </c>
      <c r="G33" s="14">
        <v>26</v>
      </c>
      <c r="H33" s="12" t="s">
        <v>2367</v>
      </c>
      <c r="I33" s="22">
        <v>44186</v>
      </c>
      <c r="J33" s="26">
        <v>12.5</v>
      </c>
      <c r="K33" s="12">
        <v>957.64</v>
      </c>
      <c r="L33" s="24">
        <v>76.611199999999997</v>
      </c>
      <c r="M33" s="12">
        <v>0.18901209677419401</v>
      </c>
      <c r="N33" s="12">
        <v>0.15404933684015801</v>
      </c>
      <c r="O33" s="12">
        <v>0.34885118433766099</v>
      </c>
      <c r="P33" s="14">
        <v>723</v>
      </c>
      <c r="Q33" s="14">
        <v>55</v>
      </c>
      <c r="R33" s="14">
        <v>31</v>
      </c>
      <c r="S33" s="12">
        <v>27.5800491526097</v>
      </c>
      <c r="T33" s="14">
        <v>32</v>
      </c>
      <c r="U33" s="14">
        <v>10</v>
      </c>
      <c r="V33" s="12">
        <v>6.4000000000000003E-3</v>
      </c>
      <c r="W33" s="12">
        <v>27.586449152609699</v>
      </c>
      <c r="X33" s="14">
        <v>32</v>
      </c>
    </row>
    <row r="34" spans="1:24" ht="14.25" x14ac:dyDescent="0.45">
      <c r="A34">
        <v>33</v>
      </c>
      <c r="B34" s="12" t="s">
        <v>500</v>
      </c>
      <c r="C34" s="12" t="s">
        <v>1971</v>
      </c>
      <c r="D34" s="12" t="s">
        <v>1972</v>
      </c>
      <c r="E34" s="12" t="s">
        <v>1978</v>
      </c>
      <c r="F34" s="21">
        <v>31692</v>
      </c>
      <c r="G34" s="14">
        <v>35</v>
      </c>
      <c r="H34" s="12" t="s">
        <v>2369</v>
      </c>
      <c r="I34" s="22">
        <v>43963</v>
      </c>
      <c r="J34" s="26">
        <v>19.933333333333302</v>
      </c>
      <c r="K34" s="12">
        <v>1357.32</v>
      </c>
      <c r="L34" s="24">
        <v>68.092976588628801</v>
      </c>
      <c r="M34" s="12">
        <v>0.30141129032258102</v>
      </c>
      <c r="N34" s="12">
        <v>0.21834326665540599</v>
      </c>
      <c r="O34" s="12">
        <v>0.31006322219231303</v>
      </c>
      <c r="P34" s="14">
        <v>448</v>
      </c>
      <c r="Q34" s="14">
        <v>35</v>
      </c>
      <c r="R34" s="14">
        <v>35</v>
      </c>
      <c r="S34" s="12">
        <v>27.566823886597302</v>
      </c>
      <c r="T34" s="14">
        <v>33</v>
      </c>
      <c r="U34" s="14">
        <v>56</v>
      </c>
      <c r="V34" s="12">
        <v>8.8999999999999999E-3</v>
      </c>
      <c r="W34" s="12">
        <v>27.575723886597299</v>
      </c>
      <c r="X34" s="14">
        <v>33</v>
      </c>
    </row>
    <row r="35" spans="1:24" ht="14.25" x14ac:dyDescent="0.45">
      <c r="A35">
        <v>34</v>
      </c>
      <c r="B35" s="12" t="s">
        <v>1870</v>
      </c>
      <c r="C35" s="12" t="s">
        <v>1971</v>
      </c>
      <c r="D35" s="12" t="s">
        <v>1993</v>
      </c>
      <c r="E35" s="12" t="s">
        <v>1982</v>
      </c>
      <c r="F35" s="21">
        <v>37140</v>
      </c>
      <c r="G35" s="14">
        <v>20</v>
      </c>
      <c r="H35" s="12" t="s">
        <v>2370</v>
      </c>
      <c r="I35" s="22">
        <v>44463</v>
      </c>
      <c r="J35" s="26">
        <v>3.2666666666666702</v>
      </c>
      <c r="K35" s="12">
        <v>294.97000000000003</v>
      </c>
      <c r="L35" s="24">
        <v>90.296938775510199</v>
      </c>
      <c r="M35" s="12">
        <v>4.9395161290322599E-2</v>
      </c>
      <c r="N35" s="12">
        <v>4.7449911122907799E-2</v>
      </c>
      <c r="O35" s="12">
        <v>0.41116956833859802</v>
      </c>
      <c r="P35" s="14">
        <v>1884</v>
      </c>
      <c r="Q35" s="14">
        <v>228</v>
      </c>
      <c r="R35" s="14">
        <v>21</v>
      </c>
      <c r="S35" s="12">
        <v>27.477469688271398</v>
      </c>
      <c r="T35" s="14">
        <v>34</v>
      </c>
      <c r="U35" s="14">
        <v>2</v>
      </c>
      <c r="V35" s="12">
        <v>5.5999999999999999E-3</v>
      </c>
      <c r="W35" s="12">
        <v>27.483069688271399</v>
      </c>
      <c r="X35" s="14">
        <v>34</v>
      </c>
    </row>
    <row r="36" spans="1:24" ht="14.25" x14ac:dyDescent="0.45">
      <c r="A36">
        <v>35</v>
      </c>
      <c r="B36" s="12" t="s">
        <v>332</v>
      </c>
      <c r="C36" s="12" t="s">
        <v>1971</v>
      </c>
      <c r="D36" s="12" t="s">
        <v>1977</v>
      </c>
      <c r="E36" s="12" t="s">
        <v>1974</v>
      </c>
      <c r="F36" s="21">
        <v>27718</v>
      </c>
      <c r="G36" s="14">
        <v>46</v>
      </c>
      <c r="H36" s="12" t="s">
        <v>2371</v>
      </c>
      <c r="I36" s="22">
        <v>42836</v>
      </c>
      <c r="J36" s="26">
        <v>57.5</v>
      </c>
      <c r="K36" s="12">
        <v>2478.02</v>
      </c>
      <c r="L36" s="24">
        <v>43.095999999999997</v>
      </c>
      <c r="M36" s="12">
        <v>0.86945564516129004</v>
      </c>
      <c r="N36" s="12">
        <v>0.39862300830860098</v>
      </c>
      <c r="O36" s="12">
        <v>0.19623880894981199</v>
      </c>
      <c r="P36" s="14">
        <v>22</v>
      </c>
      <c r="Q36" s="14">
        <v>13</v>
      </c>
      <c r="R36" s="14">
        <v>54</v>
      </c>
      <c r="S36" s="12">
        <v>27.2132883709358</v>
      </c>
      <c r="T36" s="14">
        <v>35</v>
      </c>
      <c r="U36" s="14">
        <v>66</v>
      </c>
      <c r="V36" s="12">
        <v>9.1999999999999998E-3</v>
      </c>
      <c r="W36" s="12">
        <v>27.2224883709358</v>
      </c>
      <c r="X36" s="14">
        <v>35</v>
      </c>
    </row>
    <row r="37" spans="1:24" ht="14.25" x14ac:dyDescent="0.45">
      <c r="A37">
        <v>36</v>
      </c>
      <c r="B37" s="12" t="s">
        <v>502</v>
      </c>
      <c r="C37" s="12" t="s">
        <v>1971</v>
      </c>
      <c r="D37" s="12" t="s">
        <v>1972</v>
      </c>
      <c r="E37" s="12" t="s">
        <v>1975</v>
      </c>
      <c r="F37" s="21">
        <v>35922</v>
      </c>
      <c r="G37" s="14">
        <v>24</v>
      </c>
      <c r="H37" s="12" t="s">
        <v>2370</v>
      </c>
      <c r="I37" s="22">
        <v>44217</v>
      </c>
      <c r="J37" s="26">
        <v>11.466666666666701</v>
      </c>
      <c r="K37" s="12">
        <v>881.08</v>
      </c>
      <c r="L37" s="24">
        <v>76.838372093023295</v>
      </c>
      <c r="M37" s="12">
        <v>0.17338709677419401</v>
      </c>
      <c r="N37" s="12">
        <v>0.14173362610493101</v>
      </c>
      <c r="O37" s="12">
        <v>0.34988561864621698</v>
      </c>
      <c r="P37" s="14">
        <v>851</v>
      </c>
      <c r="Q37" s="14">
        <v>62</v>
      </c>
      <c r="R37" s="14">
        <v>30</v>
      </c>
      <c r="S37" s="12">
        <v>27.182862144323501</v>
      </c>
      <c r="T37" s="14">
        <v>36</v>
      </c>
      <c r="U37" s="14">
        <v>9</v>
      </c>
      <c r="V37" s="12">
        <v>6.3E-3</v>
      </c>
      <c r="W37" s="12">
        <v>27.1891621443235</v>
      </c>
      <c r="X37" s="14">
        <v>36</v>
      </c>
    </row>
    <row r="38" spans="1:24" ht="14.25" x14ac:dyDescent="0.45">
      <c r="A38">
        <v>37</v>
      </c>
      <c r="B38" s="12" t="s">
        <v>1931</v>
      </c>
      <c r="C38" s="12" t="s">
        <v>1971</v>
      </c>
      <c r="D38" s="12" t="s">
        <v>1974</v>
      </c>
      <c r="E38" s="12" t="s">
        <v>1982</v>
      </c>
      <c r="F38" s="21">
        <v>35812</v>
      </c>
      <c r="G38" s="14">
        <v>24</v>
      </c>
      <c r="H38" s="12" t="s">
        <v>2370</v>
      </c>
      <c r="I38" s="22">
        <v>44480</v>
      </c>
      <c r="J38" s="26">
        <v>2.7</v>
      </c>
      <c r="K38" s="12">
        <v>242.1</v>
      </c>
      <c r="L38" s="24">
        <v>89.6666666666667</v>
      </c>
      <c r="M38" s="12">
        <v>4.0826612903225798E-2</v>
      </c>
      <c r="N38" s="12">
        <v>3.8945057066332098E-2</v>
      </c>
      <c r="O38" s="12">
        <v>0.40829960713677499</v>
      </c>
      <c r="P38" s="14">
        <v>1899</v>
      </c>
      <c r="Q38" s="14">
        <v>262</v>
      </c>
      <c r="R38" s="14">
        <v>22</v>
      </c>
      <c r="S38" s="12">
        <v>26.979165086035898</v>
      </c>
      <c r="T38" s="14">
        <v>37</v>
      </c>
      <c r="U38" s="14">
        <v>2</v>
      </c>
      <c r="V38" s="12">
        <v>5.5999999999999999E-3</v>
      </c>
      <c r="W38" s="12">
        <v>26.9847650860359</v>
      </c>
      <c r="X38" s="14">
        <v>37</v>
      </c>
    </row>
    <row r="39" spans="1:24" ht="14.25" x14ac:dyDescent="0.45">
      <c r="A39">
        <v>38</v>
      </c>
      <c r="B39" s="12" t="s">
        <v>388</v>
      </c>
      <c r="C39" s="12" t="s">
        <v>1971</v>
      </c>
      <c r="D39" s="12" t="s">
        <v>1972</v>
      </c>
      <c r="E39" s="12" t="s">
        <v>1975</v>
      </c>
      <c r="F39" s="21">
        <v>32975</v>
      </c>
      <c r="G39" s="14">
        <v>32</v>
      </c>
      <c r="H39" s="12" t="s">
        <v>2367</v>
      </c>
      <c r="I39" s="22">
        <v>43178</v>
      </c>
      <c r="J39" s="26">
        <v>46.1</v>
      </c>
      <c r="K39" s="12">
        <v>2183.14</v>
      </c>
      <c r="L39" s="24">
        <v>47.356616052060701</v>
      </c>
      <c r="M39" s="12">
        <v>0.69707661290322598</v>
      </c>
      <c r="N39" s="12">
        <v>0.35118757490207397</v>
      </c>
      <c r="O39" s="12">
        <v>0.21563964010464901</v>
      </c>
      <c r="P39" s="14">
        <v>80</v>
      </c>
      <c r="Q39" s="14">
        <v>18</v>
      </c>
      <c r="R39" s="14">
        <v>48</v>
      </c>
      <c r="S39" s="12">
        <v>26.647011565368299</v>
      </c>
      <c r="T39" s="14">
        <v>38</v>
      </c>
      <c r="U39" s="14">
        <v>20</v>
      </c>
      <c r="V39" s="12">
        <v>7.1000000000000004E-3</v>
      </c>
      <c r="W39" s="12">
        <v>26.6541115653683</v>
      </c>
      <c r="X39" s="14">
        <v>38</v>
      </c>
    </row>
    <row r="40" spans="1:24" ht="14.25" x14ac:dyDescent="0.45">
      <c r="A40">
        <v>39</v>
      </c>
      <c r="B40" s="12" t="s">
        <v>387</v>
      </c>
      <c r="C40" s="12" t="s">
        <v>1980</v>
      </c>
      <c r="D40" s="12" t="s">
        <v>1996</v>
      </c>
      <c r="E40" s="12" t="s">
        <v>1975</v>
      </c>
      <c r="F40" s="21">
        <v>32377</v>
      </c>
      <c r="G40" s="14">
        <v>33</v>
      </c>
      <c r="H40" s="12" t="s">
        <v>2367</v>
      </c>
      <c r="I40" s="22">
        <v>43528</v>
      </c>
      <c r="J40" s="26">
        <v>34.433333333333302</v>
      </c>
      <c r="K40" s="12">
        <v>1749.23</v>
      </c>
      <c r="L40" s="24">
        <v>50.800484027105497</v>
      </c>
      <c r="M40" s="12">
        <v>0.52066532258064502</v>
      </c>
      <c r="N40" s="12">
        <v>0.28138728695638199</v>
      </c>
      <c r="O40" s="12">
        <v>0.23132138666124799</v>
      </c>
      <c r="P40" s="14">
        <v>230</v>
      </c>
      <c r="Q40" s="14">
        <v>26</v>
      </c>
      <c r="R40" s="14">
        <v>43</v>
      </c>
      <c r="S40" s="12">
        <v>25.009609927192301</v>
      </c>
      <c r="T40" s="14">
        <v>39</v>
      </c>
      <c r="U40" s="14">
        <v>70</v>
      </c>
      <c r="V40" s="12">
        <v>9.2999999999999992E-3</v>
      </c>
      <c r="W40" s="12">
        <v>25.018909927192301</v>
      </c>
      <c r="X40" s="14">
        <v>39</v>
      </c>
    </row>
    <row r="41" spans="1:24" ht="14.25" x14ac:dyDescent="0.45">
      <c r="A41">
        <v>40</v>
      </c>
      <c r="B41" s="12" t="s">
        <v>94</v>
      </c>
      <c r="C41" s="12" t="s">
        <v>1980</v>
      </c>
      <c r="D41" s="12" t="s">
        <v>1972</v>
      </c>
      <c r="E41" s="12" t="s">
        <v>2020</v>
      </c>
      <c r="F41" s="21">
        <v>24588</v>
      </c>
      <c r="G41" s="14">
        <v>55</v>
      </c>
      <c r="H41" s="12" t="s">
        <v>2371</v>
      </c>
      <c r="I41" s="22">
        <v>43656</v>
      </c>
      <c r="J41" s="26">
        <v>30.1666666666667</v>
      </c>
      <c r="K41" s="12">
        <v>1614.86</v>
      </c>
      <c r="L41" s="24">
        <v>53.531270718232001</v>
      </c>
      <c r="M41" s="12">
        <v>0.45614919354838701</v>
      </c>
      <c r="N41" s="12">
        <v>0.25977205639874801</v>
      </c>
      <c r="O41" s="12">
        <v>0.243756098183493</v>
      </c>
      <c r="P41" s="14">
        <v>256</v>
      </c>
      <c r="Q41" s="14">
        <v>29</v>
      </c>
      <c r="R41" s="14">
        <v>41</v>
      </c>
      <c r="S41" s="12">
        <v>24.976208251421401</v>
      </c>
      <c r="T41" s="14">
        <v>40</v>
      </c>
      <c r="U41" s="14">
        <v>32</v>
      </c>
      <c r="V41" s="12">
        <v>7.7999999999999996E-3</v>
      </c>
      <c r="W41" s="12">
        <v>24.9840082514214</v>
      </c>
      <c r="X41" s="14">
        <v>40</v>
      </c>
    </row>
    <row r="42" spans="1:24" ht="14.25" x14ac:dyDescent="0.45">
      <c r="A42">
        <v>41</v>
      </c>
      <c r="B42" s="12" t="s">
        <v>65</v>
      </c>
      <c r="C42" s="12" t="s">
        <v>1971</v>
      </c>
      <c r="D42" s="12" t="s">
        <v>1972</v>
      </c>
      <c r="E42" s="12" t="s">
        <v>2003</v>
      </c>
      <c r="F42" s="21">
        <v>31322</v>
      </c>
      <c r="G42" s="14">
        <v>36</v>
      </c>
      <c r="H42" s="12" t="s">
        <v>2369</v>
      </c>
      <c r="I42" s="22">
        <v>42920</v>
      </c>
      <c r="J42" s="26">
        <v>54.7</v>
      </c>
      <c r="K42" s="12">
        <v>2163.8200000000002</v>
      </c>
      <c r="L42" s="24">
        <v>39.557952468007301</v>
      </c>
      <c r="M42" s="12">
        <v>0.827116935483871</v>
      </c>
      <c r="N42" s="12">
        <v>0.34807969178550402</v>
      </c>
      <c r="O42" s="12">
        <v>0.18012821321735301</v>
      </c>
      <c r="P42" s="14">
        <v>37</v>
      </c>
      <c r="Q42" s="14">
        <v>19</v>
      </c>
      <c r="R42" s="14">
        <v>62</v>
      </c>
      <c r="S42" s="12">
        <v>24.311001768040999</v>
      </c>
      <c r="T42" s="14">
        <v>41</v>
      </c>
      <c r="U42" s="14">
        <v>20</v>
      </c>
      <c r="V42" s="12">
        <v>7.1000000000000004E-3</v>
      </c>
      <c r="W42" s="12">
        <v>24.318101768041</v>
      </c>
      <c r="X42" s="14">
        <v>41</v>
      </c>
    </row>
    <row r="43" spans="1:24" ht="14.25" x14ac:dyDescent="0.45">
      <c r="A43">
        <v>42</v>
      </c>
      <c r="B43" s="12" t="s">
        <v>270</v>
      </c>
      <c r="C43" s="12" t="s">
        <v>1971</v>
      </c>
      <c r="D43" s="12" t="s">
        <v>1972</v>
      </c>
      <c r="E43" s="12" t="s">
        <v>1973</v>
      </c>
      <c r="F43" s="21">
        <v>28598</v>
      </c>
      <c r="G43" s="14">
        <v>44</v>
      </c>
      <c r="H43" s="12" t="s">
        <v>2369</v>
      </c>
      <c r="I43" s="22">
        <v>43322</v>
      </c>
      <c r="J43" s="26">
        <v>41.3</v>
      </c>
      <c r="K43" s="12">
        <v>1860.33</v>
      </c>
      <c r="L43" s="24">
        <v>45.0443099273608</v>
      </c>
      <c r="M43" s="12">
        <v>0.62449596774193505</v>
      </c>
      <c r="N43" s="12">
        <v>0.299259223511811</v>
      </c>
      <c r="O43" s="12">
        <v>0.20511049123147099</v>
      </c>
      <c r="P43" s="14">
        <v>151</v>
      </c>
      <c r="Q43" s="14">
        <v>24</v>
      </c>
      <c r="R43" s="14">
        <v>51</v>
      </c>
      <c r="S43" s="12">
        <v>24.041626583659902</v>
      </c>
      <c r="T43" s="14">
        <v>42</v>
      </c>
      <c r="U43" s="14">
        <v>60</v>
      </c>
      <c r="V43" s="12">
        <v>8.9999999999999993E-3</v>
      </c>
      <c r="W43" s="12">
        <v>24.050626583659898</v>
      </c>
      <c r="X43" s="14">
        <v>42</v>
      </c>
    </row>
    <row r="44" spans="1:24" ht="14.25" x14ac:dyDescent="0.45">
      <c r="A44">
        <v>43</v>
      </c>
      <c r="B44" s="12" t="s">
        <v>1911</v>
      </c>
      <c r="C44" s="12" t="s">
        <v>1971</v>
      </c>
      <c r="D44" s="12" t="s">
        <v>1981</v>
      </c>
      <c r="E44" s="12" t="s">
        <v>1993</v>
      </c>
      <c r="F44" s="21">
        <v>37649</v>
      </c>
      <c r="G44" s="14">
        <v>19</v>
      </c>
      <c r="H44" s="12" t="s">
        <v>2370</v>
      </c>
      <c r="I44" s="22">
        <v>44482</v>
      </c>
      <c r="J44" s="26">
        <v>2.6333333333333302</v>
      </c>
      <c r="K44" s="12">
        <v>208.91</v>
      </c>
      <c r="L44" s="24">
        <v>79.332911392405094</v>
      </c>
      <c r="M44" s="12">
        <v>3.9818548387096801E-2</v>
      </c>
      <c r="N44" s="12">
        <v>3.3605996991852301E-2</v>
      </c>
      <c r="O44" s="12">
        <v>0.36124457124017401</v>
      </c>
      <c r="P44" s="14">
        <v>1907</v>
      </c>
      <c r="Q44" s="14">
        <v>279</v>
      </c>
      <c r="R44" s="14">
        <v>29</v>
      </c>
      <c r="S44" s="12">
        <v>23.838010589705299</v>
      </c>
      <c r="T44" s="14">
        <v>43</v>
      </c>
      <c r="U44" s="14">
        <v>2</v>
      </c>
      <c r="V44" s="12">
        <v>5.5999999999999999E-3</v>
      </c>
      <c r="W44" s="12">
        <v>23.8436105897053</v>
      </c>
      <c r="X44" s="14">
        <v>43</v>
      </c>
    </row>
    <row r="45" spans="1:24" ht="14.25" x14ac:dyDescent="0.45">
      <c r="A45">
        <v>44</v>
      </c>
      <c r="B45" s="12" t="s">
        <v>853</v>
      </c>
      <c r="C45" s="12" t="s">
        <v>2368</v>
      </c>
      <c r="D45" s="12" t="s">
        <v>2368</v>
      </c>
      <c r="E45" s="12" t="s">
        <v>2368</v>
      </c>
      <c r="F45" s="21">
        <v>1</v>
      </c>
      <c r="G45" s="14">
        <v>122</v>
      </c>
      <c r="H45" s="12" t="s">
        <v>2372</v>
      </c>
      <c r="I45" s="22">
        <v>44307</v>
      </c>
      <c r="J45" s="26">
        <v>8.4666666666666703</v>
      </c>
      <c r="K45" s="12">
        <v>583.64</v>
      </c>
      <c r="L45" s="24">
        <v>68.933858267716502</v>
      </c>
      <c r="M45" s="12">
        <v>0.12802419354838701</v>
      </c>
      <c r="N45" s="12">
        <v>9.3886382099108004E-2</v>
      </c>
      <c r="O45" s="12">
        <v>0.313892199804433</v>
      </c>
      <c r="P45" s="14">
        <v>1215</v>
      </c>
      <c r="Q45" s="14">
        <v>124</v>
      </c>
      <c r="R45" s="14">
        <v>34</v>
      </c>
      <c r="S45" s="12">
        <v>23.1390018164936</v>
      </c>
      <c r="T45" s="14">
        <v>44</v>
      </c>
      <c r="U45" s="14">
        <v>8</v>
      </c>
      <c r="V45" s="12">
        <v>6.1999999999999998E-3</v>
      </c>
      <c r="W45" s="12">
        <v>23.1452018164936</v>
      </c>
      <c r="X45" s="14">
        <v>44</v>
      </c>
    </row>
    <row r="46" spans="1:24" ht="14.25" x14ac:dyDescent="0.45">
      <c r="A46">
        <v>45</v>
      </c>
      <c r="B46" s="12" t="s">
        <v>453</v>
      </c>
      <c r="C46" s="12" t="s">
        <v>1971</v>
      </c>
      <c r="D46" s="12" t="s">
        <v>1972</v>
      </c>
      <c r="E46" s="12" t="s">
        <v>1974</v>
      </c>
      <c r="F46" s="21">
        <v>27121</v>
      </c>
      <c r="G46" s="14">
        <v>48</v>
      </c>
      <c r="H46" s="12" t="s">
        <v>2371</v>
      </c>
      <c r="I46" s="22">
        <v>44174</v>
      </c>
      <c r="J46" s="26">
        <v>12.9</v>
      </c>
      <c r="K46" s="12">
        <v>819.78</v>
      </c>
      <c r="L46" s="24">
        <v>63.548837209302299</v>
      </c>
      <c r="M46" s="12">
        <v>0.195060483870968</v>
      </c>
      <c r="N46" s="12">
        <v>0.13187269261395199</v>
      </c>
      <c r="O46" s="12">
        <v>0.289371359850078</v>
      </c>
      <c r="P46" s="14">
        <v>687</v>
      </c>
      <c r="Q46" s="14">
        <v>71</v>
      </c>
      <c r="R46" s="14">
        <v>38</v>
      </c>
      <c r="S46" s="12">
        <v>23.0309359636531</v>
      </c>
      <c r="T46" s="14">
        <v>45</v>
      </c>
      <c r="U46" s="14">
        <v>10</v>
      </c>
      <c r="V46" s="12">
        <v>6.4000000000000003E-3</v>
      </c>
      <c r="W46" s="12">
        <v>23.037335963653099</v>
      </c>
      <c r="X46" s="14">
        <v>45</v>
      </c>
    </row>
    <row r="47" spans="1:24" ht="14.25" x14ac:dyDescent="0.45">
      <c r="A47">
        <v>46</v>
      </c>
      <c r="B47" s="12" t="s">
        <v>66</v>
      </c>
      <c r="C47" s="12" t="s">
        <v>1986</v>
      </c>
      <c r="D47" s="12" t="s">
        <v>1972</v>
      </c>
      <c r="E47" s="12" t="s">
        <v>1982</v>
      </c>
      <c r="F47" s="21">
        <v>33824</v>
      </c>
      <c r="G47" s="14">
        <v>29</v>
      </c>
      <c r="H47" s="12" t="s">
        <v>2367</v>
      </c>
      <c r="I47" s="22">
        <v>43053</v>
      </c>
      <c r="J47" s="26">
        <v>50.266666666666701</v>
      </c>
      <c r="K47" s="12">
        <v>1917.58</v>
      </c>
      <c r="L47" s="24">
        <v>38.148143236074297</v>
      </c>
      <c r="M47" s="12">
        <v>0.76008064516129004</v>
      </c>
      <c r="N47" s="12">
        <v>0.30846865976562199</v>
      </c>
      <c r="O47" s="12">
        <v>0.17370860850877201</v>
      </c>
      <c r="P47" s="14">
        <v>61</v>
      </c>
      <c r="Q47" s="14">
        <v>23</v>
      </c>
      <c r="R47" s="14">
        <v>63</v>
      </c>
      <c r="S47" s="12">
        <v>22.424362773009101</v>
      </c>
      <c r="T47" s="14">
        <v>46</v>
      </c>
      <c r="U47" s="14">
        <v>30</v>
      </c>
      <c r="V47" s="12">
        <v>7.7000000000000002E-3</v>
      </c>
      <c r="W47" s="12">
        <v>22.4320627730091</v>
      </c>
      <c r="X47" s="14">
        <v>46</v>
      </c>
    </row>
    <row r="48" spans="1:24" ht="14.25" x14ac:dyDescent="0.45">
      <c r="A48">
        <v>47</v>
      </c>
      <c r="B48" s="12" t="s">
        <v>606</v>
      </c>
      <c r="C48" s="12" t="s">
        <v>1971</v>
      </c>
      <c r="D48" s="12" t="s">
        <v>1974</v>
      </c>
      <c r="E48" s="12" t="s">
        <v>2072</v>
      </c>
      <c r="F48" s="21">
        <v>26974</v>
      </c>
      <c r="G48" s="14">
        <v>48</v>
      </c>
      <c r="H48" s="12" t="s">
        <v>2371</v>
      </c>
      <c r="I48" s="22">
        <v>43812</v>
      </c>
      <c r="J48" s="26">
        <v>24.966666666666701</v>
      </c>
      <c r="K48" s="12">
        <v>1257.22</v>
      </c>
      <c r="L48" s="24">
        <v>50.355941255006698</v>
      </c>
      <c r="M48" s="12">
        <v>0.37752016129032301</v>
      </c>
      <c r="N48" s="12">
        <v>0.20224082876883101</v>
      </c>
      <c r="O48" s="12">
        <v>0.229297149049313</v>
      </c>
      <c r="P48" s="14">
        <v>374</v>
      </c>
      <c r="Q48" s="14">
        <v>38</v>
      </c>
      <c r="R48" s="14">
        <v>44</v>
      </c>
      <c r="S48" s="12">
        <v>21.915102894413199</v>
      </c>
      <c r="T48" s="14">
        <v>47</v>
      </c>
      <c r="U48" s="14">
        <v>24</v>
      </c>
      <c r="V48" s="12">
        <v>7.4000000000000003E-3</v>
      </c>
      <c r="W48" s="12">
        <v>21.922502894413199</v>
      </c>
      <c r="X48" s="14">
        <v>47</v>
      </c>
    </row>
    <row r="49" spans="1:24" ht="14.25" x14ac:dyDescent="0.45">
      <c r="A49">
        <v>48</v>
      </c>
      <c r="B49" s="12" t="s">
        <v>377</v>
      </c>
      <c r="C49" s="12" t="s">
        <v>1971</v>
      </c>
      <c r="D49" s="12" t="s">
        <v>1972</v>
      </c>
      <c r="E49" s="12" t="s">
        <v>1997</v>
      </c>
      <c r="F49" s="21">
        <v>32402</v>
      </c>
      <c r="G49" s="14">
        <v>33</v>
      </c>
      <c r="H49" s="12" t="s">
        <v>2367</v>
      </c>
      <c r="I49" s="22">
        <v>43340</v>
      </c>
      <c r="J49" s="26">
        <v>40.700000000000003</v>
      </c>
      <c r="K49" s="12">
        <v>1669.16</v>
      </c>
      <c r="L49" s="24">
        <v>41.011302211302201</v>
      </c>
      <c r="M49" s="12">
        <v>0.61542338709677402</v>
      </c>
      <c r="N49" s="12">
        <v>0.26850694528227498</v>
      </c>
      <c r="O49" s="12">
        <v>0.186746080829468</v>
      </c>
      <c r="P49" s="14">
        <v>178</v>
      </c>
      <c r="Q49" s="14">
        <v>27</v>
      </c>
      <c r="R49" s="14">
        <v>59</v>
      </c>
      <c r="S49" s="12">
        <v>21.740640499927</v>
      </c>
      <c r="T49" s="14">
        <v>48</v>
      </c>
      <c r="U49" s="14">
        <v>10</v>
      </c>
      <c r="V49" s="12">
        <v>6.4000000000000003E-3</v>
      </c>
      <c r="W49" s="12">
        <v>21.747040499927</v>
      </c>
      <c r="X49" s="14">
        <v>48</v>
      </c>
    </row>
    <row r="50" spans="1:24" ht="14.25" x14ac:dyDescent="0.45">
      <c r="A50">
        <v>49</v>
      </c>
      <c r="B50" s="12" t="s">
        <v>203</v>
      </c>
      <c r="C50" s="12" t="s">
        <v>1971</v>
      </c>
      <c r="D50" s="12" t="s">
        <v>1972</v>
      </c>
      <c r="E50" s="12" t="s">
        <v>1974</v>
      </c>
      <c r="F50" s="21">
        <v>30759</v>
      </c>
      <c r="G50" s="14">
        <v>38</v>
      </c>
      <c r="H50" s="12" t="s">
        <v>2369</v>
      </c>
      <c r="I50" s="22">
        <v>43714</v>
      </c>
      <c r="J50" s="26">
        <v>28.233333333333299</v>
      </c>
      <c r="K50" s="12">
        <v>1306.19</v>
      </c>
      <c r="L50" s="24">
        <v>46.264108618654099</v>
      </c>
      <c r="M50" s="12">
        <v>0.42691532258064502</v>
      </c>
      <c r="N50" s="12">
        <v>0.21011831511553999</v>
      </c>
      <c r="O50" s="12">
        <v>0.21066487777170501</v>
      </c>
      <c r="P50" s="14">
        <v>280</v>
      </c>
      <c r="Q50" s="14">
        <v>37</v>
      </c>
      <c r="R50" s="14">
        <v>49</v>
      </c>
      <c r="S50" s="12">
        <v>21.045991677564299</v>
      </c>
      <c r="T50" s="14">
        <v>49</v>
      </c>
      <c r="U50" s="14">
        <v>48</v>
      </c>
      <c r="V50" s="12">
        <v>8.3999999999999995E-3</v>
      </c>
      <c r="W50" s="12">
        <v>21.054391677564301</v>
      </c>
      <c r="X50" s="14">
        <v>49</v>
      </c>
    </row>
    <row r="51" spans="1:24" ht="14.25" x14ac:dyDescent="0.45">
      <c r="A51">
        <v>50</v>
      </c>
      <c r="B51" s="12" t="s">
        <v>841</v>
      </c>
      <c r="C51" s="12" t="s">
        <v>1971</v>
      </c>
      <c r="D51" s="12" t="s">
        <v>1972</v>
      </c>
      <c r="E51" s="12" t="s">
        <v>1990</v>
      </c>
      <c r="F51" s="21">
        <v>31904</v>
      </c>
      <c r="G51" s="14">
        <v>35</v>
      </c>
      <c r="H51" s="12" t="s">
        <v>2369</v>
      </c>
      <c r="I51" s="22">
        <v>44271</v>
      </c>
      <c r="J51" s="26">
        <v>9.6666666666666696</v>
      </c>
      <c r="K51" s="12">
        <v>588.33000000000004</v>
      </c>
      <c r="L51" s="24">
        <v>60.861724137930999</v>
      </c>
      <c r="M51" s="12">
        <v>0.14616935483870999</v>
      </c>
      <c r="N51" s="12">
        <v>9.4640831986101404E-2</v>
      </c>
      <c r="O51" s="12">
        <v>0.27713551734406</v>
      </c>
      <c r="P51" s="14">
        <v>1004</v>
      </c>
      <c r="Q51" s="14">
        <v>123</v>
      </c>
      <c r="R51" s="14">
        <v>39</v>
      </c>
      <c r="S51" s="12">
        <v>20.870001033482499</v>
      </c>
      <c r="T51" s="14">
        <v>50</v>
      </c>
      <c r="U51" s="14">
        <v>5</v>
      </c>
      <c r="V51" s="12">
        <v>5.8999999999999999E-3</v>
      </c>
      <c r="W51" s="12">
        <v>20.875901033482499</v>
      </c>
      <c r="X51" s="14">
        <v>50</v>
      </c>
    </row>
  </sheetData>
  <pageMargins left="0.7" right="0.7" top="0.75" bottom="0.75" header="0.3" footer="0.3"/>
  <ignoredErrors>
    <ignoredError sqref="C45:E4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B9D1-EA60-4A04-A1D8-C6F3283C20E9}">
  <dimension ref="A1:U38"/>
  <sheetViews>
    <sheetView zoomScale="75" workbookViewId="0">
      <selection activeCell="E21" sqref="E21:E23"/>
    </sheetView>
  </sheetViews>
  <sheetFormatPr defaultRowHeight="12.75" x14ac:dyDescent="0.35"/>
  <cols>
    <col min="3" max="3" width="13.06640625" customWidth="1"/>
    <col min="4" max="4" width="16.46484375" customWidth="1"/>
    <col min="5" max="5" width="15.3984375" customWidth="1"/>
    <col min="6" max="6" width="16.06640625" customWidth="1"/>
    <col min="7" max="7" width="10.06640625" customWidth="1"/>
    <col min="8" max="8" width="15.1328125" customWidth="1"/>
    <col min="9" max="9" width="13.06640625" customWidth="1"/>
    <col min="11" max="11" width="12.73046875" customWidth="1"/>
    <col min="12" max="12" width="13.06640625" customWidth="1"/>
    <col min="13" max="13" width="16.73046875" customWidth="1"/>
    <col min="14" max="14" width="16.46484375" customWidth="1"/>
    <col min="15" max="15" width="10.265625" customWidth="1"/>
    <col min="16" max="16" width="13.796875" customWidth="1"/>
    <col min="17" max="17" width="13.59765625" customWidth="1"/>
    <col min="18" max="18" width="16.19921875" customWidth="1"/>
    <col min="22" max="22" width="12.46484375" customWidth="1"/>
  </cols>
  <sheetData>
    <row r="1" spans="1:19" ht="46.9" customHeight="1" x14ac:dyDescent="0.6">
      <c r="A1" s="16"/>
      <c r="B1" s="16"/>
      <c r="C1" s="73" t="s">
        <v>2375</v>
      </c>
      <c r="D1" s="74"/>
      <c r="E1" s="74"/>
      <c r="F1" s="74"/>
      <c r="G1" s="74"/>
      <c r="H1" s="74"/>
      <c r="I1" s="75"/>
      <c r="J1" s="11"/>
      <c r="K1" s="76" t="s">
        <v>2384</v>
      </c>
      <c r="L1" s="77"/>
      <c r="M1" s="77"/>
      <c r="N1" s="77"/>
      <c r="O1" s="77"/>
      <c r="P1" s="77"/>
      <c r="Q1" s="78"/>
      <c r="S1" s="16"/>
    </row>
    <row r="2" spans="1:19" ht="15.75" x14ac:dyDescent="0.5">
      <c r="A2" s="16"/>
      <c r="B2" s="16"/>
      <c r="C2" s="57" t="s">
        <v>1</v>
      </c>
      <c r="D2" s="46" t="s">
        <v>2346</v>
      </c>
      <c r="E2" s="46" t="s">
        <v>2347</v>
      </c>
      <c r="F2" s="46" t="s">
        <v>2348</v>
      </c>
      <c r="G2" s="54" t="s">
        <v>2349</v>
      </c>
      <c r="H2" s="46" t="s">
        <v>2376</v>
      </c>
      <c r="I2" s="58" t="s">
        <v>2374</v>
      </c>
      <c r="K2" s="46" t="s">
        <v>1</v>
      </c>
      <c r="L2" s="46" t="s">
        <v>2346</v>
      </c>
      <c r="M2" s="46" t="s">
        <v>2347</v>
      </c>
      <c r="N2" s="46" t="s">
        <v>2348</v>
      </c>
      <c r="O2" s="47" t="s">
        <v>2349</v>
      </c>
      <c r="P2" s="46" t="s">
        <v>2376</v>
      </c>
      <c r="Q2" s="46" t="s">
        <v>2374</v>
      </c>
      <c r="S2" s="16"/>
    </row>
    <row r="3" spans="1:19" ht="15.75" x14ac:dyDescent="0.5">
      <c r="A3" s="16"/>
      <c r="B3" s="16"/>
      <c r="C3" s="59" t="s">
        <v>1961</v>
      </c>
      <c r="D3" s="51">
        <v>59.44</v>
      </c>
      <c r="E3" s="51">
        <v>0.83333333333333304</v>
      </c>
      <c r="F3" s="52">
        <v>71.328000000000003</v>
      </c>
      <c r="G3" s="53">
        <v>33</v>
      </c>
      <c r="H3" s="53">
        <v>51</v>
      </c>
      <c r="I3" s="60">
        <v>3</v>
      </c>
      <c r="K3" s="48" t="s">
        <v>337</v>
      </c>
      <c r="L3" s="48">
        <v>2539.25</v>
      </c>
      <c r="M3" s="48">
        <v>58</v>
      </c>
      <c r="N3" s="49">
        <v>43.780172413793103</v>
      </c>
      <c r="O3" s="50">
        <v>53</v>
      </c>
      <c r="P3" s="50">
        <v>31</v>
      </c>
      <c r="Q3" s="50">
        <v>5</v>
      </c>
      <c r="S3" s="16"/>
    </row>
    <row r="4" spans="1:19" ht="15.75" x14ac:dyDescent="0.5">
      <c r="A4" s="16"/>
      <c r="B4" s="16"/>
      <c r="C4" s="61" t="s">
        <v>1677</v>
      </c>
      <c r="D4" s="48">
        <v>276.63</v>
      </c>
      <c r="E4" s="48">
        <v>4.56666666666667</v>
      </c>
      <c r="F4" s="49">
        <v>60.575912408759102</v>
      </c>
      <c r="G4" s="50">
        <v>40</v>
      </c>
      <c r="H4" s="50">
        <v>56</v>
      </c>
      <c r="I4" s="62">
        <v>2</v>
      </c>
      <c r="K4" s="48" t="s">
        <v>332</v>
      </c>
      <c r="L4" s="48">
        <v>2478.02</v>
      </c>
      <c r="M4" s="48">
        <v>57.5</v>
      </c>
      <c r="N4" s="49">
        <v>43.095999999999997</v>
      </c>
      <c r="O4" s="50">
        <v>54</v>
      </c>
      <c r="P4" s="50">
        <v>35</v>
      </c>
      <c r="Q4" s="50">
        <v>4</v>
      </c>
      <c r="S4" s="16"/>
    </row>
    <row r="5" spans="1:19" ht="15.75" x14ac:dyDescent="0.5">
      <c r="A5" s="16"/>
      <c r="B5" s="16"/>
      <c r="C5" s="63" t="s">
        <v>98</v>
      </c>
      <c r="D5" s="54">
        <v>765.48</v>
      </c>
      <c r="E5" s="54">
        <v>15.033333333333299</v>
      </c>
      <c r="F5" s="55">
        <v>50.918847006651902</v>
      </c>
      <c r="G5" s="56">
        <v>42</v>
      </c>
      <c r="H5" s="56">
        <v>54</v>
      </c>
      <c r="I5" s="64">
        <v>1</v>
      </c>
      <c r="K5" s="51" t="s">
        <v>270</v>
      </c>
      <c r="L5" s="51">
        <v>1860.33</v>
      </c>
      <c r="M5" s="51">
        <v>41.3</v>
      </c>
      <c r="N5" s="52">
        <v>45.0443099273608</v>
      </c>
      <c r="O5" s="53">
        <v>51</v>
      </c>
      <c r="P5" s="53">
        <v>42</v>
      </c>
      <c r="Q5" s="53">
        <v>6</v>
      </c>
      <c r="S5" s="16"/>
    </row>
    <row r="6" spans="1:19" ht="15.75" x14ac:dyDescent="0.5">
      <c r="A6" s="16"/>
      <c r="B6" s="16"/>
      <c r="C6" s="63" t="s">
        <v>487</v>
      </c>
      <c r="D6" s="54">
        <v>807.91</v>
      </c>
      <c r="E6" s="54">
        <v>16.633333333333301</v>
      </c>
      <c r="F6" s="55">
        <v>48.571743486974</v>
      </c>
      <c r="G6" s="56">
        <v>47</v>
      </c>
      <c r="H6" s="56">
        <v>57</v>
      </c>
      <c r="I6" s="64">
        <v>1</v>
      </c>
      <c r="K6" s="54" t="s">
        <v>65</v>
      </c>
      <c r="L6" s="54">
        <v>2163.8200000000002</v>
      </c>
      <c r="M6" s="54">
        <v>54.7</v>
      </c>
      <c r="N6" s="55">
        <v>39.557952468007301</v>
      </c>
      <c r="O6" s="56">
        <v>62</v>
      </c>
      <c r="P6" s="56">
        <v>41</v>
      </c>
      <c r="Q6" s="56">
        <v>2</v>
      </c>
      <c r="S6" s="16"/>
    </row>
    <row r="7" spans="1:19" ht="15.75" x14ac:dyDescent="0.5">
      <c r="A7" s="16"/>
      <c r="B7" s="16"/>
      <c r="C7" s="63" t="s">
        <v>534</v>
      </c>
      <c r="D7" s="54">
        <v>724.27</v>
      </c>
      <c r="E7" s="54">
        <v>15.766666666666699</v>
      </c>
      <c r="F7" s="55">
        <v>45.936786469344597</v>
      </c>
      <c r="G7" s="56">
        <v>50</v>
      </c>
      <c r="H7" s="56">
        <v>62</v>
      </c>
      <c r="I7" s="64">
        <v>1</v>
      </c>
      <c r="K7" s="54" t="s">
        <v>66</v>
      </c>
      <c r="L7" s="54">
        <v>1917.58</v>
      </c>
      <c r="M7" s="54">
        <v>50.266666666666701</v>
      </c>
      <c r="N7" s="55">
        <v>38.148143236074297</v>
      </c>
      <c r="O7" s="56">
        <v>63</v>
      </c>
      <c r="P7" s="56">
        <v>46</v>
      </c>
      <c r="Q7" s="56">
        <v>1</v>
      </c>
      <c r="S7" s="16"/>
    </row>
    <row r="8" spans="1:19" ht="16.149999999999999" thickBot="1" x14ac:dyDescent="0.55000000000000004">
      <c r="A8" s="16"/>
      <c r="B8" s="16"/>
      <c r="C8" s="65" t="s">
        <v>1942</v>
      </c>
      <c r="D8" s="66">
        <v>75.319999999999993</v>
      </c>
      <c r="E8" s="66">
        <v>1.5333333333333301</v>
      </c>
      <c r="F8" s="67">
        <v>49.121739130434797</v>
      </c>
      <c r="G8" s="68">
        <v>45</v>
      </c>
      <c r="H8" s="68">
        <v>70</v>
      </c>
      <c r="I8" s="69">
        <v>3</v>
      </c>
      <c r="K8" s="54" t="s">
        <v>377</v>
      </c>
      <c r="L8" s="54">
        <v>1669.16</v>
      </c>
      <c r="M8" s="54">
        <v>40.700000000000003</v>
      </c>
      <c r="N8" s="55">
        <v>41.011302211302201</v>
      </c>
      <c r="O8" s="56">
        <v>59</v>
      </c>
      <c r="P8" s="56">
        <v>48</v>
      </c>
      <c r="Q8" s="56">
        <v>3</v>
      </c>
      <c r="S8" s="16"/>
    </row>
    <row r="9" spans="1:19" x14ac:dyDescent="0.35">
      <c r="A9" s="16"/>
      <c r="B9" s="16"/>
      <c r="C9" s="16"/>
      <c r="D9" s="16"/>
      <c r="E9" s="16"/>
      <c r="F9" s="16"/>
      <c r="G9" s="19"/>
      <c r="H9" s="16"/>
      <c r="I9" s="16"/>
      <c r="J9" s="16"/>
      <c r="K9" s="16"/>
      <c r="L9" s="16"/>
      <c r="M9" s="16"/>
      <c r="N9" s="16"/>
      <c r="O9" s="70"/>
      <c r="P9" s="70"/>
      <c r="Q9" s="70"/>
      <c r="R9" s="70"/>
      <c r="S9" s="16"/>
    </row>
    <row r="10" spans="1:19" x14ac:dyDescent="0.35">
      <c r="A10" s="16"/>
      <c r="B10" s="16"/>
      <c r="C10" s="16"/>
      <c r="D10" s="16"/>
      <c r="E10" s="16"/>
      <c r="F10" s="16"/>
      <c r="G10" s="19"/>
      <c r="H10" s="16"/>
      <c r="I10" s="16"/>
      <c r="J10" s="16"/>
      <c r="K10" s="16"/>
      <c r="L10" s="16"/>
      <c r="M10" s="16"/>
      <c r="N10" s="16"/>
      <c r="O10" s="72"/>
      <c r="P10" s="72"/>
      <c r="Q10" s="72"/>
      <c r="R10" s="72"/>
      <c r="S10" s="16"/>
    </row>
    <row r="11" spans="1:19" x14ac:dyDescent="0.35">
      <c r="A11" s="16"/>
      <c r="B11" s="16"/>
      <c r="C11" s="16"/>
      <c r="D11" s="16"/>
      <c r="E11" s="16"/>
      <c r="F11" s="16"/>
      <c r="G11" s="19"/>
      <c r="H11" s="16"/>
      <c r="I11" s="16"/>
      <c r="J11" s="16"/>
      <c r="K11" s="16"/>
      <c r="L11" s="16"/>
      <c r="M11" s="16"/>
      <c r="N11" s="16"/>
      <c r="O11" s="19"/>
      <c r="P11" s="16"/>
      <c r="Q11" s="16"/>
      <c r="R11" s="16"/>
      <c r="S11" s="16"/>
    </row>
    <row r="12" spans="1:19" ht="18" x14ac:dyDescent="0.55000000000000004">
      <c r="A12" s="16"/>
      <c r="B12" s="16"/>
      <c r="C12" s="71" t="s">
        <v>2379</v>
      </c>
      <c r="D12" s="71"/>
      <c r="E12" s="71"/>
      <c r="F12" s="71"/>
      <c r="G12" s="71"/>
      <c r="H12" s="71"/>
      <c r="I12" s="71"/>
      <c r="J12" s="16"/>
      <c r="K12" s="71" t="s">
        <v>2380</v>
      </c>
      <c r="L12" s="71"/>
      <c r="M12" s="71"/>
      <c r="N12" s="71"/>
      <c r="O12" s="71"/>
      <c r="P12" s="71"/>
      <c r="Q12" s="71"/>
      <c r="R12" s="14"/>
      <c r="S12" s="16"/>
    </row>
    <row r="13" spans="1:19" ht="15.75" x14ac:dyDescent="0.5">
      <c r="A13" s="16"/>
      <c r="B13" s="16"/>
      <c r="C13" s="38" t="s">
        <v>1</v>
      </c>
      <c r="D13" s="38" t="s">
        <v>2346</v>
      </c>
      <c r="E13" s="38" t="s">
        <v>2347</v>
      </c>
      <c r="F13" s="38" t="s">
        <v>2348</v>
      </c>
      <c r="G13" s="38" t="s">
        <v>2349</v>
      </c>
      <c r="H13" s="38" t="s">
        <v>2377</v>
      </c>
      <c r="I13" s="38" t="s">
        <v>2378</v>
      </c>
      <c r="J13" s="39"/>
      <c r="K13" s="38" t="s">
        <v>1</v>
      </c>
      <c r="L13" s="38" t="s">
        <v>2346</v>
      </c>
      <c r="M13" s="38" t="s">
        <v>2347</v>
      </c>
      <c r="N13" s="38" t="s">
        <v>2348</v>
      </c>
      <c r="O13" s="38" t="s">
        <v>2349</v>
      </c>
      <c r="P13" s="38" t="s">
        <v>2377</v>
      </c>
      <c r="Q13" s="38" t="s">
        <v>2378</v>
      </c>
      <c r="R13" s="14"/>
      <c r="S13" s="16"/>
    </row>
    <row r="14" spans="1:19" ht="15.75" x14ac:dyDescent="0.5">
      <c r="C14" s="40" t="s">
        <v>1961</v>
      </c>
      <c r="D14" s="40">
        <v>59.44</v>
      </c>
      <c r="E14" s="40">
        <v>0.83333333333333304</v>
      </c>
      <c r="F14" s="41">
        <v>71.328000000000003</v>
      </c>
      <c r="G14" s="42">
        <v>33</v>
      </c>
      <c r="H14" s="42">
        <v>47</v>
      </c>
      <c r="I14" s="42">
        <v>51</v>
      </c>
      <c r="J14" s="39"/>
      <c r="K14" s="43" t="s">
        <v>203</v>
      </c>
      <c r="L14" s="43">
        <v>1306.19</v>
      </c>
      <c r="M14" s="43">
        <v>28.233333333333299</v>
      </c>
      <c r="N14" s="44">
        <v>46.264108618654099</v>
      </c>
      <c r="O14" s="45">
        <v>49</v>
      </c>
      <c r="P14" s="45">
        <v>51</v>
      </c>
      <c r="Q14" s="45">
        <v>49</v>
      </c>
    </row>
    <row r="16" spans="1:19" ht="15.75" x14ac:dyDescent="0.5">
      <c r="C16" s="63" t="s">
        <v>2385</v>
      </c>
      <c r="D16" s="63" t="s">
        <v>2381</v>
      </c>
    </row>
    <row r="17" spans="3:21" ht="15.75" x14ac:dyDescent="0.5">
      <c r="C17" s="61" t="s">
        <v>2386</v>
      </c>
      <c r="D17" s="61" t="s">
        <v>2383</v>
      </c>
      <c r="E17" s="12"/>
      <c r="F17" s="12"/>
      <c r="G17" s="13"/>
      <c r="H17" s="14"/>
      <c r="I17" s="14"/>
    </row>
    <row r="18" spans="3:21" ht="16.149999999999999" thickBot="1" x14ac:dyDescent="0.55000000000000004">
      <c r="C18" s="65" t="s">
        <v>2387</v>
      </c>
      <c r="D18" s="65" t="s">
        <v>2382</v>
      </c>
    </row>
    <row r="21" spans="3:21" ht="15.75" x14ac:dyDescent="0.5">
      <c r="E21" s="63" t="s">
        <v>2385</v>
      </c>
    </row>
    <row r="22" spans="3:21" ht="15.75" x14ac:dyDescent="0.5">
      <c r="E22" s="61" t="s">
        <v>2386</v>
      </c>
    </row>
    <row r="23" spans="3:21" ht="16.149999999999999" thickBot="1" x14ac:dyDescent="0.55000000000000004">
      <c r="E23" s="65" t="s">
        <v>2387</v>
      </c>
      <c r="G23" s="12"/>
      <c r="H23" s="12"/>
      <c r="I23" s="12"/>
      <c r="J23" s="13"/>
      <c r="K23" s="14"/>
      <c r="L23" s="14"/>
      <c r="N23" s="16"/>
      <c r="O23" s="14"/>
      <c r="P23" s="12"/>
      <c r="Q23" s="12"/>
      <c r="R23" s="13"/>
      <c r="S23" s="14"/>
      <c r="T23" s="14"/>
      <c r="U23" s="16"/>
    </row>
    <row r="27" spans="3:21" ht="14.25" x14ac:dyDescent="0.45">
      <c r="N27" s="16"/>
      <c r="T27" s="14"/>
      <c r="U27" s="16"/>
    </row>
    <row r="28" spans="3:21" x14ac:dyDescent="0.35">
      <c r="N28" s="16"/>
      <c r="T28" s="16"/>
      <c r="U28" s="16"/>
    </row>
    <row r="29" spans="3:21" ht="14.25" x14ac:dyDescent="0.45">
      <c r="S29" s="15"/>
    </row>
    <row r="30" spans="3:21" ht="14.25" x14ac:dyDescent="0.45">
      <c r="G30" s="12"/>
      <c r="S30" s="16"/>
    </row>
    <row r="31" spans="3:21" ht="14.25" x14ac:dyDescent="0.45">
      <c r="G31" s="12"/>
      <c r="H31" s="12"/>
      <c r="I31" s="12"/>
      <c r="J31" s="12"/>
      <c r="K31" s="12"/>
      <c r="L31" s="12"/>
      <c r="M31" s="12"/>
      <c r="N31" s="12"/>
    </row>
    <row r="32" spans="3:21" ht="14.25" x14ac:dyDescent="0.45">
      <c r="G32" s="17"/>
      <c r="H32" s="12"/>
      <c r="I32" s="12"/>
      <c r="J32" s="13"/>
      <c r="K32" s="14"/>
      <c r="L32" s="14"/>
      <c r="M32" s="14"/>
      <c r="N32" s="14"/>
    </row>
    <row r="33" spans="7:14" ht="14.25" x14ac:dyDescent="0.45">
      <c r="G33" s="12"/>
      <c r="H33" s="12"/>
      <c r="I33" s="12"/>
      <c r="J33" s="13"/>
      <c r="K33" s="14"/>
      <c r="L33" s="14"/>
      <c r="M33" s="14"/>
      <c r="N33" s="14"/>
    </row>
    <row r="37" spans="7:14" ht="37.5" customHeight="1" x14ac:dyDescent="0.35"/>
    <row r="38" spans="7:14" ht="29.65" customHeight="1" x14ac:dyDescent="0.35"/>
  </sheetData>
  <mergeCells count="5">
    <mergeCell ref="C12:I12"/>
    <mergeCell ref="K12:Q12"/>
    <mergeCell ref="O10:R10"/>
    <mergeCell ref="C1:I1"/>
    <mergeCell ref="K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BF03-8D8D-410F-A846-2DBF9AAAF1F8}">
  <dimension ref="A1:X59"/>
  <sheetViews>
    <sheetView tabSelected="1" zoomScale="55" zoomScaleNormal="55" workbookViewId="0">
      <selection sqref="A1:XFD1"/>
    </sheetView>
  </sheetViews>
  <sheetFormatPr defaultRowHeight="12.75" x14ac:dyDescent="0.35"/>
  <cols>
    <col min="3" max="3" width="10.9296875" customWidth="1"/>
    <col min="4" max="4" width="21.86328125" customWidth="1"/>
    <col min="5" max="5" width="30.59765625" customWidth="1"/>
    <col min="6" max="6" width="11.19921875" customWidth="1"/>
    <col min="7" max="7" width="4.9296875" customWidth="1"/>
    <col min="8" max="8" width="11.19921875" customWidth="1"/>
    <col min="9" max="9" width="11.796875" style="23" customWidth="1"/>
    <col min="10" max="10" width="14.33203125" style="27" customWidth="1"/>
    <col min="11" max="11" width="12.73046875" customWidth="1"/>
    <col min="12" max="12" width="13.59765625" style="25" customWidth="1"/>
    <col min="13" max="13" width="12.53125" customWidth="1"/>
    <col min="14" max="14" width="11.19921875" customWidth="1"/>
    <col min="15" max="15" width="9.53125" customWidth="1"/>
    <col min="16" max="16" width="11.796875" customWidth="1"/>
    <col min="17" max="17" width="11.9296875" customWidth="1"/>
    <col min="20" max="20" width="11.33203125" customWidth="1"/>
    <col min="21" max="21" width="12.9296875" customWidth="1"/>
    <col min="22" max="22" width="10.19921875" customWidth="1"/>
    <col min="23" max="23" width="12.6640625" customWidth="1"/>
    <col min="24" max="24" width="15.6640625" customWidth="1"/>
  </cols>
  <sheetData>
    <row r="1" spans="1:24" ht="14.25" x14ac:dyDescent="0.45">
      <c r="A1" t="s">
        <v>2373</v>
      </c>
      <c r="B1" s="12" t="s">
        <v>1</v>
      </c>
      <c r="C1" s="12" t="s">
        <v>1966</v>
      </c>
      <c r="D1" s="12" t="s">
        <v>1967</v>
      </c>
      <c r="E1" s="12" t="s">
        <v>1968</v>
      </c>
      <c r="F1" s="12" t="s">
        <v>1969</v>
      </c>
      <c r="G1" s="12" t="s">
        <v>2365</v>
      </c>
      <c r="H1" s="12" t="s">
        <v>2366</v>
      </c>
      <c r="I1" s="22" t="s">
        <v>1970</v>
      </c>
      <c r="J1" s="12" t="s">
        <v>2347</v>
      </c>
      <c r="K1" s="12" t="s">
        <v>2346</v>
      </c>
      <c r="L1" s="12" t="s">
        <v>2348</v>
      </c>
      <c r="M1" s="12" t="s">
        <v>2357</v>
      </c>
      <c r="N1" s="12" t="s">
        <v>2355</v>
      </c>
      <c r="O1" s="12" t="s">
        <v>2356</v>
      </c>
      <c r="P1" s="12" t="s">
        <v>2351</v>
      </c>
      <c r="Q1" s="12" t="s">
        <v>2352</v>
      </c>
      <c r="R1" s="12" t="s">
        <v>2349</v>
      </c>
      <c r="S1" s="12" t="s">
        <v>2359</v>
      </c>
      <c r="T1" s="12" t="s">
        <v>2360</v>
      </c>
      <c r="U1" s="12" t="s">
        <v>2361</v>
      </c>
      <c r="V1" s="12" t="s">
        <v>2362</v>
      </c>
      <c r="W1" s="12" t="s">
        <v>2363</v>
      </c>
      <c r="X1" s="12" t="s">
        <v>2364</v>
      </c>
    </row>
    <row r="2" spans="1:24" ht="14.25" x14ac:dyDescent="0.45">
      <c r="A2">
        <v>1</v>
      </c>
      <c r="B2" s="12" t="s">
        <v>128</v>
      </c>
      <c r="C2" s="12" t="s">
        <v>1971</v>
      </c>
      <c r="D2" s="12" t="s">
        <v>1972</v>
      </c>
      <c r="E2" s="12" t="s">
        <v>1990</v>
      </c>
      <c r="F2" s="21">
        <v>30309</v>
      </c>
      <c r="G2" s="14">
        <v>39</v>
      </c>
      <c r="H2" s="12" t="s">
        <v>2369</v>
      </c>
      <c r="I2" s="22">
        <v>43704</v>
      </c>
      <c r="J2" s="26">
        <v>28.566666666666698</v>
      </c>
      <c r="K2" s="12">
        <v>6216.45</v>
      </c>
      <c r="L2" s="24">
        <v>217.612018669778</v>
      </c>
      <c r="M2" s="12">
        <v>0.43195564516128998</v>
      </c>
      <c r="N2" s="12">
        <v>1</v>
      </c>
      <c r="O2" s="12">
        <v>0.99090224978934305</v>
      </c>
      <c r="P2" s="14">
        <v>266</v>
      </c>
      <c r="Q2" s="14">
        <v>1</v>
      </c>
      <c r="R2" s="14">
        <v>2</v>
      </c>
      <c r="S2" s="12">
        <v>99.431390611834004</v>
      </c>
      <c r="T2" s="14">
        <v>1</v>
      </c>
      <c r="U2" s="14">
        <v>80</v>
      </c>
      <c r="V2" s="12">
        <v>9.4999999999999998E-3</v>
      </c>
      <c r="W2" s="12">
        <v>99.440890611834007</v>
      </c>
      <c r="X2" s="14">
        <v>1</v>
      </c>
    </row>
    <row r="3" spans="1:24" ht="14.25" x14ac:dyDescent="0.45">
      <c r="A3">
        <v>2</v>
      </c>
      <c r="B3" s="12" t="s">
        <v>314</v>
      </c>
      <c r="C3" s="12" t="s">
        <v>1971</v>
      </c>
      <c r="D3" s="12" t="s">
        <v>1972</v>
      </c>
      <c r="E3" s="12" t="s">
        <v>1993</v>
      </c>
      <c r="F3" s="21">
        <v>32510</v>
      </c>
      <c r="G3" s="14">
        <v>33</v>
      </c>
      <c r="H3" s="12" t="s">
        <v>2367</v>
      </c>
      <c r="I3" s="22">
        <v>43749</v>
      </c>
      <c r="J3" s="26">
        <v>27.066666666666698</v>
      </c>
      <c r="K3" s="12">
        <v>5944.11</v>
      </c>
      <c r="L3" s="24">
        <v>219.609975369458</v>
      </c>
      <c r="M3" s="12">
        <v>0.40927419354838701</v>
      </c>
      <c r="N3" s="12">
        <v>0.95619043022947203</v>
      </c>
      <c r="O3" s="12">
        <v>1</v>
      </c>
      <c r="P3" s="14">
        <v>322</v>
      </c>
      <c r="Q3" s="14">
        <v>2</v>
      </c>
      <c r="R3" s="14">
        <v>1</v>
      </c>
      <c r="S3" s="12">
        <v>98.357141133605197</v>
      </c>
      <c r="T3" s="14">
        <v>2</v>
      </c>
      <c r="U3" s="14">
        <v>60</v>
      </c>
      <c r="V3" s="12">
        <v>8.9999999999999993E-3</v>
      </c>
      <c r="W3" s="12">
        <v>98.366141133605197</v>
      </c>
      <c r="X3" s="14">
        <v>2</v>
      </c>
    </row>
    <row r="4" spans="1:24" ht="14.25" x14ac:dyDescent="0.45">
      <c r="A4">
        <v>3</v>
      </c>
      <c r="B4" s="12" t="s">
        <v>241</v>
      </c>
      <c r="C4" s="12" t="s">
        <v>1971</v>
      </c>
      <c r="D4" s="12" t="s">
        <v>1972</v>
      </c>
      <c r="E4" s="12" t="s">
        <v>2012</v>
      </c>
      <c r="F4" s="21">
        <v>29181</v>
      </c>
      <c r="G4" s="14">
        <v>42</v>
      </c>
      <c r="H4" s="12" t="s">
        <v>2369</v>
      </c>
      <c r="I4" s="22">
        <v>43808</v>
      </c>
      <c r="J4" s="26">
        <v>25.1</v>
      </c>
      <c r="K4" s="12">
        <v>5265.27</v>
      </c>
      <c r="L4" s="24">
        <v>209.77171314741</v>
      </c>
      <c r="M4" s="12">
        <v>0.37953629032258102</v>
      </c>
      <c r="N4" s="12">
        <v>0.84698984146900502</v>
      </c>
      <c r="O4" s="12">
        <v>0.95520120520255702</v>
      </c>
      <c r="P4" s="14">
        <v>373</v>
      </c>
      <c r="Q4" s="14">
        <v>3</v>
      </c>
      <c r="R4" s="14">
        <v>3</v>
      </c>
      <c r="S4" s="12">
        <v>91.462194380247496</v>
      </c>
      <c r="T4" s="14">
        <v>3</v>
      </c>
      <c r="U4" s="14">
        <v>108</v>
      </c>
      <c r="V4" s="12">
        <v>9.9000000000000008E-3</v>
      </c>
      <c r="W4" s="12">
        <v>91.472094380247498</v>
      </c>
      <c r="X4" s="14">
        <v>3</v>
      </c>
    </row>
    <row r="5" spans="1:24" ht="14.25" x14ac:dyDescent="0.45">
      <c r="A5">
        <v>4</v>
      </c>
      <c r="B5" s="12" t="s">
        <v>1562</v>
      </c>
      <c r="C5" s="12" t="s">
        <v>1971</v>
      </c>
      <c r="D5" s="12" t="s">
        <v>1972</v>
      </c>
      <c r="E5" s="12" t="s">
        <v>1997</v>
      </c>
      <c r="F5" s="21">
        <v>35524</v>
      </c>
      <c r="G5" s="14">
        <v>25</v>
      </c>
      <c r="H5" s="12" t="s">
        <v>2367</v>
      </c>
      <c r="I5" s="22">
        <v>44417</v>
      </c>
      <c r="J5" s="26">
        <v>4.8</v>
      </c>
      <c r="K5" s="12">
        <v>958.27</v>
      </c>
      <c r="L5" s="24">
        <v>199.63958333333301</v>
      </c>
      <c r="M5" s="12">
        <v>7.25806451612903E-2</v>
      </c>
      <c r="N5" s="12">
        <v>0.154150680854829</v>
      </c>
      <c r="O5" s="12">
        <v>0.90906427632657505</v>
      </c>
      <c r="P5" s="14">
        <v>1757</v>
      </c>
      <c r="Q5" s="14">
        <v>54</v>
      </c>
      <c r="R5" s="14">
        <v>4</v>
      </c>
      <c r="S5" s="12">
        <v>62.597167802466998</v>
      </c>
      <c r="T5" s="14">
        <v>4</v>
      </c>
      <c r="U5" s="14">
        <v>10</v>
      </c>
      <c r="V5" s="12">
        <v>6.4000000000000003E-3</v>
      </c>
      <c r="W5" s="12">
        <v>62.603567802466998</v>
      </c>
      <c r="X5" s="14">
        <v>4</v>
      </c>
    </row>
    <row r="6" spans="1:24" ht="14.25" x14ac:dyDescent="0.45">
      <c r="A6">
        <v>5</v>
      </c>
      <c r="B6" s="12" t="s">
        <v>151</v>
      </c>
      <c r="C6" s="12" t="s">
        <v>1971</v>
      </c>
      <c r="D6" s="12" t="s">
        <v>1972</v>
      </c>
      <c r="E6" s="12" t="s">
        <v>1993</v>
      </c>
      <c r="F6" s="21">
        <v>35708</v>
      </c>
      <c r="G6" s="14">
        <v>24</v>
      </c>
      <c r="H6" s="12" t="s">
        <v>2370</v>
      </c>
      <c r="I6" s="22">
        <v>44124</v>
      </c>
      <c r="J6" s="26">
        <v>14.5666666666667</v>
      </c>
      <c r="K6" s="12">
        <v>2428.4499999999998</v>
      </c>
      <c r="L6" s="24">
        <v>166.71281464530901</v>
      </c>
      <c r="M6" s="12">
        <v>0.22026209677419401</v>
      </c>
      <c r="N6" s="12">
        <v>0.39064900385268098</v>
      </c>
      <c r="O6" s="12">
        <v>0.75913133893322304</v>
      </c>
      <c r="P6" s="14">
        <v>557</v>
      </c>
      <c r="Q6" s="14">
        <v>15</v>
      </c>
      <c r="R6" s="14">
        <v>6</v>
      </c>
      <c r="S6" s="12">
        <v>62.095046327802002</v>
      </c>
      <c r="T6" s="14">
        <v>5</v>
      </c>
      <c r="U6" s="14">
        <v>30</v>
      </c>
      <c r="V6" s="12">
        <v>7.7000000000000002E-3</v>
      </c>
      <c r="W6" s="12">
        <v>62.102746327802002</v>
      </c>
      <c r="X6" s="14">
        <v>5</v>
      </c>
    </row>
    <row r="7" spans="1:24" ht="14.25" x14ac:dyDescent="0.45">
      <c r="A7">
        <v>6</v>
      </c>
      <c r="B7" s="12" t="s">
        <v>336</v>
      </c>
      <c r="C7" s="12" t="s">
        <v>1986</v>
      </c>
      <c r="D7" s="12" t="s">
        <v>1972</v>
      </c>
      <c r="E7" s="12" t="s">
        <v>1973</v>
      </c>
      <c r="F7" s="21">
        <v>33366</v>
      </c>
      <c r="G7" s="14">
        <v>31</v>
      </c>
      <c r="H7" s="12" t="s">
        <v>2367</v>
      </c>
      <c r="I7" s="22">
        <v>44130</v>
      </c>
      <c r="J7" s="26">
        <v>14.366666666666699</v>
      </c>
      <c r="K7" s="12">
        <v>2370.33</v>
      </c>
      <c r="L7" s="24">
        <v>164.98816705336401</v>
      </c>
      <c r="M7" s="12">
        <v>0.21723790322580599</v>
      </c>
      <c r="N7" s="12">
        <v>0.38129961634051601</v>
      </c>
      <c r="O7" s="12">
        <v>0.75127810918333005</v>
      </c>
      <c r="P7" s="14">
        <v>577</v>
      </c>
      <c r="Q7" s="14">
        <v>16</v>
      </c>
      <c r="R7" s="14">
        <v>7</v>
      </c>
      <c r="S7" s="12">
        <v>61.253617436727502</v>
      </c>
      <c r="T7" s="14">
        <v>6</v>
      </c>
      <c r="U7" s="14">
        <v>24</v>
      </c>
      <c r="V7" s="12">
        <v>7.4000000000000003E-3</v>
      </c>
      <c r="W7" s="12">
        <v>61.261017436727499</v>
      </c>
      <c r="X7" s="14">
        <v>6</v>
      </c>
    </row>
    <row r="8" spans="1:24" ht="14.25" x14ac:dyDescent="0.45">
      <c r="A8">
        <v>7</v>
      </c>
      <c r="B8" s="12" t="s">
        <v>24</v>
      </c>
      <c r="C8" s="12" t="s">
        <v>1971</v>
      </c>
      <c r="D8" s="12" t="s">
        <v>1972</v>
      </c>
      <c r="E8" s="12" t="s">
        <v>1993</v>
      </c>
      <c r="F8" s="21">
        <v>35170</v>
      </c>
      <c r="G8" s="14">
        <v>26</v>
      </c>
      <c r="H8" s="12" t="s">
        <v>2367</v>
      </c>
      <c r="I8" s="22">
        <v>44124</v>
      </c>
      <c r="J8" s="26">
        <v>14.5666666666667</v>
      </c>
      <c r="K8" s="12">
        <v>2156.3000000000002</v>
      </c>
      <c r="L8" s="24">
        <v>148.02974828375301</v>
      </c>
      <c r="M8" s="12">
        <v>0.22026209677419401</v>
      </c>
      <c r="N8" s="12">
        <v>0.34686999815007002</v>
      </c>
      <c r="O8" s="12">
        <v>0.67405748775626795</v>
      </c>
      <c r="P8" s="14">
        <v>557</v>
      </c>
      <c r="Q8" s="14">
        <v>20</v>
      </c>
      <c r="R8" s="14">
        <v>9</v>
      </c>
      <c r="S8" s="12">
        <v>55.136217915394397</v>
      </c>
      <c r="T8" s="14">
        <v>7</v>
      </c>
      <c r="U8" s="14">
        <v>18</v>
      </c>
      <c r="V8" s="12">
        <v>7.0000000000000001E-3</v>
      </c>
      <c r="W8" s="12">
        <v>55.143217915394402</v>
      </c>
      <c r="X8" s="14">
        <v>7</v>
      </c>
    </row>
    <row r="9" spans="1:24" ht="14.25" x14ac:dyDescent="0.45">
      <c r="A9">
        <v>8</v>
      </c>
      <c r="B9" s="12" t="s">
        <v>1557</v>
      </c>
      <c r="C9" s="12" t="s">
        <v>1971</v>
      </c>
      <c r="D9" s="12" t="s">
        <v>1972</v>
      </c>
      <c r="E9" s="12" t="s">
        <v>1993</v>
      </c>
      <c r="F9" s="21">
        <v>35377</v>
      </c>
      <c r="G9" s="14">
        <v>25</v>
      </c>
      <c r="H9" s="12" t="s">
        <v>2367</v>
      </c>
      <c r="I9" s="22">
        <v>44410</v>
      </c>
      <c r="J9" s="26">
        <v>5.0333333333333297</v>
      </c>
      <c r="K9" s="12">
        <v>868.56</v>
      </c>
      <c r="L9" s="24">
        <v>172.56158940397299</v>
      </c>
      <c r="M9" s="12">
        <v>7.6108870967741896E-2</v>
      </c>
      <c r="N9" s="12">
        <v>0.13971961489274401</v>
      </c>
      <c r="O9" s="12">
        <v>0.78576389398371604</v>
      </c>
      <c r="P9" s="14">
        <v>1727</v>
      </c>
      <c r="Q9" s="14">
        <v>67</v>
      </c>
      <c r="R9" s="14">
        <v>5</v>
      </c>
      <c r="S9" s="12">
        <v>54.349728932460202</v>
      </c>
      <c r="T9" s="14">
        <v>8</v>
      </c>
      <c r="U9" s="14">
        <v>10</v>
      </c>
      <c r="V9" s="12">
        <v>6.4000000000000003E-3</v>
      </c>
      <c r="W9" s="12">
        <v>54.356128932460201</v>
      </c>
      <c r="X9" s="14">
        <v>8</v>
      </c>
    </row>
    <row r="10" spans="1:24" ht="14.25" x14ac:dyDescent="0.45">
      <c r="A10">
        <v>9</v>
      </c>
      <c r="B10" s="12" t="s">
        <v>8</v>
      </c>
      <c r="C10" s="12" t="s">
        <v>1980</v>
      </c>
      <c r="D10" s="12" t="s">
        <v>1981</v>
      </c>
      <c r="E10" s="12" t="s">
        <v>1982</v>
      </c>
      <c r="F10" s="21">
        <v>35195</v>
      </c>
      <c r="G10" s="14">
        <v>26</v>
      </c>
      <c r="H10" s="12" t="s">
        <v>2367</v>
      </c>
      <c r="I10" s="22">
        <v>43742</v>
      </c>
      <c r="J10" s="26">
        <v>27.3</v>
      </c>
      <c r="K10" s="12">
        <v>3093.99</v>
      </c>
      <c r="L10" s="24">
        <v>113.33296703296701</v>
      </c>
      <c r="M10" s="12">
        <v>0.41280241935483902</v>
      </c>
      <c r="N10" s="12">
        <v>0.49771010785898701</v>
      </c>
      <c r="O10" s="12">
        <v>0.516064749983705</v>
      </c>
      <c r="P10" s="14">
        <v>304</v>
      </c>
      <c r="Q10" s="14">
        <v>6</v>
      </c>
      <c r="R10" s="14">
        <v>10</v>
      </c>
      <c r="S10" s="12">
        <v>50.918175918693599</v>
      </c>
      <c r="T10" s="14">
        <v>9</v>
      </c>
      <c r="U10" s="14">
        <v>24</v>
      </c>
      <c r="V10" s="12">
        <v>7.4000000000000003E-3</v>
      </c>
      <c r="W10" s="12">
        <v>50.925575918693603</v>
      </c>
      <c r="X10" s="14">
        <v>9</v>
      </c>
    </row>
    <row r="11" spans="1:24" ht="14.25" x14ac:dyDescent="0.45">
      <c r="A11">
        <v>10</v>
      </c>
      <c r="B11" s="12" t="s">
        <v>1798</v>
      </c>
      <c r="C11" s="12" t="s">
        <v>1971</v>
      </c>
      <c r="D11" s="12" t="s">
        <v>1972</v>
      </c>
      <c r="E11" s="12" t="s">
        <v>1997</v>
      </c>
      <c r="F11" s="21">
        <v>27909</v>
      </c>
      <c r="G11" s="14">
        <v>46</v>
      </c>
      <c r="H11" s="12" t="s">
        <v>2371</v>
      </c>
      <c r="I11" s="22">
        <v>44434</v>
      </c>
      <c r="J11" s="26">
        <v>4.2333333333333298</v>
      </c>
      <c r="K11" s="12">
        <v>686.54</v>
      </c>
      <c r="L11" s="24">
        <v>162.17480314960599</v>
      </c>
      <c r="M11" s="12">
        <v>6.4012096774193505E-2</v>
      </c>
      <c r="N11" s="12">
        <v>0.11043923782866399</v>
      </c>
      <c r="O11" s="12">
        <v>0.738467380075853</v>
      </c>
      <c r="P11" s="14">
        <v>1850</v>
      </c>
      <c r="Q11" s="14">
        <v>93</v>
      </c>
      <c r="R11" s="14">
        <v>8</v>
      </c>
      <c r="S11" s="12">
        <v>50.295682673315703</v>
      </c>
      <c r="T11" s="14">
        <v>10</v>
      </c>
      <c r="U11" s="14">
        <v>4</v>
      </c>
      <c r="V11" s="12">
        <v>5.7999999999999996E-3</v>
      </c>
      <c r="W11" s="12">
        <v>50.301482673315697</v>
      </c>
      <c r="X11" s="14">
        <v>10</v>
      </c>
    </row>
    <row r="12" spans="1:24" ht="14.25" x14ac:dyDescent="0.45">
      <c r="A12">
        <v>11</v>
      </c>
      <c r="B12" s="12" t="s">
        <v>366</v>
      </c>
      <c r="C12" s="12" t="s">
        <v>1971</v>
      </c>
      <c r="D12" s="12" t="s">
        <v>1972</v>
      </c>
      <c r="E12" s="12" t="s">
        <v>1974</v>
      </c>
      <c r="F12" s="21">
        <v>35762</v>
      </c>
      <c r="G12" s="14">
        <v>24</v>
      </c>
      <c r="H12" s="12" t="s">
        <v>2370</v>
      </c>
      <c r="I12" s="22">
        <v>43363</v>
      </c>
      <c r="J12" s="26">
        <v>39.933333333333302</v>
      </c>
      <c r="K12" s="12">
        <v>3531.82</v>
      </c>
      <c r="L12" s="24">
        <v>88.442904841402296</v>
      </c>
      <c r="M12" s="12">
        <v>0.60383064516129004</v>
      </c>
      <c r="N12" s="12">
        <v>0.56814098078485298</v>
      </c>
      <c r="O12" s="12">
        <v>0.40272717435813898</v>
      </c>
      <c r="P12" s="14">
        <v>188</v>
      </c>
      <c r="Q12" s="14">
        <v>4</v>
      </c>
      <c r="R12" s="14">
        <v>24</v>
      </c>
      <c r="S12" s="12">
        <v>46.475735176815697</v>
      </c>
      <c r="T12" s="14">
        <v>11</v>
      </c>
      <c r="U12" s="14">
        <v>88</v>
      </c>
      <c r="V12" s="12">
        <v>9.7000000000000003E-3</v>
      </c>
      <c r="W12" s="12">
        <v>46.485435176815699</v>
      </c>
      <c r="X12" s="14">
        <v>11</v>
      </c>
    </row>
    <row r="13" spans="1:24" ht="14.25" x14ac:dyDescent="0.45">
      <c r="A13">
        <v>12</v>
      </c>
      <c r="B13" s="12" t="s">
        <v>138</v>
      </c>
      <c r="C13" s="12" t="s">
        <v>1971</v>
      </c>
      <c r="D13" s="12" t="s">
        <v>1972</v>
      </c>
      <c r="E13" s="12" t="s">
        <v>1997</v>
      </c>
      <c r="F13" s="21">
        <v>33928</v>
      </c>
      <c r="G13" s="14">
        <v>29</v>
      </c>
      <c r="H13" s="12" t="s">
        <v>2367</v>
      </c>
      <c r="I13" s="22">
        <v>43608</v>
      </c>
      <c r="J13" s="26">
        <v>31.766666666666701</v>
      </c>
      <c r="K13" s="12">
        <v>3089.07</v>
      </c>
      <c r="L13" s="24">
        <v>97.242497376705202</v>
      </c>
      <c r="M13" s="12">
        <v>0.48034274193548399</v>
      </c>
      <c r="N13" s="12">
        <v>0.49691865936346302</v>
      </c>
      <c r="O13" s="12">
        <v>0.44279635846737098</v>
      </c>
      <c r="P13" s="14">
        <v>248</v>
      </c>
      <c r="Q13" s="14">
        <v>7</v>
      </c>
      <c r="R13" s="14">
        <v>16</v>
      </c>
      <c r="S13" s="12">
        <v>46.309222130340601</v>
      </c>
      <c r="T13" s="14">
        <v>12</v>
      </c>
      <c r="U13" s="14">
        <v>22</v>
      </c>
      <c r="V13" s="12">
        <v>7.3000000000000001E-3</v>
      </c>
      <c r="W13" s="12">
        <v>46.316522130340601</v>
      </c>
      <c r="X13" s="14">
        <v>12</v>
      </c>
    </row>
    <row r="14" spans="1:24" ht="14.25" x14ac:dyDescent="0.45">
      <c r="A14">
        <v>13</v>
      </c>
      <c r="B14" s="12" t="s">
        <v>80</v>
      </c>
      <c r="C14" s="12" t="s">
        <v>1971</v>
      </c>
      <c r="D14" s="12" t="s">
        <v>1972</v>
      </c>
      <c r="E14" s="12" t="s">
        <v>1973</v>
      </c>
      <c r="F14" s="21">
        <v>29712</v>
      </c>
      <c r="G14" s="14">
        <v>41</v>
      </c>
      <c r="H14" s="12" t="s">
        <v>2369</v>
      </c>
      <c r="I14" s="22">
        <v>43335</v>
      </c>
      <c r="J14" s="26">
        <v>40.866666666666703</v>
      </c>
      <c r="K14" s="12">
        <v>3364.99</v>
      </c>
      <c r="L14" s="24">
        <v>82.340701468189195</v>
      </c>
      <c r="M14" s="12">
        <v>0.61794354838709697</v>
      </c>
      <c r="N14" s="12">
        <v>0.54130412051894505</v>
      </c>
      <c r="O14" s="12">
        <v>0.37494062521369698</v>
      </c>
      <c r="P14" s="14">
        <v>171</v>
      </c>
      <c r="Q14" s="14">
        <v>5</v>
      </c>
      <c r="R14" s="14">
        <v>28</v>
      </c>
      <c r="S14" s="12">
        <v>43.732693595316498</v>
      </c>
      <c r="T14" s="14">
        <v>13</v>
      </c>
      <c r="U14" s="14">
        <v>55</v>
      </c>
      <c r="V14" s="12">
        <v>8.8000000000000005E-3</v>
      </c>
      <c r="W14" s="12">
        <v>43.741493595316498</v>
      </c>
      <c r="X14" s="14">
        <v>13</v>
      </c>
    </row>
    <row r="15" spans="1:24" ht="14.25" x14ac:dyDescent="0.45">
      <c r="A15">
        <v>14</v>
      </c>
      <c r="B15" s="12" t="s">
        <v>340</v>
      </c>
      <c r="C15" s="12" t="s">
        <v>1971</v>
      </c>
      <c r="D15" s="12" t="s">
        <v>1972</v>
      </c>
      <c r="E15" s="12" t="s">
        <v>1993</v>
      </c>
      <c r="F15" s="21">
        <v>30845</v>
      </c>
      <c r="G15" s="14">
        <v>38</v>
      </c>
      <c r="H15" s="12" t="s">
        <v>2369</v>
      </c>
      <c r="I15" s="22">
        <v>43558</v>
      </c>
      <c r="J15" s="26">
        <v>33.433333333333302</v>
      </c>
      <c r="K15" s="12">
        <v>2997.77</v>
      </c>
      <c r="L15" s="24">
        <v>89.664107676969095</v>
      </c>
      <c r="M15" s="12">
        <v>0.50554435483870996</v>
      </c>
      <c r="N15" s="12">
        <v>0.48223182041197099</v>
      </c>
      <c r="O15" s="12">
        <v>0.40828795470753898</v>
      </c>
      <c r="P15" s="14">
        <v>236</v>
      </c>
      <c r="Q15" s="14">
        <v>9</v>
      </c>
      <c r="R15" s="14">
        <v>23</v>
      </c>
      <c r="S15" s="12">
        <v>43.601690434670097</v>
      </c>
      <c r="T15" s="14">
        <v>14</v>
      </c>
      <c r="U15" s="14">
        <v>20</v>
      </c>
      <c r="V15" s="12">
        <v>7.1000000000000004E-3</v>
      </c>
      <c r="W15" s="12">
        <v>43.608790434670098</v>
      </c>
      <c r="X15" s="14">
        <v>14</v>
      </c>
    </row>
    <row r="16" spans="1:24" ht="14.25" x14ac:dyDescent="0.45">
      <c r="A16">
        <v>15</v>
      </c>
      <c r="B16" s="12" t="s">
        <v>240</v>
      </c>
      <c r="C16" s="12" t="s">
        <v>1971</v>
      </c>
      <c r="D16" s="12" t="s">
        <v>1972</v>
      </c>
      <c r="E16" s="12" t="s">
        <v>2020</v>
      </c>
      <c r="F16" s="21">
        <v>32015</v>
      </c>
      <c r="G16" s="14">
        <v>34</v>
      </c>
      <c r="H16" s="12" t="s">
        <v>2367</v>
      </c>
      <c r="I16" s="22">
        <v>43762</v>
      </c>
      <c r="J16" s="26">
        <v>26.633333333333301</v>
      </c>
      <c r="K16" s="12">
        <v>2448.29</v>
      </c>
      <c r="L16" s="24">
        <v>91.925782227784794</v>
      </c>
      <c r="M16" s="12">
        <v>0.40272177419354799</v>
      </c>
      <c r="N16" s="12">
        <v>0.39384053599723301</v>
      </c>
      <c r="O16" s="12">
        <v>0.41858655133098799</v>
      </c>
      <c r="P16" s="14">
        <v>341</v>
      </c>
      <c r="Q16" s="14">
        <v>14</v>
      </c>
      <c r="R16" s="14">
        <v>19</v>
      </c>
      <c r="S16" s="12">
        <v>40.930679558083</v>
      </c>
      <c r="T16" s="14">
        <v>15</v>
      </c>
      <c r="U16" s="14">
        <v>55</v>
      </c>
      <c r="V16" s="12">
        <v>8.8000000000000005E-3</v>
      </c>
      <c r="W16" s="12">
        <v>40.939479558083001</v>
      </c>
      <c r="X16" s="14">
        <v>15</v>
      </c>
    </row>
    <row r="17" spans="1:24" ht="14.25" x14ac:dyDescent="0.45">
      <c r="A17">
        <v>16</v>
      </c>
      <c r="B17" s="12" t="s">
        <v>414</v>
      </c>
      <c r="C17" s="12" t="s">
        <v>1971</v>
      </c>
      <c r="D17" s="12" t="s">
        <v>1974</v>
      </c>
      <c r="E17" s="12" t="s">
        <v>1993</v>
      </c>
      <c r="F17" s="21">
        <v>33158</v>
      </c>
      <c r="G17" s="14">
        <v>31</v>
      </c>
      <c r="H17" s="12" t="s">
        <v>2367</v>
      </c>
      <c r="I17" s="22">
        <v>44138</v>
      </c>
      <c r="J17" s="26">
        <v>14.1</v>
      </c>
      <c r="K17" s="12">
        <v>1533.82</v>
      </c>
      <c r="L17" s="24">
        <v>108.78156028368799</v>
      </c>
      <c r="M17" s="12">
        <v>0.21320564516129001</v>
      </c>
      <c r="N17" s="12">
        <v>0.246735677114752</v>
      </c>
      <c r="O17" s="12">
        <v>0.495339795474594</v>
      </c>
      <c r="P17" s="14">
        <v>606</v>
      </c>
      <c r="Q17" s="14">
        <v>32</v>
      </c>
      <c r="R17" s="14">
        <v>11</v>
      </c>
      <c r="S17" s="12">
        <v>40.211325108965298</v>
      </c>
      <c r="T17" s="14">
        <v>16</v>
      </c>
      <c r="U17" s="14">
        <v>14</v>
      </c>
      <c r="V17" s="12">
        <v>6.7000000000000002E-3</v>
      </c>
      <c r="W17" s="12">
        <v>40.2180251089653</v>
      </c>
      <c r="X17" s="14">
        <v>16</v>
      </c>
    </row>
    <row r="18" spans="1:24" ht="14.25" x14ac:dyDescent="0.45">
      <c r="A18">
        <v>17</v>
      </c>
      <c r="B18" s="12" t="s">
        <v>195</v>
      </c>
      <c r="C18" s="12" t="s">
        <v>1971</v>
      </c>
      <c r="D18" s="12" t="s">
        <v>1972</v>
      </c>
      <c r="E18" s="12" t="s">
        <v>1975</v>
      </c>
      <c r="F18" s="21">
        <v>30775</v>
      </c>
      <c r="G18" s="14">
        <v>38</v>
      </c>
      <c r="H18" s="12" t="s">
        <v>2369</v>
      </c>
      <c r="I18" s="22">
        <v>43707</v>
      </c>
      <c r="J18" s="26">
        <v>28.466666666666701</v>
      </c>
      <c r="K18" s="12">
        <v>2500.14</v>
      </c>
      <c r="L18" s="24">
        <v>87.826932084309107</v>
      </c>
      <c r="M18" s="12">
        <v>0.43044354838709697</v>
      </c>
      <c r="N18" s="12">
        <v>0.40218130926815099</v>
      </c>
      <c r="O18" s="12">
        <v>0.39992232564369901</v>
      </c>
      <c r="P18" s="14">
        <v>271</v>
      </c>
      <c r="Q18" s="14">
        <v>12</v>
      </c>
      <c r="R18" s="14">
        <v>25</v>
      </c>
      <c r="S18" s="12">
        <v>40.076944450286902</v>
      </c>
      <c r="T18" s="14">
        <v>17</v>
      </c>
      <c r="U18" s="14">
        <v>50</v>
      </c>
      <c r="V18" s="12">
        <v>8.6E-3</v>
      </c>
      <c r="W18" s="12">
        <v>40.085544450286903</v>
      </c>
      <c r="X18" s="14">
        <v>17</v>
      </c>
    </row>
    <row r="19" spans="1:24" ht="14.25" x14ac:dyDescent="0.45">
      <c r="A19">
        <v>18</v>
      </c>
      <c r="B19" s="12" t="s">
        <v>310</v>
      </c>
      <c r="C19" s="12" t="s">
        <v>1971</v>
      </c>
      <c r="D19" s="12" t="s">
        <v>1981</v>
      </c>
      <c r="E19" s="12" t="s">
        <v>1975</v>
      </c>
      <c r="F19" s="21">
        <v>35652</v>
      </c>
      <c r="G19" s="14">
        <v>24</v>
      </c>
      <c r="H19" s="12" t="s">
        <v>2370</v>
      </c>
      <c r="I19" s="22">
        <v>43738</v>
      </c>
      <c r="J19" s="26">
        <v>27.433333333333302</v>
      </c>
      <c r="K19" s="12">
        <v>2329.13</v>
      </c>
      <c r="L19" s="24">
        <v>84.901458080194402</v>
      </c>
      <c r="M19" s="12">
        <v>0.41481854838709697</v>
      </c>
      <c r="N19" s="12">
        <v>0.37467203950807898</v>
      </c>
      <c r="O19" s="12">
        <v>0.38660110014293098</v>
      </c>
      <c r="P19" s="14">
        <v>300</v>
      </c>
      <c r="Q19" s="14">
        <v>17</v>
      </c>
      <c r="R19" s="14">
        <v>26</v>
      </c>
      <c r="S19" s="12">
        <v>38.212770240486101</v>
      </c>
      <c r="T19" s="14">
        <v>18</v>
      </c>
      <c r="U19" s="14">
        <v>9</v>
      </c>
      <c r="V19" s="12">
        <v>6.3E-3</v>
      </c>
      <c r="W19" s="12">
        <v>38.219070240486097</v>
      </c>
      <c r="X19" s="14">
        <v>18</v>
      </c>
    </row>
    <row r="20" spans="1:24" ht="14.25" x14ac:dyDescent="0.45">
      <c r="A20">
        <v>19</v>
      </c>
      <c r="B20" s="12" t="s">
        <v>1481</v>
      </c>
      <c r="C20" s="12" t="s">
        <v>1986</v>
      </c>
      <c r="D20" s="12" t="s">
        <v>1972</v>
      </c>
      <c r="E20" s="12" t="s">
        <v>1974</v>
      </c>
      <c r="F20" s="21">
        <v>34224</v>
      </c>
      <c r="G20" s="14">
        <v>28</v>
      </c>
      <c r="H20" s="12" t="s">
        <v>2367</v>
      </c>
      <c r="I20" s="22">
        <v>44224</v>
      </c>
      <c r="J20" s="26">
        <v>11.233333333333301</v>
      </c>
      <c r="K20" s="12">
        <v>1194.43</v>
      </c>
      <c r="L20" s="24">
        <v>106.32908011869399</v>
      </c>
      <c r="M20" s="12">
        <v>0.16985887096774199</v>
      </c>
      <c r="N20" s="12">
        <v>0.19214020863997899</v>
      </c>
      <c r="O20" s="12">
        <v>0.48417236029380301</v>
      </c>
      <c r="P20" s="14">
        <v>889</v>
      </c>
      <c r="Q20" s="14">
        <v>40</v>
      </c>
      <c r="R20" s="14">
        <v>13</v>
      </c>
      <c r="S20" s="12">
        <v>37.466030342361897</v>
      </c>
      <c r="T20" s="14">
        <v>19</v>
      </c>
      <c r="U20" s="14">
        <v>12</v>
      </c>
      <c r="V20" s="12">
        <v>6.6E-3</v>
      </c>
      <c r="W20" s="12">
        <v>37.472630342361903</v>
      </c>
      <c r="X20" s="14">
        <v>19</v>
      </c>
    </row>
    <row r="21" spans="1:24" ht="14.25" x14ac:dyDescent="0.45">
      <c r="A21">
        <v>20</v>
      </c>
      <c r="B21" s="12" t="s">
        <v>296</v>
      </c>
      <c r="C21" s="12" t="s">
        <v>1980</v>
      </c>
      <c r="D21" s="12" t="s">
        <v>1972</v>
      </c>
      <c r="E21" s="12" t="s">
        <v>1987</v>
      </c>
      <c r="F21" s="21">
        <v>32716</v>
      </c>
      <c r="G21" s="14">
        <v>32</v>
      </c>
      <c r="H21" s="12" t="s">
        <v>2367</v>
      </c>
      <c r="I21" s="22">
        <v>43137</v>
      </c>
      <c r="J21" s="26">
        <v>47.466666666666697</v>
      </c>
      <c r="K21" s="12">
        <v>3033.28</v>
      </c>
      <c r="L21" s="24">
        <v>63.903370786516902</v>
      </c>
      <c r="M21" s="12">
        <v>0.717741935483871</v>
      </c>
      <c r="N21" s="12">
        <v>0.487944083842064</v>
      </c>
      <c r="O21" s="12">
        <v>0.29098573814331402</v>
      </c>
      <c r="P21" s="14">
        <v>66</v>
      </c>
      <c r="Q21" s="14">
        <v>8</v>
      </c>
      <c r="R21" s="14">
        <v>37</v>
      </c>
      <c r="S21" s="12">
        <v>36.484511778034502</v>
      </c>
      <c r="T21" s="14">
        <v>20</v>
      </c>
      <c r="U21" s="14">
        <v>48</v>
      </c>
      <c r="V21" s="12">
        <v>8.3999999999999995E-3</v>
      </c>
      <c r="W21" s="12">
        <v>36.492911778034497</v>
      </c>
      <c r="X21" s="14">
        <v>20</v>
      </c>
    </row>
    <row r="22" spans="1:24" ht="14.25" x14ac:dyDescent="0.45">
      <c r="A22">
        <v>21</v>
      </c>
      <c r="B22" s="12" t="s">
        <v>931</v>
      </c>
      <c r="C22" s="12" t="s">
        <v>1971</v>
      </c>
      <c r="D22" s="12" t="s">
        <v>1974</v>
      </c>
      <c r="E22" s="12" t="s">
        <v>1974</v>
      </c>
      <c r="F22" s="21">
        <v>35967</v>
      </c>
      <c r="G22" s="14">
        <v>24</v>
      </c>
      <c r="H22" s="12" t="s">
        <v>2370</v>
      </c>
      <c r="I22" s="22">
        <v>44281</v>
      </c>
      <c r="J22" s="26">
        <v>9.3333333333333304</v>
      </c>
      <c r="K22" s="12">
        <v>994.74</v>
      </c>
      <c r="L22" s="24">
        <v>106.579285714286</v>
      </c>
      <c r="M22" s="12">
        <v>0.141129032258065</v>
      </c>
      <c r="N22" s="12">
        <v>0.16001737325965801</v>
      </c>
      <c r="O22" s="12">
        <v>0.48531167828320798</v>
      </c>
      <c r="P22" s="14">
        <v>1102</v>
      </c>
      <c r="Q22" s="14">
        <v>52</v>
      </c>
      <c r="R22" s="14">
        <v>12</v>
      </c>
      <c r="S22" s="12">
        <v>36.332631389937703</v>
      </c>
      <c r="T22" s="14">
        <v>21</v>
      </c>
      <c r="U22" s="14">
        <v>9</v>
      </c>
      <c r="V22" s="12">
        <v>6.3E-3</v>
      </c>
      <c r="W22" s="12">
        <v>36.338931389937699</v>
      </c>
      <c r="X22" s="14">
        <v>21</v>
      </c>
    </row>
    <row r="23" spans="1:24" ht="14.25" x14ac:dyDescent="0.45">
      <c r="A23">
        <v>22</v>
      </c>
      <c r="B23" s="12" t="s">
        <v>55</v>
      </c>
      <c r="C23" s="12" t="s">
        <v>1971</v>
      </c>
      <c r="D23" s="12" t="s">
        <v>1972</v>
      </c>
      <c r="E23" s="12" t="s">
        <v>2026</v>
      </c>
      <c r="F23" s="21">
        <v>28380</v>
      </c>
      <c r="G23" s="14">
        <v>44</v>
      </c>
      <c r="H23" s="12" t="s">
        <v>2369</v>
      </c>
      <c r="I23" s="22">
        <v>43844</v>
      </c>
      <c r="J23" s="26">
        <v>23.9</v>
      </c>
      <c r="K23" s="12">
        <v>2018.03</v>
      </c>
      <c r="L23" s="24">
        <v>84.436401673640205</v>
      </c>
      <c r="M23" s="12">
        <v>0.36139112903225801</v>
      </c>
      <c r="N23" s="12">
        <v>0.32462739988257</v>
      </c>
      <c r="O23" s="12">
        <v>0.384483453138181</v>
      </c>
      <c r="P23" s="14">
        <v>387</v>
      </c>
      <c r="Q23" s="14">
        <v>22</v>
      </c>
      <c r="R23" s="14">
        <v>27</v>
      </c>
      <c r="S23" s="12">
        <v>36.203743316732698</v>
      </c>
      <c r="T23" s="14">
        <v>22</v>
      </c>
      <c r="U23" s="14">
        <v>55</v>
      </c>
      <c r="V23" s="12">
        <v>8.8000000000000005E-3</v>
      </c>
      <c r="W23" s="12">
        <v>36.212543316732699</v>
      </c>
      <c r="X23" s="14">
        <v>22</v>
      </c>
    </row>
    <row r="24" spans="1:24" ht="14.25" x14ac:dyDescent="0.45">
      <c r="A24">
        <v>23</v>
      </c>
      <c r="B24" s="12" t="s">
        <v>1031</v>
      </c>
      <c r="C24" s="12" t="s">
        <v>1971</v>
      </c>
      <c r="D24" s="12" t="s">
        <v>1972</v>
      </c>
      <c r="E24" s="12" t="s">
        <v>1974</v>
      </c>
      <c r="F24" s="21">
        <v>33498</v>
      </c>
      <c r="G24" s="14">
        <v>30</v>
      </c>
      <c r="H24" s="12" t="s">
        <v>2367</v>
      </c>
      <c r="I24" s="22">
        <v>44326</v>
      </c>
      <c r="J24" s="26">
        <v>7.8333333333333304</v>
      </c>
      <c r="K24" s="12">
        <v>799.3</v>
      </c>
      <c r="L24" s="24">
        <v>102.03829787234</v>
      </c>
      <c r="M24" s="12">
        <v>0.118447580645161</v>
      </c>
      <c r="N24" s="12">
        <v>0.12857820781957499</v>
      </c>
      <c r="O24" s="12">
        <v>0.46463416655221401</v>
      </c>
      <c r="P24" s="14">
        <v>1244</v>
      </c>
      <c r="Q24" s="14">
        <v>73</v>
      </c>
      <c r="R24" s="14">
        <v>14</v>
      </c>
      <c r="S24" s="12">
        <v>33.861318202747398</v>
      </c>
      <c r="T24" s="14">
        <v>23</v>
      </c>
      <c r="U24" s="14">
        <v>5</v>
      </c>
      <c r="V24" s="12">
        <v>5.8999999999999999E-3</v>
      </c>
      <c r="W24" s="12">
        <v>33.867218202747402</v>
      </c>
      <c r="X24" s="14">
        <v>23</v>
      </c>
    </row>
    <row r="25" spans="1:24" ht="14.25" x14ac:dyDescent="0.45">
      <c r="A25">
        <v>24</v>
      </c>
      <c r="B25" s="12" t="s">
        <v>477</v>
      </c>
      <c r="C25" s="12" t="s">
        <v>1980</v>
      </c>
      <c r="D25" s="12" t="s">
        <v>1972</v>
      </c>
      <c r="E25" s="12" t="s">
        <v>1982</v>
      </c>
      <c r="F25" s="21">
        <v>35391</v>
      </c>
      <c r="G25" s="14">
        <v>25</v>
      </c>
      <c r="H25" s="12" t="s">
        <v>2367</v>
      </c>
      <c r="I25" s="22">
        <v>43733</v>
      </c>
      <c r="J25" s="26">
        <v>27.6</v>
      </c>
      <c r="K25" s="12">
        <v>2053.14</v>
      </c>
      <c r="L25" s="24">
        <v>74.389130434782601</v>
      </c>
      <c r="M25" s="12">
        <v>0.41733870967741898</v>
      </c>
      <c r="N25" s="12">
        <v>0.33027531790652198</v>
      </c>
      <c r="O25" s="12">
        <v>0.33873293009406802</v>
      </c>
      <c r="P25" s="14">
        <v>296</v>
      </c>
      <c r="Q25" s="14">
        <v>21</v>
      </c>
      <c r="R25" s="14">
        <v>32</v>
      </c>
      <c r="S25" s="12">
        <v>33.556132552373803</v>
      </c>
      <c r="T25" s="14">
        <v>24</v>
      </c>
      <c r="U25" s="14">
        <v>81</v>
      </c>
      <c r="V25" s="12">
        <v>9.5999999999999992E-3</v>
      </c>
      <c r="W25" s="12">
        <v>33.565732552373802</v>
      </c>
      <c r="X25" s="14">
        <v>24</v>
      </c>
    </row>
    <row r="26" spans="1:24" ht="14.25" x14ac:dyDescent="0.45">
      <c r="A26">
        <v>25</v>
      </c>
      <c r="B26" s="12" t="s">
        <v>23</v>
      </c>
      <c r="C26" s="12" t="s">
        <v>1971</v>
      </c>
      <c r="D26" s="12" t="s">
        <v>1977</v>
      </c>
      <c r="E26" s="12" t="s">
        <v>1974</v>
      </c>
      <c r="F26" s="21">
        <v>33263</v>
      </c>
      <c r="G26" s="14">
        <v>31</v>
      </c>
      <c r="H26" s="12" t="s">
        <v>2367</v>
      </c>
      <c r="I26" s="22">
        <v>44207</v>
      </c>
      <c r="J26" s="26">
        <v>11.8</v>
      </c>
      <c r="K26" s="12">
        <v>1083.98</v>
      </c>
      <c r="L26" s="24">
        <v>91.862711864406805</v>
      </c>
      <c r="M26" s="12">
        <v>0.178427419354839</v>
      </c>
      <c r="N26" s="12">
        <v>0.174372833369528</v>
      </c>
      <c r="O26" s="12">
        <v>0.41829935871475199</v>
      </c>
      <c r="P26" s="14">
        <v>798</v>
      </c>
      <c r="Q26" s="14">
        <v>50</v>
      </c>
      <c r="R26" s="14">
        <v>20</v>
      </c>
      <c r="S26" s="12">
        <v>32.682691171029298</v>
      </c>
      <c r="T26" s="14">
        <v>25</v>
      </c>
      <c r="U26" s="14">
        <v>8</v>
      </c>
      <c r="V26" s="12">
        <v>6.1999999999999998E-3</v>
      </c>
      <c r="W26" s="12">
        <v>32.688891171029297</v>
      </c>
      <c r="X26" s="14">
        <v>25</v>
      </c>
    </row>
    <row r="27" spans="1:24" ht="14.25" x14ac:dyDescent="0.45">
      <c r="A27">
        <v>26</v>
      </c>
      <c r="B27" s="12" t="s">
        <v>799</v>
      </c>
      <c r="C27" s="12" t="s">
        <v>2021</v>
      </c>
      <c r="D27" s="12" t="s">
        <v>1972</v>
      </c>
      <c r="E27" s="12" t="s">
        <v>2007</v>
      </c>
      <c r="F27" s="21">
        <v>33669</v>
      </c>
      <c r="G27" s="14">
        <v>30</v>
      </c>
      <c r="H27" s="12" t="s">
        <v>2367</v>
      </c>
      <c r="I27" s="22">
        <v>44280</v>
      </c>
      <c r="J27" s="26">
        <v>9.3666666666666707</v>
      </c>
      <c r="K27" s="12">
        <v>873.35</v>
      </c>
      <c r="L27" s="24">
        <v>93.2402135231317</v>
      </c>
      <c r="M27" s="12">
        <v>0.141633064516129</v>
      </c>
      <c r="N27" s="12">
        <v>0.140490151131273</v>
      </c>
      <c r="O27" s="12">
        <v>0.424571850009409</v>
      </c>
      <c r="P27" s="14">
        <v>1063</v>
      </c>
      <c r="Q27" s="14">
        <v>66</v>
      </c>
      <c r="R27" s="14">
        <v>18</v>
      </c>
      <c r="S27" s="12">
        <v>31.804121293010802</v>
      </c>
      <c r="T27" s="14">
        <v>26</v>
      </c>
      <c r="U27" s="14">
        <v>14</v>
      </c>
      <c r="V27" s="12">
        <v>6.7000000000000002E-3</v>
      </c>
      <c r="W27" s="12">
        <v>31.8108212930108</v>
      </c>
      <c r="X27" s="14">
        <v>26</v>
      </c>
    </row>
    <row r="28" spans="1:24" ht="14.25" x14ac:dyDescent="0.45">
      <c r="A28">
        <v>27</v>
      </c>
      <c r="B28" s="12" t="s">
        <v>21</v>
      </c>
      <c r="C28" s="12" t="s">
        <v>1980</v>
      </c>
      <c r="D28" s="12" t="s">
        <v>1972</v>
      </c>
      <c r="E28" s="12" t="s">
        <v>1975</v>
      </c>
      <c r="F28" s="21">
        <v>28466</v>
      </c>
      <c r="G28" s="14">
        <v>44</v>
      </c>
      <c r="H28" s="12" t="s">
        <v>2369</v>
      </c>
      <c r="I28" s="22">
        <v>42817</v>
      </c>
      <c r="J28" s="26">
        <v>58.133333333333297</v>
      </c>
      <c r="K28" s="12">
        <v>2855.28</v>
      </c>
      <c r="L28" s="24">
        <v>49.116055045871597</v>
      </c>
      <c r="M28" s="12">
        <v>0.87903225806451601</v>
      </c>
      <c r="N28" s="12">
        <v>0.459310378109693</v>
      </c>
      <c r="O28" s="12">
        <v>0.22365129344986201</v>
      </c>
      <c r="P28" s="14">
        <v>9</v>
      </c>
      <c r="Q28" s="14">
        <v>10</v>
      </c>
      <c r="R28" s="14">
        <v>46</v>
      </c>
      <c r="S28" s="12">
        <v>31.202345019729801</v>
      </c>
      <c r="T28" s="14">
        <v>27</v>
      </c>
      <c r="U28" s="14">
        <v>108</v>
      </c>
      <c r="V28" s="12">
        <v>9.9000000000000008E-3</v>
      </c>
      <c r="W28" s="12">
        <v>31.212245019729799</v>
      </c>
      <c r="X28" s="14">
        <v>27</v>
      </c>
    </row>
    <row r="29" spans="1:24" ht="14.25" x14ac:dyDescent="0.45">
      <c r="A29">
        <v>28</v>
      </c>
      <c r="B29" s="12" t="s">
        <v>1286</v>
      </c>
      <c r="C29" s="12" t="s">
        <v>1971</v>
      </c>
      <c r="D29" s="12" t="s">
        <v>1972</v>
      </c>
      <c r="E29" s="12" t="s">
        <v>2007</v>
      </c>
      <c r="F29" s="21">
        <v>35429</v>
      </c>
      <c r="G29" s="14">
        <v>25</v>
      </c>
      <c r="H29" s="12" t="s">
        <v>2367</v>
      </c>
      <c r="I29" s="22">
        <v>44372</v>
      </c>
      <c r="J29" s="26">
        <v>6.3</v>
      </c>
      <c r="K29" s="12">
        <v>593.30999999999995</v>
      </c>
      <c r="L29" s="24">
        <v>94.176190476190499</v>
      </c>
      <c r="M29" s="12">
        <v>9.5262096774193505E-2</v>
      </c>
      <c r="N29" s="12">
        <v>9.5441932292546397E-2</v>
      </c>
      <c r="O29" s="12">
        <v>0.42883384653977702</v>
      </c>
      <c r="P29" s="14">
        <v>1606</v>
      </c>
      <c r="Q29" s="14">
        <v>118</v>
      </c>
      <c r="R29" s="14">
        <v>17</v>
      </c>
      <c r="S29" s="12">
        <v>30.381187869706601</v>
      </c>
      <c r="T29" s="14">
        <v>28</v>
      </c>
      <c r="U29" s="14">
        <v>5</v>
      </c>
      <c r="V29" s="12">
        <v>5.8999999999999999E-3</v>
      </c>
      <c r="W29" s="12">
        <v>30.387087869706601</v>
      </c>
      <c r="X29" s="14">
        <v>28</v>
      </c>
    </row>
    <row r="30" spans="1:24" ht="14.25" x14ac:dyDescent="0.45">
      <c r="A30">
        <v>29</v>
      </c>
      <c r="B30" s="12" t="s">
        <v>1906</v>
      </c>
      <c r="C30" s="12" t="s">
        <v>2368</v>
      </c>
      <c r="D30" s="12" t="s">
        <v>2368</v>
      </c>
      <c r="E30" s="12" t="s">
        <v>2368</v>
      </c>
      <c r="F30" s="21">
        <v>1</v>
      </c>
      <c r="G30" s="14">
        <v>122</v>
      </c>
      <c r="H30" s="12" t="s">
        <v>2372</v>
      </c>
      <c r="I30" s="22">
        <v>44484</v>
      </c>
      <c r="J30" s="26">
        <v>2.56666666666667</v>
      </c>
      <c r="K30" s="12">
        <v>250.64</v>
      </c>
      <c r="L30" s="24">
        <v>97.651948051947997</v>
      </c>
      <c r="M30" s="12">
        <v>3.8810483870967701E-2</v>
      </c>
      <c r="N30" s="12">
        <v>4.0318831487424503E-2</v>
      </c>
      <c r="O30" s="12">
        <v>0.44466080326116603</v>
      </c>
      <c r="P30" s="14">
        <v>1909</v>
      </c>
      <c r="Q30" s="14">
        <v>255</v>
      </c>
      <c r="R30" s="14">
        <v>15</v>
      </c>
      <c r="S30" s="12">
        <v>29.303256384601301</v>
      </c>
      <c r="T30" s="14">
        <v>29</v>
      </c>
      <c r="U30" s="14">
        <v>2</v>
      </c>
      <c r="V30" s="12">
        <v>5.5999999999999999E-3</v>
      </c>
      <c r="W30" s="12">
        <v>29.308856384601299</v>
      </c>
      <c r="X30" s="14">
        <v>29</v>
      </c>
    </row>
    <row r="31" spans="1:24" ht="14.25" x14ac:dyDescent="0.45">
      <c r="A31">
        <v>30</v>
      </c>
      <c r="B31" s="12" t="s">
        <v>459</v>
      </c>
      <c r="C31" s="12" t="s">
        <v>1971</v>
      </c>
      <c r="D31" s="12" t="s">
        <v>1981</v>
      </c>
      <c r="E31" s="12" t="s">
        <v>2020</v>
      </c>
      <c r="F31" s="21">
        <v>31254</v>
      </c>
      <c r="G31" s="14">
        <v>36</v>
      </c>
      <c r="H31" s="12" t="s">
        <v>2369</v>
      </c>
      <c r="I31" s="22">
        <v>43838</v>
      </c>
      <c r="J31" s="26">
        <v>24.1</v>
      </c>
      <c r="K31" s="12">
        <v>1600.09</v>
      </c>
      <c r="L31" s="24">
        <v>66.393775933609902</v>
      </c>
      <c r="M31" s="12">
        <v>0.36441532258064502</v>
      </c>
      <c r="N31" s="12">
        <v>0.25739610227702298</v>
      </c>
      <c r="O31" s="12">
        <v>0.30232586576230502</v>
      </c>
      <c r="P31" s="14">
        <v>384</v>
      </c>
      <c r="Q31" s="14">
        <v>30</v>
      </c>
      <c r="R31" s="14">
        <v>36</v>
      </c>
      <c r="S31" s="12">
        <v>28.547720445532399</v>
      </c>
      <c r="T31" s="14">
        <v>30</v>
      </c>
      <c r="U31" s="14">
        <v>22</v>
      </c>
      <c r="V31" s="12">
        <v>7.3000000000000001E-3</v>
      </c>
      <c r="W31" s="12">
        <v>28.555020445532399</v>
      </c>
      <c r="X31" s="14">
        <v>30</v>
      </c>
    </row>
    <row r="32" spans="1:24" s="28" customFormat="1" ht="14.25" x14ac:dyDescent="0.45">
      <c r="A32" s="28">
        <v>31</v>
      </c>
      <c r="B32" s="29" t="s">
        <v>337</v>
      </c>
      <c r="C32" s="29" t="s">
        <v>1971</v>
      </c>
      <c r="D32" s="29" t="s">
        <v>1972</v>
      </c>
      <c r="E32" s="29" t="s">
        <v>1993</v>
      </c>
      <c r="F32" s="30">
        <v>31443</v>
      </c>
      <c r="G32" s="31">
        <v>36</v>
      </c>
      <c r="H32" s="29" t="s">
        <v>2369</v>
      </c>
      <c r="I32" s="32">
        <v>42821</v>
      </c>
      <c r="J32" s="33">
        <v>58</v>
      </c>
      <c r="K32" s="29">
        <v>2539.25</v>
      </c>
      <c r="L32" s="34">
        <v>43.780172413793103</v>
      </c>
      <c r="M32" s="29">
        <v>0.87701612903225801</v>
      </c>
      <c r="N32" s="29">
        <v>0.40847268135350601</v>
      </c>
      <c r="O32" s="29">
        <v>0.199354206657234</v>
      </c>
      <c r="P32" s="31">
        <v>17</v>
      </c>
      <c r="Q32" s="31">
        <v>11</v>
      </c>
      <c r="R32" s="31">
        <v>53</v>
      </c>
      <c r="S32" s="29">
        <v>27.777363466833599</v>
      </c>
      <c r="T32" s="31">
        <v>31</v>
      </c>
      <c r="U32" s="31">
        <v>66</v>
      </c>
      <c r="V32" s="29">
        <v>9.1999999999999998E-3</v>
      </c>
      <c r="W32" s="29">
        <v>27.786563466833599</v>
      </c>
      <c r="X32" s="31">
        <v>31</v>
      </c>
    </row>
    <row r="33" spans="1:24" ht="14.25" x14ac:dyDescent="0.45">
      <c r="A33">
        <v>32</v>
      </c>
      <c r="B33" s="12" t="s">
        <v>298</v>
      </c>
      <c r="C33" s="12" t="s">
        <v>2021</v>
      </c>
      <c r="D33" s="12" t="s">
        <v>1981</v>
      </c>
      <c r="E33" s="12" t="s">
        <v>1982</v>
      </c>
      <c r="F33" s="21">
        <v>35175</v>
      </c>
      <c r="G33" s="14">
        <v>26</v>
      </c>
      <c r="H33" s="12" t="s">
        <v>2367</v>
      </c>
      <c r="I33" s="22">
        <v>44186</v>
      </c>
      <c r="J33" s="26">
        <v>12.5</v>
      </c>
      <c r="K33" s="12">
        <v>957.64</v>
      </c>
      <c r="L33" s="24">
        <v>76.611199999999997</v>
      </c>
      <c r="M33" s="12">
        <v>0.18901209677419401</v>
      </c>
      <c r="N33" s="12">
        <v>0.15404933684015801</v>
      </c>
      <c r="O33" s="12">
        <v>0.34885118433766099</v>
      </c>
      <c r="P33" s="14">
        <v>723</v>
      </c>
      <c r="Q33" s="14">
        <v>55</v>
      </c>
      <c r="R33" s="14">
        <v>31</v>
      </c>
      <c r="S33" s="12">
        <v>27.5800491526097</v>
      </c>
      <c r="T33" s="14">
        <v>32</v>
      </c>
      <c r="U33" s="14">
        <v>10</v>
      </c>
      <c r="V33" s="12">
        <v>6.4000000000000003E-3</v>
      </c>
      <c r="W33" s="12">
        <v>27.586449152609699</v>
      </c>
      <c r="X33" s="14">
        <v>32</v>
      </c>
    </row>
    <row r="34" spans="1:24" ht="14.25" x14ac:dyDescent="0.45">
      <c r="A34">
        <v>33</v>
      </c>
      <c r="B34" s="12" t="s">
        <v>500</v>
      </c>
      <c r="C34" s="12" t="s">
        <v>1971</v>
      </c>
      <c r="D34" s="12" t="s">
        <v>1972</v>
      </c>
      <c r="E34" s="12" t="s">
        <v>1978</v>
      </c>
      <c r="F34" s="21">
        <v>31692</v>
      </c>
      <c r="G34" s="14">
        <v>35</v>
      </c>
      <c r="H34" s="12" t="s">
        <v>2369</v>
      </c>
      <c r="I34" s="22">
        <v>43963</v>
      </c>
      <c r="J34" s="26">
        <v>19.933333333333302</v>
      </c>
      <c r="K34" s="12">
        <v>1357.32</v>
      </c>
      <c r="L34" s="24">
        <v>68.092976588628801</v>
      </c>
      <c r="M34" s="12">
        <v>0.30141129032258102</v>
      </c>
      <c r="N34" s="12">
        <v>0.21834326665540599</v>
      </c>
      <c r="O34" s="12">
        <v>0.31006322219231303</v>
      </c>
      <c r="P34" s="14">
        <v>448</v>
      </c>
      <c r="Q34" s="14">
        <v>35</v>
      </c>
      <c r="R34" s="14">
        <v>35</v>
      </c>
      <c r="S34" s="12">
        <v>27.566823886597302</v>
      </c>
      <c r="T34" s="14">
        <v>33</v>
      </c>
      <c r="U34" s="14">
        <v>56</v>
      </c>
      <c r="V34" s="12">
        <v>8.8999999999999999E-3</v>
      </c>
      <c r="W34" s="12">
        <v>27.575723886597299</v>
      </c>
      <c r="X34" s="14">
        <v>33</v>
      </c>
    </row>
    <row r="35" spans="1:24" ht="14.25" x14ac:dyDescent="0.45">
      <c r="A35">
        <v>34</v>
      </c>
      <c r="B35" s="12" t="s">
        <v>1870</v>
      </c>
      <c r="C35" s="12" t="s">
        <v>1971</v>
      </c>
      <c r="D35" s="12" t="s">
        <v>1993</v>
      </c>
      <c r="E35" s="12" t="s">
        <v>1982</v>
      </c>
      <c r="F35" s="21">
        <v>37140</v>
      </c>
      <c r="G35" s="14">
        <v>20</v>
      </c>
      <c r="H35" s="12" t="s">
        <v>2370</v>
      </c>
      <c r="I35" s="22">
        <v>44463</v>
      </c>
      <c r="J35" s="26">
        <v>3.2666666666666702</v>
      </c>
      <c r="K35" s="12">
        <v>294.97000000000003</v>
      </c>
      <c r="L35" s="24">
        <v>90.296938775510199</v>
      </c>
      <c r="M35" s="12">
        <v>4.9395161290322599E-2</v>
      </c>
      <c r="N35" s="12">
        <v>4.7449911122907799E-2</v>
      </c>
      <c r="O35" s="12">
        <v>0.41116956833859802</v>
      </c>
      <c r="P35" s="14">
        <v>1884</v>
      </c>
      <c r="Q35" s="14">
        <v>228</v>
      </c>
      <c r="R35" s="14">
        <v>21</v>
      </c>
      <c r="S35" s="12">
        <v>27.477469688271398</v>
      </c>
      <c r="T35" s="14">
        <v>34</v>
      </c>
      <c r="U35" s="14">
        <v>2</v>
      </c>
      <c r="V35" s="12">
        <v>5.5999999999999999E-3</v>
      </c>
      <c r="W35" s="12">
        <v>27.483069688271399</v>
      </c>
      <c r="X35" s="14">
        <v>34</v>
      </c>
    </row>
    <row r="36" spans="1:24" s="37" customFormat="1" ht="14.25" x14ac:dyDescent="0.45">
      <c r="A36" s="18">
        <v>35</v>
      </c>
      <c r="B36" s="17" t="s">
        <v>1677</v>
      </c>
      <c r="C36" s="17" t="s">
        <v>1971</v>
      </c>
      <c r="D36" s="17" t="s">
        <v>1972</v>
      </c>
      <c r="E36" s="17" t="s">
        <v>1993</v>
      </c>
      <c r="F36" s="35">
        <v>35543</v>
      </c>
      <c r="G36" s="18">
        <v>25</v>
      </c>
      <c r="H36" s="17" t="s">
        <v>2367</v>
      </c>
      <c r="I36" s="36">
        <v>44424</v>
      </c>
      <c r="J36" s="17">
        <v>4.56666666666667</v>
      </c>
      <c r="K36" s="17">
        <v>276.63</v>
      </c>
      <c r="L36" s="17">
        <v>60.575912408759102</v>
      </c>
      <c r="M36" s="17">
        <v>6.9052419354838704E-2</v>
      </c>
      <c r="N36" s="17">
        <v>4.4499674251381398E-2</v>
      </c>
      <c r="O36" s="17">
        <v>0.27583406585629799</v>
      </c>
      <c r="P36" s="18">
        <v>1809</v>
      </c>
      <c r="Q36" s="18">
        <v>241</v>
      </c>
      <c r="R36" s="18">
        <v>40</v>
      </c>
      <c r="S36" s="17">
        <v>18.908366900445401</v>
      </c>
      <c r="T36" s="18">
        <v>56</v>
      </c>
      <c r="U36" s="18">
        <v>4</v>
      </c>
      <c r="V36" s="17">
        <v>5.7999999999999996E-3</v>
      </c>
      <c r="W36" s="17">
        <v>18.914166900445402</v>
      </c>
      <c r="X36" s="18">
        <v>56</v>
      </c>
    </row>
    <row r="37" spans="1:24" ht="14.25" x14ac:dyDescent="0.45">
      <c r="A37">
        <v>36</v>
      </c>
      <c r="B37" s="12" t="s">
        <v>502</v>
      </c>
      <c r="C37" s="12" t="s">
        <v>1971</v>
      </c>
      <c r="D37" s="12" t="s">
        <v>1972</v>
      </c>
      <c r="E37" s="12" t="s">
        <v>1975</v>
      </c>
      <c r="F37" s="21">
        <v>35922</v>
      </c>
      <c r="G37" s="14">
        <v>24</v>
      </c>
      <c r="H37" s="12" t="s">
        <v>2370</v>
      </c>
      <c r="I37" s="22">
        <v>44217</v>
      </c>
      <c r="J37" s="26">
        <v>11.466666666666701</v>
      </c>
      <c r="K37" s="12">
        <v>881.08</v>
      </c>
      <c r="L37" s="24">
        <v>76.838372093023295</v>
      </c>
      <c r="M37" s="12">
        <v>0.17338709677419401</v>
      </c>
      <c r="N37" s="12">
        <v>0.14173362610493101</v>
      </c>
      <c r="O37" s="12">
        <v>0.34988561864621698</v>
      </c>
      <c r="P37" s="14">
        <v>851</v>
      </c>
      <c r="Q37" s="14">
        <v>62</v>
      </c>
      <c r="R37" s="14">
        <v>30</v>
      </c>
      <c r="S37" s="12">
        <v>27.182862144323501</v>
      </c>
      <c r="T37" s="14">
        <v>36</v>
      </c>
      <c r="U37" s="14">
        <v>9</v>
      </c>
      <c r="V37" s="12">
        <v>6.3E-3</v>
      </c>
      <c r="W37" s="12">
        <v>27.1891621443235</v>
      </c>
      <c r="X37" s="14">
        <v>36</v>
      </c>
    </row>
    <row r="38" spans="1:24" ht="14.25" x14ac:dyDescent="0.45">
      <c r="A38">
        <v>37</v>
      </c>
      <c r="B38" s="12" t="s">
        <v>1931</v>
      </c>
      <c r="C38" s="12" t="s">
        <v>1971</v>
      </c>
      <c r="D38" s="12" t="s">
        <v>1974</v>
      </c>
      <c r="E38" s="12" t="s">
        <v>1982</v>
      </c>
      <c r="F38" s="21">
        <v>35812</v>
      </c>
      <c r="G38" s="14">
        <v>24</v>
      </c>
      <c r="H38" s="12" t="s">
        <v>2370</v>
      </c>
      <c r="I38" s="22">
        <v>44480</v>
      </c>
      <c r="J38" s="26">
        <v>2.7</v>
      </c>
      <c r="K38" s="12">
        <v>242.1</v>
      </c>
      <c r="L38" s="24">
        <v>89.6666666666667</v>
      </c>
      <c r="M38" s="12">
        <v>4.0826612903225798E-2</v>
      </c>
      <c r="N38" s="12">
        <v>3.8945057066332098E-2</v>
      </c>
      <c r="O38" s="12">
        <v>0.40829960713677499</v>
      </c>
      <c r="P38" s="14">
        <v>1899</v>
      </c>
      <c r="Q38" s="14">
        <v>262</v>
      </c>
      <c r="R38" s="14">
        <v>22</v>
      </c>
      <c r="S38" s="12">
        <v>26.979165086035898</v>
      </c>
      <c r="T38" s="14">
        <v>37</v>
      </c>
      <c r="U38" s="14">
        <v>2</v>
      </c>
      <c r="V38" s="12">
        <v>5.5999999999999999E-3</v>
      </c>
      <c r="W38" s="12">
        <v>26.9847650860359</v>
      </c>
      <c r="X38" s="14">
        <v>37</v>
      </c>
    </row>
    <row r="39" spans="1:24" ht="14.25" x14ac:dyDescent="0.45">
      <c r="A39">
        <v>38</v>
      </c>
      <c r="B39" s="12" t="s">
        <v>388</v>
      </c>
      <c r="C39" s="12" t="s">
        <v>1971</v>
      </c>
      <c r="D39" s="12" t="s">
        <v>1972</v>
      </c>
      <c r="E39" s="12" t="s">
        <v>1975</v>
      </c>
      <c r="F39" s="21">
        <v>32975</v>
      </c>
      <c r="G39" s="14">
        <v>32</v>
      </c>
      <c r="H39" s="12" t="s">
        <v>2367</v>
      </c>
      <c r="I39" s="22">
        <v>43178</v>
      </c>
      <c r="J39" s="26">
        <v>46.1</v>
      </c>
      <c r="K39" s="12">
        <v>2183.14</v>
      </c>
      <c r="L39" s="24">
        <v>47.356616052060701</v>
      </c>
      <c r="M39" s="12">
        <v>0.69707661290322598</v>
      </c>
      <c r="N39" s="12">
        <v>0.35118757490207397</v>
      </c>
      <c r="O39" s="12">
        <v>0.21563964010464901</v>
      </c>
      <c r="P39" s="14">
        <v>80</v>
      </c>
      <c r="Q39" s="14">
        <v>18</v>
      </c>
      <c r="R39" s="14">
        <v>48</v>
      </c>
      <c r="S39" s="12">
        <v>26.647011565368299</v>
      </c>
      <c r="T39" s="14">
        <v>38</v>
      </c>
      <c r="U39" s="14">
        <v>20</v>
      </c>
      <c r="V39" s="12">
        <v>7.1000000000000004E-3</v>
      </c>
      <c r="W39" s="12">
        <v>26.6541115653683</v>
      </c>
      <c r="X39" s="14">
        <v>38</v>
      </c>
    </row>
    <row r="40" spans="1:24" ht="14.25" x14ac:dyDescent="0.45">
      <c r="A40">
        <v>39</v>
      </c>
      <c r="B40" s="12" t="s">
        <v>387</v>
      </c>
      <c r="C40" s="12" t="s">
        <v>1980</v>
      </c>
      <c r="D40" s="12" t="s">
        <v>1996</v>
      </c>
      <c r="E40" s="12" t="s">
        <v>1975</v>
      </c>
      <c r="F40" s="21">
        <v>32377</v>
      </c>
      <c r="G40" s="14">
        <v>33</v>
      </c>
      <c r="H40" s="12" t="s">
        <v>2367</v>
      </c>
      <c r="I40" s="22">
        <v>43528</v>
      </c>
      <c r="J40" s="26">
        <v>34.433333333333302</v>
      </c>
      <c r="K40" s="12">
        <v>1749.23</v>
      </c>
      <c r="L40" s="24">
        <v>50.800484027105497</v>
      </c>
      <c r="M40" s="12">
        <v>0.52066532258064502</v>
      </c>
      <c r="N40" s="12">
        <v>0.28138728695638199</v>
      </c>
      <c r="O40" s="12">
        <v>0.23132138666124799</v>
      </c>
      <c r="P40" s="14">
        <v>230</v>
      </c>
      <c r="Q40" s="14">
        <v>26</v>
      </c>
      <c r="R40" s="14">
        <v>43</v>
      </c>
      <c r="S40" s="12">
        <v>25.009609927192301</v>
      </c>
      <c r="T40" s="14">
        <v>39</v>
      </c>
      <c r="U40" s="14">
        <v>70</v>
      </c>
      <c r="V40" s="12">
        <v>9.2999999999999992E-3</v>
      </c>
      <c r="W40" s="12">
        <v>25.018909927192301</v>
      </c>
      <c r="X40" s="14">
        <v>39</v>
      </c>
    </row>
    <row r="41" spans="1:24" s="16" customFormat="1" ht="14.25" x14ac:dyDescent="0.45">
      <c r="A41" s="16">
        <v>40</v>
      </c>
      <c r="B41" s="12" t="s">
        <v>94</v>
      </c>
      <c r="C41" s="12" t="s">
        <v>1980</v>
      </c>
      <c r="D41" s="12" t="s">
        <v>1972</v>
      </c>
      <c r="E41" s="12" t="s">
        <v>2020</v>
      </c>
      <c r="F41" s="21">
        <v>24588</v>
      </c>
      <c r="G41" s="14">
        <v>55</v>
      </c>
      <c r="H41" s="12" t="s">
        <v>2371</v>
      </c>
      <c r="I41" s="22">
        <v>43656</v>
      </c>
      <c r="J41" s="26">
        <v>30.1666666666667</v>
      </c>
      <c r="K41" s="12">
        <v>1614.86</v>
      </c>
      <c r="L41" s="24">
        <v>53.531270718232001</v>
      </c>
      <c r="M41" s="12">
        <v>0.45614919354838701</v>
      </c>
      <c r="N41" s="12">
        <v>0.25977205639874801</v>
      </c>
      <c r="O41" s="12">
        <v>0.243756098183493</v>
      </c>
      <c r="P41" s="14">
        <v>256</v>
      </c>
      <c r="Q41" s="14">
        <v>29</v>
      </c>
      <c r="R41" s="14">
        <v>41</v>
      </c>
      <c r="S41" s="12">
        <v>24.976208251421401</v>
      </c>
      <c r="T41" s="14">
        <v>40</v>
      </c>
      <c r="U41" s="14">
        <v>32</v>
      </c>
      <c r="V41" s="12">
        <v>7.7999999999999996E-3</v>
      </c>
      <c r="W41" s="12">
        <v>24.9840082514214</v>
      </c>
      <c r="X41" s="14">
        <v>40</v>
      </c>
    </row>
    <row r="42" spans="1:24" s="37" customFormat="1" ht="14.25" x14ac:dyDescent="0.45">
      <c r="A42" s="18">
        <v>41</v>
      </c>
      <c r="B42" s="17" t="s">
        <v>487</v>
      </c>
      <c r="C42" s="17" t="s">
        <v>1971</v>
      </c>
      <c r="D42" s="17" t="s">
        <v>1996</v>
      </c>
      <c r="E42" s="17" t="s">
        <v>1997</v>
      </c>
      <c r="F42" s="35">
        <v>30039</v>
      </c>
      <c r="G42" s="18">
        <v>40</v>
      </c>
      <c r="H42" s="17" t="s">
        <v>2369</v>
      </c>
      <c r="I42" s="36">
        <v>44062</v>
      </c>
      <c r="J42" s="17">
        <v>16.633333333333301</v>
      </c>
      <c r="K42" s="17">
        <v>807.91</v>
      </c>
      <c r="L42" s="17">
        <v>48.571743486974</v>
      </c>
      <c r="M42" s="17">
        <v>0.25151209677419401</v>
      </c>
      <c r="N42" s="17">
        <v>0.129963242686742</v>
      </c>
      <c r="O42" s="17">
        <v>0.22117275595181801</v>
      </c>
      <c r="P42" s="18">
        <v>463</v>
      </c>
      <c r="Q42" s="18">
        <v>72</v>
      </c>
      <c r="R42" s="18">
        <v>47</v>
      </c>
      <c r="S42" s="17">
        <v>18.6969188477415</v>
      </c>
      <c r="T42" s="18">
        <v>57</v>
      </c>
      <c r="U42" s="18">
        <v>18</v>
      </c>
      <c r="V42" s="17">
        <v>7.0000000000000001E-3</v>
      </c>
      <c r="W42" s="17">
        <v>18.703918847741502</v>
      </c>
      <c r="X42" s="18">
        <v>57</v>
      </c>
    </row>
    <row r="43" spans="1:24" s="28" customFormat="1" ht="14.25" x14ac:dyDescent="0.45">
      <c r="A43" s="28">
        <v>42</v>
      </c>
      <c r="B43" s="29" t="s">
        <v>270</v>
      </c>
      <c r="C43" s="29" t="s">
        <v>1971</v>
      </c>
      <c r="D43" s="29" t="s">
        <v>1972</v>
      </c>
      <c r="E43" s="29" t="s">
        <v>1973</v>
      </c>
      <c r="F43" s="30">
        <v>28598</v>
      </c>
      <c r="G43" s="31">
        <v>44</v>
      </c>
      <c r="H43" s="29" t="s">
        <v>2369</v>
      </c>
      <c r="I43" s="32">
        <v>43322</v>
      </c>
      <c r="J43" s="33">
        <v>41.3</v>
      </c>
      <c r="K43" s="29">
        <v>1860.33</v>
      </c>
      <c r="L43" s="34">
        <v>45.0443099273608</v>
      </c>
      <c r="M43" s="29">
        <v>0.62449596774193505</v>
      </c>
      <c r="N43" s="29">
        <v>0.299259223511811</v>
      </c>
      <c r="O43" s="29">
        <v>0.20511049123147099</v>
      </c>
      <c r="P43" s="31">
        <v>151</v>
      </c>
      <c r="Q43" s="31">
        <v>24</v>
      </c>
      <c r="R43" s="31">
        <v>51</v>
      </c>
      <c r="S43" s="29">
        <v>24.041626583659902</v>
      </c>
      <c r="T43" s="31">
        <v>42</v>
      </c>
      <c r="U43" s="31">
        <v>60</v>
      </c>
      <c r="V43" s="29">
        <v>8.9999999999999993E-3</v>
      </c>
      <c r="W43" s="29">
        <v>24.050626583659898</v>
      </c>
      <c r="X43" s="31">
        <v>42</v>
      </c>
    </row>
    <row r="44" spans="1:24" ht="14.25" x14ac:dyDescent="0.45">
      <c r="A44">
        <v>43</v>
      </c>
      <c r="B44" s="12" t="s">
        <v>1911</v>
      </c>
      <c r="C44" s="12" t="s">
        <v>1971</v>
      </c>
      <c r="D44" s="12" t="s">
        <v>1981</v>
      </c>
      <c r="E44" s="12" t="s">
        <v>1993</v>
      </c>
      <c r="F44" s="21">
        <v>37649</v>
      </c>
      <c r="G44" s="14">
        <v>19</v>
      </c>
      <c r="H44" s="12" t="s">
        <v>2370</v>
      </c>
      <c r="I44" s="22">
        <v>44482</v>
      </c>
      <c r="J44" s="26">
        <v>2.6333333333333302</v>
      </c>
      <c r="K44" s="12">
        <v>208.91</v>
      </c>
      <c r="L44" s="24">
        <v>79.332911392405094</v>
      </c>
      <c r="M44" s="12">
        <v>3.9818548387096801E-2</v>
      </c>
      <c r="N44" s="12">
        <v>3.3605996991852301E-2</v>
      </c>
      <c r="O44" s="12">
        <v>0.36124457124017401</v>
      </c>
      <c r="P44" s="14">
        <v>1907</v>
      </c>
      <c r="Q44" s="14">
        <v>279</v>
      </c>
      <c r="R44" s="14">
        <v>29</v>
      </c>
      <c r="S44" s="12">
        <v>23.838010589705299</v>
      </c>
      <c r="T44" s="14">
        <v>43</v>
      </c>
      <c r="U44" s="14">
        <v>2</v>
      </c>
      <c r="V44" s="12">
        <v>5.5999999999999999E-3</v>
      </c>
      <c r="W44" s="12">
        <v>23.8436105897053</v>
      </c>
      <c r="X44" s="14">
        <v>43</v>
      </c>
    </row>
    <row r="45" spans="1:24" ht="14.25" x14ac:dyDescent="0.45">
      <c r="A45">
        <v>44</v>
      </c>
      <c r="B45" s="12" t="s">
        <v>853</v>
      </c>
      <c r="C45" s="12" t="s">
        <v>2368</v>
      </c>
      <c r="D45" s="12" t="s">
        <v>2368</v>
      </c>
      <c r="E45" s="12" t="s">
        <v>2368</v>
      </c>
      <c r="F45" s="21">
        <v>1</v>
      </c>
      <c r="G45" s="14">
        <v>122</v>
      </c>
      <c r="H45" s="12" t="s">
        <v>2372</v>
      </c>
      <c r="I45" s="22">
        <v>44307</v>
      </c>
      <c r="J45" s="26">
        <v>8.4666666666666703</v>
      </c>
      <c r="K45" s="12">
        <v>583.64</v>
      </c>
      <c r="L45" s="24">
        <v>68.933858267716502</v>
      </c>
      <c r="M45" s="12">
        <v>0.12802419354838701</v>
      </c>
      <c r="N45" s="12">
        <v>9.3886382099108004E-2</v>
      </c>
      <c r="O45" s="12">
        <v>0.313892199804433</v>
      </c>
      <c r="P45" s="14">
        <v>1215</v>
      </c>
      <c r="Q45" s="14">
        <v>124</v>
      </c>
      <c r="R45" s="14">
        <v>34</v>
      </c>
      <c r="S45" s="12">
        <v>23.1390018164936</v>
      </c>
      <c r="T45" s="14">
        <v>44</v>
      </c>
      <c r="U45" s="14">
        <v>8</v>
      </c>
      <c r="V45" s="12">
        <v>6.1999999999999998E-3</v>
      </c>
      <c r="W45" s="12">
        <v>23.1452018164936</v>
      </c>
      <c r="X45" s="14">
        <v>44</v>
      </c>
    </row>
    <row r="46" spans="1:24" ht="14.25" x14ac:dyDescent="0.45">
      <c r="A46">
        <v>45</v>
      </c>
      <c r="B46" s="12" t="s">
        <v>453</v>
      </c>
      <c r="C46" s="12" t="s">
        <v>1971</v>
      </c>
      <c r="D46" s="12" t="s">
        <v>1972</v>
      </c>
      <c r="E46" s="12" t="s">
        <v>1974</v>
      </c>
      <c r="F46" s="21">
        <v>27121</v>
      </c>
      <c r="G46" s="14">
        <v>48</v>
      </c>
      <c r="H46" s="12" t="s">
        <v>2371</v>
      </c>
      <c r="I46" s="22">
        <v>44174</v>
      </c>
      <c r="J46" s="26">
        <v>12.9</v>
      </c>
      <c r="K46" s="12">
        <v>819.78</v>
      </c>
      <c r="L46" s="24">
        <v>63.548837209302299</v>
      </c>
      <c r="M46" s="12">
        <v>0.195060483870968</v>
      </c>
      <c r="N46" s="12">
        <v>0.13187269261395199</v>
      </c>
      <c r="O46" s="12">
        <v>0.289371359850078</v>
      </c>
      <c r="P46" s="14">
        <v>687</v>
      </c>
      <c r="Q46" s="14">
        <v>71</v>
      </c>
      <c r="R46" s="14">
        <v>38</v>
      </c>
      <c r="S46" s="12">
        <v>23.0309359636531</v>
      </c>
      <c r="T46" s="14">
        <v>45</v>
      </c>
      <c r="U46" s="14">
        <v>10</v>
      </c>
      <c r="V46" s="12">
        <v>6.4000000000000003E-3</v>
      </c>
      <c r="W46" s="12">
        <v>23.037335963653099</v>
      </c>
      <c r="X46" s="14">
        <v>45</v>
      </c>
    </row>
    <row r="47" spans="1:24" s="37" customFormat="1" ht="14.25" x14ac:dyDescent="0.45">
      <c r="A47" s="18">
        <v>46</v>
      </c>
      <c r="B47" s="17" t="s">
        <v>98</v>
      </c>
      <c r="C47" s="17" t="s">
        <v>1971</v>
      </c>
      <c r="D47" s="17" t="s">
        <v>1977</v>
      </c>
      <c r="E47" s="17" t="s">
        <v>1974</v>
      </c>
      <c r="F47" s="35">
        <v>29555</v>
      </c>
      <c r="G47" s="18">
        <v>41</v>
      </c>
      <c r="H47" s="17" t="s">
        <v>2369</v>
      </c>
      <c r="I47" s="36">
        <v>44110</v>
      </c>
      <c r="J47" s="17">
        <v>15.033333333333299</v>
      </c>
      <c r="K47" s="17">
        <v>765.48</v>
      </c>
      <c r="L47" s="17">
        <v>50.918847006651902</v>
      </c>
      <c r="M47" s="17">
        <v>0.227318548387097</v>
      </c>
      <c r="N47" s="17">
        <v>0.123137803730425</v>
      </c>
      <c r="O47" s="17">
        <v>0.23186035571011401</v>
      </c>
      <c r="P47" s="18">
        <v>515</v>
      </c>
      <c r="Q47" s="18">
        <v>78</v>
      </c>
      <c r="R47" s="18">
        <v>42</v>
      </c>
      <c r="S47" s="17">
        <v>19.108939871773</v>
      </c>
      <c r="T47" s="18">
        <v>54</v>
      </c>
      <c r="U47" s="18">
        <v>8</v>
      </c>
      <c r="V47" s="17">
        <v>6.1999999999999998E-3</v>
      </c>
      <c r="W47" s="17">
        <v>19.115139871773</v>
      </c>
      <c r="X47" s="18">
        <v>54</v>
      </c>
    </row>
    <row r="48" spans="1:24" ht="14.25" x14ac:dyDescent="0.45">
      <c r="A48">
        <v>47</v>
      </c>
      <c r="B48" s="12" t="s">
        <v>606</v>
      </c>
      <c r="C48" s="12" t="s">
        <v>1971</v>
      </c>
      <c r="D48" s="12" t="s">
        <v>1974</v>
      </c>
      <c r="E48" s="12" t="s">
        <v>2072</v>
      </c>
      <c r="F48" s="21">
        <v>26974</v>
      </c>
      <c r="G48" s="14">
        <v>48</v>
      </c>
      <c r="H48" s="12" t="s">
        <v>2371</v>
      </c>
      <c r="I48" s="22">
        <v>43812</v>
      </c>
      <c r="J48" s="26">
        <v>24.966666666666701</v>
      </c>
      <c r="K48" s="12">
        <v>1257.22</v>
      </c>
      <c r="L48" s="24">
        <v>50.355941255006698</v>
      </c>
      <c r="M48" s="12">
        <v>0.37752016129032301</v>
      </c>
      <c r="N48" s="12">
        <v>0.20224082876883101</v>
      </c>
      <c r="O48" s="12">
        <v>0.229297149049313</v>
      </c>
      <c r="P48" s="14">
        <v>374</v>
      </c>
      <c r="Q48" s="14">
        <v>38</v>
      </c>
      <c r="R48" s="14">
        <v>44</v>
      </c>
      <c r="S48" s="12">
        <v>21.915102894413199</v>
      </c>
      <c r="T48" s="14">
        <v>47</v>
      </c>
      <c r="U48" s="14">
        <v>24</v>
      </c>
      <c r="V48" s="12">
        <v>7.4000000000000003E-3</v>
      </c>
      <c r="W48" s="12">
        <v>21.922502894413199</v>
      </c>
      <c r="X48" s="14">
        <v>47</v>
      </c>
    </row>
    <row r="49" spans="1:24" s="37" customFormat="1" ht="14.25" x14ac:dyDescent="0.45">
      <c r="A49" s="18">
        <v>48</v>
      </c>
      <c r="B49" s="17" t="s">
        <v>534</v>
      </c>
      <c r="C49" s="17" t="s">
        <v>1971</v>
      </c>
      <c r="D49" s="17" t="s">
        <v>1996</v>
      </c>
      <c r="E49" s="17" t="s">
        <v>1997</v>
      </c>
      <c r="F49" s="35">
        <v>32861</v>
      </c>
      <c r="G49" s="18">
        <v>32</v>
      </c>
      <c r="H49" s="17" t="s">
        <v>2367</v>
      </c>
      <c r="I49" s="36">
        <v>44088</v>
      </c>
      <c r="J49" s="17">
        <v>15.766666666666699</v>
      </c>
      <c r="K49" s="17">
        <v>724.27</v>
      </c>
      <c r="L49" s="17">
        <v>45.936786469344597</v>
      </c>
      <c r="M49" s="17">
        <v>0.23840725806451599</v>
      </c>
      <c r="N49" s="17">
        <v>0.116508618262835</v>
      </c>
      <c r="O49" s="17">
        <v>0.20917440745605201</v>
      </c>
      <c r="P49" s="18">
        <v>487</v>
      </c>
      <c r="Q49" s="18">
        <v>88</v>
      </c>
      <c r="R49" s="18">
        <v>50</v>
      </c>
      <c r="S49" s="17">
        <v>17.442473650859601</v>
      </c>
      <c r="T49" s="18">
        <v>62</v>
      </c>
      <c r="U49" s="18">
        <v>49</v>
      </c>
      <c r="V49" s="17">
        <v>8.5000000000000006E-3</v>
      </c>
      <c r="W49" s="17">
        <v>17.450973650859599</v>
      </c>
      <c r="X49" s="18">
        <v>62</v>
      </c>
    </row>
    <row r="50" spans="1:24" ht="14.25" x14ac:dyDescent="0.45">
      <c r="A50">
        <v>49</v>
      </c>
      <c r="B50" s="12" t="s">
        <v>203</v>
      </c>
      <c r="C50" s="12" t="s">
        <v>1971</v>
      </c>
      <c r="D50" s="12" t="s">
        <v>1972</v>
      </c>
      <c r="E50" s="12" t="s">
        <v>1974</v>
      </c>
      <c r="F50" s="21">
        <v>30759</v>
      </c>
      <c r="G50" s="14">
        <v>38</v>
      </c>
      <c r="H50" s="12" t="s">
        <v>2369</v>
      </c>
      <c r="I50" s="22">
        <v>43714</v>
      </c>
      <c r="J50" s="26">
        <v>28.233333333333299</v>
      </c>
      <c r="K50" s="12">
        <v>1306.19</v>
      </c>
      <c r="L50" s="24">
        <v>46.264108618654099</v>
      </c>
      <c r="M50" s="12">
        <v>0.42691532258064502</v>
      </c>
      <c r="N50" s="12">
        <v>0.21011831511553999</v>
      </c>
      <c r="O50" s="12">
        <v>0.21066487777170501</v>
      </c>
      <c r="P50" s="14">
        <v>280</v>
      </c>
      <c r="Q50" s="14">
        <v>37</v>
      </c>
      <c r="R50" s="14">
        <v>49</v>
      </c>
      <c r="S50" s="12">
        <v>21.045991677564299</v>
      </c>
      <c r="T50" s="14">
        <v>49</v>
      </c>
      <c r="U50" s="14">
        <v>48</v>
      </c>
      <c r="V50" s="12">
        <v>8.3999999999999995E-3</v>
      </c>
      <c r="W50" s="12">
        <v>21.054391677564301</v>
      </c>
      <c r="X50" s="14">
        <v>49</v>
      </c>
    </row>
    <row r="51" spans="1:24" ht="14.25" x14ac:dyDescent="0.45">
      <c r="A51">
        <v>50</v>
      </c>
      <c r="B51" s="12" t="s">
        <v>841</v>
      </c>
      <c r="C51" s="12" t="s">
        <v>1971</v>
      </c>
      <c r="D51" s="12" t="s">
        <v>1972</v>
      </c>
      <c r="E51" s="12" t="s">
        <v>1990</v>
      </c>
      <c r="F51" s="21">
        <v>31904</v>
      </c>
      <c r="G51" s="14">
        <v>35</v>
      </c>
      <c r="H51" s="12" t="s">
        <v>2369</v>
      </c>
      <c r="I51" s="22">
        <v>44271</v>
      </c>
      <c r="J51" s="26">
        <v>9.6666666666666696</v>
      </c>
      <c r="K51" s="12">
        <v>588.33000000000004</v>
      </c>
      <c r="L51" s="24">
        <v>60.861724137930999</v>
      </c>
      <c r="M51" s="12">
        <v>0.14616935483870999</v>
      </c>
      <c r="N51" s="12">
        <v>9.4640831986101404E-2</v>
      </c>
      <c r="O51" s="12">
        <v>0.27713551734406</v>
      </c>
      <c r="P51" s="14">
        <v>1004</v>
      </c>
      <c r="Q51" s="14">
        <v>123</v>
      </c>
      <c r="R51" s="14">
        <v>39</v>
      </c>
      <c r="S51" s="12">
        <v>20.870001033482499</v>
      </c>
      <c r="T51" s="14">
        <v>50</v>
      </c>
      <c r="U51" s="14">
        <v>5</v>
      </c>
      <c r="V51" s="12">
        <v>5.8999999999999999E-3</v>
      </c>
      <c r="W51" s="12">
        <v>20.875901033482499</v>
      </c>
      <c r="X51" s="14">
        <v>50</v>
      </c>
    </row>
    <row r="53" spans="1:24" ht="14.25" x14ac:dyDescent="0.45">
      <c r="B53" s="12" t="s">
        <v>1</v>
      </c>
      <c r="C53" s="12" t="s">
        <v>1966</v>
      </c>
      <c r="D53" s="12" t="s">
        <v>1967</v>
      </c>
      <c r="E53" s="12" t="s">
        <v>1968</v>
      </c>
      <c r="F53" s="12" t="s">
        <v>1969</v>
      </c>
      <c r="G53" s="12" t="s">
        <v>2365</v>
      </c>
      <c r="H53" s="12" t="s">
        <v>2366</v>
      </c>
      <c r="I53" s="12" t="s">
        <v>1970</v>
      </c>
      <c r="J53" s="12" t="s">
        <v>2347</v>
      </c>
      <c r="K53" s="12" t="s">
        <v>2346</v>
      </c>
      <c r="L53" s="12" t="s">
        <v>2348</v>
      </c>
      <c r="M53" s="12" t="s">
        <v>2357</v>
      </c>
      <c r="N53" s="12" t="s">
        <v>2355</v>
      </c>
      <c r="O53" s="12" t="s">
        <v>2356</v>
      </c>
      <c r="P53" s="12" t="s">
        <v>2351</v>
      </c>
      <c r="Q53" s="12" t="s">
        <v>2352</v>
      </c>
      <c r="R53" s="12" t="s">
        <v>2349</v>
      </c>
      <c r="S53" s="12" t="s">
        <v>2359</v>
      </c>
      <c r="T53" s="12" t="s">
        <v>2360</v>
      </c>
      <c r="U53" s="12" t="s">
        <v>2361</v>
      </c>
      <c r="V53" s="12" t="s">
        <v>2362</v>
      </c>
      <c r="W53" s="12" t="s">
        <v>2363</v>
      </c>
      <c r="X53" s="12" t="s">
        <v>2364</v>
      </c>
    </row>
    <row r="54" spans="1:24" s="37" customFormat="1" ht="14.25" x14ac:dyDescent="0.45">
      <c r="A54" s="18">
        <v>51</v>
      </c>
      <c r="B54" s="17" t="s">
        <v>1961</v>
      </c>
      <c r="C54" s="17" t="s">
        <v>2368</v>
      </c>
      <c r="D54" s="17" t="s">
        <v>2368</v>
      </c>
      <c r="E54" s="17" t="s">
        <v>2368</v>
      </c>
      <c r="F54" s="35">
        <v>1</v>
      </c>
      <c r="G54" s="18">
        <v>122</v>
      </c>
      <c r="H54" s="17" t="s">
        <v>2372</v>
      </c>
      <c r="I54" s="36">
        <v>44536</v>
      </c>
      <c r="J54" s="17">
        <v>0.83333333333333304</v>
      </c>
      <c r="K54" s="17">
        <v>59.44</v>
      </c>
      <c r="L54" s="17">
        <v>71.328000000000003</v>
      </c>
      <c r="M54" s="17">
        <v>1.2600806451612901E-2</v>
      </c>
      <c r="N54" s="17">
        <v>9.5617273524278307E-3</v>
      </c>
      <c r="O54" s="17">
        <v>0.324793989344073</v>
      </c>
      <c r="P54" s="18">
        <v>1945</v>
      </c>
      <c r="Q54" s="18">
        <v>455</v>
      </c>
      <c r="R54" s="18">
        <v>33</v>
      </c>
      <c r="S54" s="17">
        <v>20.658189109720599</v>
      </c>
      <c r="T54" s="18">
        <v>51</v>
      </c>
      <c r="U54" s="18">
        <v>1</v>
      </c>
      <c r="V54" s="17">
        <v>5.4999999999999997E-3</v>
      </c>
      <c r="W54" s="17">
        <v>20.6636891097206</v>
      </c>
      <c r="X54" s="18">
        <v>51</v>
      </c>
    </row>
    <row r="59" spans="1:24" s="37" customFormat="1" ht="14.25" x14ac:dyDescent="0.45">
      <c r="A59" s="18">
        <v>70</v>
      </c>
      <c r="B59" s="17" t="s">
        <v>1942</v>
      </c>
      <c r="C59" s="17" t="s">
        <v>1971</v>
      </c>
      <c r="D59" s="17" t="s">
        <v>1972</v>
      </c>
      <c r="E59" s="17" t="s">
        <v>1997</v>
      </c>
      <c r="F59" s="35">
        <v>35250</v>
      </c>
      <c r="G59" s="18">
        <v>26</v>
      </c>
      <c r="H59" s="17" t="s">
        <v>2367</v>
      </c>
      <c r="I59" s="36">
        <v>44515</v>
      </c>
      <c r="J59" s="17">
        <v>1.5333333333333301</v>
      </c>
      <c r="K59" s="17">
        <v>75.319999999999993</v>
      </c>
      <c r="L59" s="17">
        <v>49.121739130434797</v>
      </c>
      <c r="M59" s="17">
        <v>2.3185483870967701E-2</v>
      </c>
      <c r="N59" s="17">
        <v>1.2116239976192201E-2</v>
      </c>
      <c r="O59" s="17">
        <v>0.223677176083625</v>
      </c>
      <c r="P59" s="18">
        <v>1932</v>
      </c>
      <c r="Q59" s="18">
        <v>415</v>
      </c>
      <c r="R59" s="18">
        <v>45</v>
      </c>
      <c r="S59" s="17">
        <v>14.434182504333799</v>
      </c>
      <c r="T59" s="18">
        <v>70</v>
      </c>
      <c r="U59" s="18">
        <v>1</v>
      </c>
      <c r="V59" s="17">
        <v>5.4999999999999997E-3</v>
      </c>
      <c r="W59" s="17">
        <v>14.439682504333801</v>
      </c>
      <c r="X59" s="18">
        <v>70</v>
      </c>
    </row>
  </sheetData>
  <autoFilter ref="A1:X1" xr:uid="{00CFBF03-8D8D-410F-A846-2DBF9AAAF1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Projects &amp; Payouts by Agent</vt:lpstr>
      <vt:lpstr>Agent Demographics</vt:lpstr>
      <vt:lpstr>Full Processed Dataset</vt:lpstr>
      <vt:lpstr>Top 50 before revised</vt:lpstr>
      <vt:lpstr>Revision</vt:lpstr>
      <vt:lpstr>Top 50 after 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2022-07-05T09:03:08Z</dcterms:created>
  <dcterms:modified xsi:type="dcterms:W3CDTF">2022-08-18T12:00:07Z</dcterms:modified>
</cp:coreProperties>
</file>