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U=IR\Шаблоны\"/>
    </mc:Choice>
  </mc:AlternateContent>
  <xr:revisionPtr revIDLastSave="0" documentId="13_ncr:1_{FAC236A9-29C5-4B6C-9F00-B9A56E482BEF}" xr6:coauthVersionLast="46" xr6:coauthVersionMax="46" xr10:uidLastSave="{00000000-0000-0000-0000-000000000000}"/>
  <bookViews>
    <workbookView xWindow="2175" yWindow="-120" windowWidth="26745" windowHeight="16440" xr2:uid="{00000000-000D-0000-FFFF-FFFF00000000}"/>
  </bookViews>
  <sheets>
    <sheet name="Расчет нагрузок" sheetId="1" r:id="rId1"/>
    <sheet name="Квартиры I категории" sheetId="3" r:id="rId2"/>
    <sheet name="х" sheetId="2" state="veryHidden" r:id="rId3"/>
  </sheets>
  <definedNames>
    <definedName name="DopEl">х!$E$22:$E$23</definedName>
    <definedName name="KolKV">х!$F$13:$T$13</definedName>
    <definedName name="LetMAX">х!$E$47:$E$51</definedName>
    <definedName name="LetMAXEq">х!$E$47:$F$51</definedName>
    <definedName name="tipKV">х!$E$14:$E$19</definedName>
  </definedNames>
  <calcPr calcId="191029"/>
</workbook>
</file>

<file path=xl/calcChain.xml><?xml version="1.0" encoding="utf-8"?>
<calcChain xmlns="http://schemas.openxmlformats.org/spreadsheetml/2006/main">
  <c r="H36" i="1" l="1"/>
  <c r="J36" i="1"/>
  <c r="H37" i="1"/>
  <c r="J37" i="1"/>
  <c r="J35" i="1"/>
  <c r="H35" i="1"/>
  <c r="H52" i="3"/>
  <c r="J52" i="3" s="1"/>
  <c r="H53" i="3"/>
  <c r="J53" i="3" s="1"/>
  <c r="H54" i="3"/>
  <c r="J54" i="3" s="1"/>
  <c r="H55" i="3"/>
  <c r="J55" i="3" s="1"/>
  <c r="H56" i="3"/>
  <c r="J56" i="3" s="1"/>
  <c r="H57" i="3"/>
  <c r="J57" i="3" s="1"/>
  <c r="N10" i="1"/>
  <c r="N11" i="1"/>
  <c r="N12" i="1"/>
  <c r="S45" i="3"/>
  <c r="W45" i="3" s="1"/>
  <c r="S44" i="3"/>
  <c r="W44" i="3" s="1"/>
  <c r="S43" i="3"/>
  <c r="W43" i="3" s="1"/>
  <c r="S42" i="3"/>
  <c r="W42" i="3" s="1"/>
  <c r="S41" i="3"/>
  <c r="W41" i="3" s="1"/>
  <c r="S40" i="3"/>
  <c r="W40" i="3" s="1"/>
  <c r="S39" i="3"/>
  <c r="W39" i="3" s="1"/>
  <c r="S38" i="3"/>
  <c r="W38" i="3" s="1"/>
  <c r="S37" i="3"/>
  <c r="W37" i="3" s="1"/>
  <c r="S36" i="3"/>
  <c r="W36" i="3" s="1"/>
  <c r="S35" i="3"/>
  <c r="W35" i="3" s="1"/>
  <c r="S34" i="3"/>
  <c r="W34" i="3" s="1"/>
  <c r="S33" i="3"/>
  <c r="W33" i="3" s="1"/>
  <c r="K45" i="3"/>
  <c r="O45" i="3" s="1"/>
  <c r="K44" i="3"/>
  <c r="O44" i="3" s="1"/>
  <c r="K43" i="3"/>
  <c r="O43" i="3" s="1"/>
  <c r="K42" i="3"/>
  <c r="O42" i="3" s="1"/>
  <c r="K41" i="3"/>
  <c r="O41" i="3" s="1"/>
  <c r="K40" i="3"/>
  <c r="O40" i="3" s="1"/>
  <c r="K39" i="3"/>
  <c r="O39" i="3" s="1"/>
  <c r="K38" i="3"/>
  <c r="O38" i="3" s="1"/>
  <c r="K37" i="3"/>
  <c r="O37" i="3" s="1"/>
  <c r="K36" i="3"/>
  <c r="O36" i="3" s="1"/>
  <c r="K35" i="3"/>
  <c r="O35" i="3" s="1"/>
  <c r="K34" i="3"/>
  <c r="O34" i="3" s="1"/>
  <c r="K33" i="3"/>
  <c r="O33" i="3" s="1"/>
  <c r="C38" i="3"/>
  <c r="C45" i="3"/>
  <c r="G45" i="3" s="1"/>
  <c r="C44" i="3"/>
  <c r="G44" i="3" s="1"/>
  <c r="C43" i="3"/>
  <c r="G43" i="3" s="1"/>
  <c r="C42" i="3"/>
  <c r="G42" i="3" s="1"/>
  <c r="C41" i="3"/>
  <c r="G41" i="3" s="1"/>
  <c r="C40" i="3"/>
  <c r="G40" i="3" s="1"/>
  <c r="C39" i="3"/>
  <c r="G39" i="3" s="1"/>
  <c r="G38" i="3"/>
  <c r="C37" i="3"/>
  <c r="G37" i="3" s="1"/>
  <c r="C36" i="3"/>
  <c r="G36" i="3" s="1"/>
  <c r="C35" i="3"/>
  <c r="G35" i="3" s="1"/>
  <c r="C34" i="3"/>
  <c r="G34" i="3" s="1"/>
  <c r="C33" i="3"/>
  <c r="G33" i="3" s="1"/>
  <c r="S21" i="3"/>
  <c r="W21" i="3" s="1"/>
  <c r="S20" i="3"/>
  <c r="W20" i="3" s="1"/>
  <c r="S19" i="3"/>
  <c r="W19" i="3" s="1"/>
  <c r="S18" i="3"/>
  <c r="W18" i="3" s="1"/>
  <c r="S17" i="3"/>
  <c r="W17" i="3" s="1"/>
  <c r="S16" i="3"/>
  <c r="W16" i="3" s="1"/>
  <c r="S15" i="3"/>
  <c r="W15" i="3" s="1"/>
  <c r="S14" i="3"/>
  <c r="W14" i="3" s="1"/>
  <c r="S13" i="3"/>
  <c r="W13" i="3" s="1"/>
  <c r="S12" i="3"/>
  <c r="W12" i="3" s="1"/>
  <c r="S11" i="3"/>
  <c r="W11" i="3" s="1"/>
  <c r="S10" i="3"/>
  <c r="W10" i="3" s="1"/>
  <c r="S9" i="3"/>
  <c r="W9" i="3" s="1"/>
  <c r="K21" i="3"/>
  <c r="O21" i="3" s="1"/>
  <c r="K20" i="3"/>
  <c r="O20" i="3" s="1"/>
  <c r="K19" i="3"/>
  <c r="O19" i="3" s="1"/>
  <c r="K18" i="3"/>
  <c r="O18" i="3" s="1"/>
  <c r="K17" i="3"/>
  <c r="O17" i="3" s="1"/>
  <c r="K16" i="3"/>
  <c r="O16" i="3" s="1"/>
  <c r="K15" i="3"/>
  <c r="O15" i="3" s="1"/>
  <c r="K14" i="3"/>
  <c r="O14" i="3" s="1"/>
  <c r="K13" i="3"/>
  <c r="O13" i="3" s="1"/>
  <c r="K12" i="3"/>
  <c r="O12" i="3" s="1"/>
  <c r="K11" i="3"/>
  <c r="O11" i="3" s="1"/>
  <c r="K10" i="3"/>
  <c r="O10" i="3" s="1"/>
  <c r="K9" i="3"/>
  <c r="O9" i="3" s="1"/>
  <c r="C21" i="3"/>
  <c r="G21" i="3" s="1"/>
  <c r="C20" i="3"/>
  <c r="G20" i="3" s="1"/>
  <c r="C19" i="3"/>
  <c r="G19" i="3" s="1"/>
  <c r="C18" i="3"/>
  <c r="G18" i="3" s="1"/>
  <c r="C17" i="3"/>
  <c r="G17" i="3" s="1"/>
  <c r="C16" i="3"/>
  <c r="G16" i="3" s="1"/>
  <c r="C15" i="3"/>
  <c r="G15" i="3" s="1"/>
  <c r="C14" i="3"/>
  <c r="G14" i="3" s="1"/>
  <c r="C13" i="3"/>
  <c r="G13" i="3" s="1"/>
  <c r="C11" i="3"/>
  <c r="G11" i="3" s="1"/>
  <c r="C10" i="3"/>
  <c r="G10" i="3" s="1"/>
  <c r="C9" i="3"/>
  <c r="G9" i="3" s="1"/>
  <c r="C12" i="3"/>
  <c r="G12" i="3" s="1"/>
  <c r="M12" i="1"/>
  <c r="M11" i="1"/>
  <c r="E9" i="1"/>
  <c r="F9" i="1" s="1"/>
  <c r="B25" i="2"/>
  <c r="C25" i="2"/>
  <c r="B26" i="2"/>
  <c r="C26" i="2"/>
  <c r="B27" i="2"/>
  <c r="C27" i="2"/>
  <c r="C24" i="2"/>
  <c r="B24" i="2"/>
  <c r="C16" i="2"/>
  <c r="C17" i="2"/>
  <c r="C18" i="2"/>
  <c r="C19" i="2"/>
  <c r="C20" i="2"/>
  <c r="C21" i="2"/>
  <c r="C22" i="2"/>
  <c r="C23" i="2"/>
  <c r="C15" i="2"/>
  <c r="B16" i="2"/>
  <c r="B17" i="2"/>
  <c r="B18" i="2"/>
  <c r="B19" i="2"/>
  <c r="B20" i="2"/>
  <c r="B21" i="2"/>
  <c r="B22" i="2"/>
  <c r="B23" i="2"/>
  <c r="B15" i="2"/>
  <c r="C9" i="2"/>
  <c r="C10" i="2" s="1"/>
  <c r="C11" i="2" s="1"/>
  <c r="B9" i="2"/>
  <c r="B10" i="2" s="1"/>
  <c r="B11" i="2" s="1"/>
  <c r="W13" i="2"/>
  <c r="W15" i="2" s="1"/>
  <c r="H58" i="3" l="1"/>
  <c r="J58" i="3" s="1"/>
  <c r="W46" i="3"/>
  <c r="O46" i="3"/>
  <c r="G46" i="3"/>
  <c r="W22" i="3"/>
  <c r="O22" i="3"/>
  <c r="G22" i="3"/>
  <c r="O12" i="1"/>
  <c r="P12" i="1" s="1"/>
  <c r="W14" i="2"/>
  <c r="F19" i="1" s="1"/>
  <c r="W16" i="2"/>
  <c r="W18" i="2"/>
  <c r="W19" i="2"/>
  <c r="W17" i="2"/>
  <c r="L13" i="1"/>
  <c r="S2" i="2" s="1"/>
  <c r="M10" i="1"/>
  <c r="O10" i="1" s="1"/>
  <c r="P10" i="1" s="1"/>
  <c r="M9" i="1"/>
  <c r="M8" i="1"/>
  <c r="D10" i="1"/>
  <c r="F26" i="1" s="1"/>
  <c r="M26" i="1" s="1"/>
  <c r="E8" i="1"/>
  <c r="F8" i="1" s="1"/>
  <c r="F10" i="1" s="1"/>
  <c r="F25" i="1" l="1"/>
  <c r="O38" i="2"/>
  <c r="O39" i="2" s="1"/>
  <c r="O40" i="2" s="1"/>
  <c r="M23" i="3"/>
  <c r="P38" i="2"/>
  <c r="U47" i="3"/>
  <c r="T38" i="2"/>
  <c r="E23" i="3"/>
  <c r="M47" i="3"/>
  <c r="S38" i="2"/>
  <c r="E47" i="3"/>
  <c r="R38" i="2"/>
  <c r="U23" i="3"/>
  <c r="Q38" i="2"/>
  <c r="S3" i="2"/>
  <c r="S5" i="2"/>
  <c r="S6" i="2"/>
  <c r="S7" i="2"/>
  <c r="S8" i="2"/>
  <c r="S4" i="2"/>
  <c r="M13" i="1"/>
  <c r="N9" i="1" s="1"/>
  <c r="E10" i="1"/>
  <c r="F20" i="1" s="1"/>
  <c r="M20" i="1" s="1"/>
  <c r="K37" i="1" l="1"/>
  <c r="T39" i="2"/>
  <c r="R39" i="2"/>
  <c r="P39" i="2"/>
  <c r="P40" i="2" s="1"/>
  <c r="K35" i="1" s="1"/>
  <c r="Q39" i="2"/>
  <c r="Q40" i="2" s="1"/>
  <c r="S39" i="2"/>
  <c r="S40" i="2" s="1"/>
  <c r="N8" i="1"/>
  <c r="O8" i="1" s="1"/>
  <c r="P8" i="1" s="1"/>
  <c r="O9" i="1"/>
  <c r="P9" i="1" s="1"/>
  <c r="O11" i="1"/>
  <c r="P11" i="1" s="1"/>
  <c r="K36" i="1" l="1"/>
  <c r="L36" i="1" s="1"/>
  <c r="L37" i="1"/>
  <c r="R40" i="2"/>
  <c r="T40" i="2"/>
  <c r="P13" i="1"/>
  <c r="F27" i="1" s="1"/>
  <c r="O13" i="1"/>
  <c r="F21" i="1" s="1"/>
  <c r="M37" i="1" l="1"/>
  <c r="M36" i="1"/>
  <c r="L35" i="1"/>
  <c r="I55" i="3"/>
  <c r="K55" i="3" s="1"/>
  <c r="L55" i="3" s="1"/>
  <c r="M55" i="3" s="1"/>
  <c r="I54" i="3"/>
  <c r="K54" i="3" s="1"/>
  <c r="L54" i="3" s="1"/>
  <c r="M54" i="3" s="1"/>
  <c r="I56" i="3"/>
  <c r="K56" i="3" s="1"/>
  <c r="L56" i="3" s="1"/>
  <c r="M56" i="3" s="1"/>
  <c r="I57" i="3"/>
  <c r="K57" i="3" s="1"/>
  <c r="L57" i="3" s="1"/>
  <c r="M57" i="3" s="1"/>
  <c r="I53" i="3"/>
  <c r="K53" i="3" s="1"/>
  <c r="L53" i="3" s="1"/>
  <c r="M53" i="3" s="1"/>
  <c r="I52" i="3"/>
  <c r="K52" i="3" s="1"/>
  <c r="L52" i="3" s="1"/>
  <c r="M52" i="3" s="1"/>
  <c r="F28" i="1"/>
  <c r="F30" i="1" s="1"/>
  <c r="M27" i="1"/>
  <c r="O36" i="1" s="1"/>
  <c r="P36" i="1" s="1"/>
  <c r="F22" i="1"/>
  <c r="M21" i="1"/>
  <c r="N36" i="1" s="1"/>
  <c r="N35" i="1" l="1"/>
  <c r="N37" i="1"/>
  <c r="O37" i="1"/>
  <c r="P37" i="1" s="1"/>
  <c r="M35" i="1"/>
  <c r="O35" i="1"/>
  <c r="P35" i="1" s="1"/>
  <c r="I58" i="3"/>
  <c r="K58" i="3" s="1"/>
  <c r="L58" i="3" s="1"/>
  <c r="M58" i="3" s="1"/>
  <c r="M19" i="1" l="1"/>
  <c r="M25" i="1" s="1"/>
  <c r="M28" i="1" s="1"/>
  <c r="M30" i="1" s="1"/>
  <c r="M22" i="1" l="1"/>
</calcChain>
</file>

<file path=xl/sharedStrings.xml><?xml version="1.0" encoding="utf-8"?>
<sst xmlns="http://schemas.openxmlformats.org/spreadsheetml/2006/main" count="328" uniqueCount="154">
  <si>
    <t>Лифт 1</t>
  </si>
  <si>
    <t>№</t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</si>
  <si>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уст</t>
    </r>
    <r>
      <rPr>
        <sz val="11"/>
        <color theme="1"/>
        <rFont val="Calibri"/>
        <family val="2"/>
        <charset val="204"/>
        <scheme val="minor"/>
      </rPr>
      <t>, кВт</t>
    </r>
  </si>
  <si>
    <t>cosφ</t>
  </si>
  <si>
    <t>Кол-во</t>
  </si>
  <si>
    <t>Количество квартир</t>
  </si>
  <si>
    <t>Количество этажей</t>
  </si>
  <si>
    <t>Число лифтовых установок</t>
  </si>
  <si>
    <r>
      <t>К</t>
    </r>
    <r>
      <rPr>
        <vertAlign val="subscript"/>
        <sz val="10"/>
        <color theme="1"/>
        <rFont val="Times New Roman"/>
        <family val="1"/>
        <charset val="204"/>
      </rPr>
      <t>сл</t>
    </r>
    <r>
      <rPr>
        <sz val="10"/>
        <color theme="1"/>
        <rFont val="Times New Roman"/>
        <family val="1"/>
        <charset val="204"/>
      </rPr>
      <t xml:space="preserve"> для домов высотой, этажей</t>
    </r>
  </si>
  <si>
    <t>До 12</t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</si>
  <si>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кВт</t>
    </r>
  </si>
  <si>
    <t>Лифтовые установки</t>
  </si>
  <si>
    <t>Итого</t>
  </si>
  <si>
    <t>Удельный вес установленной мощности работающего сантехнического и холодильного оборудования, включая системы кондиционирования воздуха в общей установленной мощности работающих Силовых электроприемников, %</t>
  </si>
  <si>
    <t>100-85</t>
  </si>
  <si>
    <t>84-75</t>
  </si>
  <si>
    <t>74-50</t>
  </si>
  <si>
    <t>49-25</t>
  </si>
  <si>
    <t>24 и менее</t>
  </si>
  <si>
    <t>Кс при числе электроприемников</t>
  </si>
  <si>
    <t>100-85 (более 30 кВт)</t>
  </si>
  <si>
    <r>
      <t>Р</t>
    </r>
    <r>
      <rPr>
        <b/>
        <vertAlign val="subscript"/>
        <sz val="11"/>
        <color theme="1"/>
        <rFont val="Calibri"/>
        <family val="2"/>
        <charset val="204"/>
        <scheme val="minor"/>
      </rPr>
      <t>уст</t>
    </r>
    <r>
      <rPr>
        <b/>
        <sz val="11"/>
        <color theme="1"/>
        <rFont val="Calibri"/>
        <family val="2"/>
        <charset val="204"/>
        <scheme val="minor"/>
      </rPr>
      <t>, кВт</t>
    </r>
  </si>
  <si>
    <t>Силовое оборудование</t>
  </si>
  <si>
    <t>Тип оборудования</t>
  </si>
  <si>
    <t>Сантехническое</t>
  </si>
  <si>
    <t>Холодильное</t>
  </si>
  <si>
    <t>Дымоудаление</t>
  </si>
  <si>
    <t>Потребитель 1</t>
  </si>
  <si>
    <t>Потребитель 2</t>
  </si>
  <si>
    <t>Потребитель 3</t>
  </si>
  <si>
    <t>Потребители</t>
  </si>
  <si>
    <t>электроэнергии</t>
  </si>
  <si>
    <t>Удельная расчетная электрическая нагрузка при количестве квартир</t>
  </si>
  <si>
    <t>Летние домики на участках садовых товариществ</t>
  </si>
  <si>
    <t>Квартиры с плитами на природном газе</t>
  </si>
  <si>
    <t>СП</t>
  </si>
  <si>
    <t>РД</t>
  </si>
  <si>
    <t xml:space="preserve">Квартиры повышенной комфортности с электрическими плитами мощностью до 10,5 кВт </t>
  </si>
  <si>
    <t>По квартирным нагрузкам</t>
  </si>
  <si>
    <t>По лифтовым нагрузкам</t>
  </si>
  <si>
    <t>По силовому оборудованию</t>
  </si>
  <si>
    <t>По дому всего</t>
  </si>
  <si>
    <t>Тип квартиры</t>
  </si>
  <si>
    <t>12 и более</t>
  </si>
  <si>
    <t>Лифт 2</t>
  </si>
  <si>
    <t>Плиты на сжиженном газе (в том числе при групповых установках и на твердом топливе)</t>
  </si>
  <si>
    <t>Плиты электрические, мощностью 8,5 кВт (СП 31-110-2003)</t>
  </si>
  <si>
    <t>Плиты электрические, мощностью 8,5 кВт (РД 34.20.185-94)</t>
  </si>
  <si>
    <t>Kc</t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</si>
  <si>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Σуст</t>
    </r>
    <r>
      <rPr>
        <sz val="11"/>
        <color theme="1"/>
        <rFont val="Calibri"/>
        <family val="2"/>
        <charset val="204"/>
        <scheme val="minor"/>
      </rPr>
      <t>, кВт</t>
    </r>
  </si>
  <si>
    <t>Потребитель 4</t>
  </si>
  <si>
    <t>Потребитель 5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</si>
  <si>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кВА</t>
    </r>
  </si>
  <si>
    <t>Пожарные системы</t>
  </si>
  <si>
    <t>Расчетная электрическая нагрузка квартир</t>
  </si>
  <si>
    <t>Расчетная электрическая нагрузка лифтов</t>
  </si>
  <si>
    <t>Расчетная электрическая нагрузка силового оборудования</t>
  </si>
  <si>
    <t>Полная расчетная нагрузка дома</t>
  </si>
  <si>
    <t>Расчетные нагрузки [кВт]:</t>
  </si>
  <si>
    <t>Полные нагрузки [кВА]:</t>
  </si>
  <si>
    <t>Расчетный ток на вводе в здание, [А]</t>
  </si>
  <si>
    <t>При наличии бытовых кондиционеров</t>
  </si>
  <si>
    <t>Без дополнительных электроприемников</t>
  </si>
  <si>
    <t>Типовая квартира №1</t>
  </si>
  <si>
    <r>
      <t>Общая площадь,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</si>
  <si>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Расчет по установленной мощности</t>
  </si>
  <si>
    <t>Перечень электроприемников квартиры</t>
  </si>
  <si>
    <r>
      <t>Освещение [Вт/м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]</t>
    </r>
  </si>
  <si>
    <r>
      <t>Бытовые электроприборы [Вт/м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]</t>
    </r>
  </si>
  <si>
    <t>Электроплита [кВт]</t>
  </si>
  <si>
    <t>Заявленная мощность, [кВт]</t>
  </si>
  <si>
    <t>Стиральная машина [кВт]</t>
  </si>
  <si>
    <t>Посудомоечная машина [кВт]</t>
  </si>
  <si>
    <t>Сауны [кВт]</t>
  </si>
  <si>
    <t>Джакузи с подогревом [кВт]</t>
  </si>
  <si>
    <t>Душевая кабина с подогревом [кВт]</t>
  </si>
  <si>
    <t>Водонагреватели аккумуляционные [кВт]</t>
  </si>
  <si>
    <t>Водонагреватели проточные [кВт]</t>
  </si>
  <si>
    <t>Кондиционер [кВт]</t>
  </si>
  <si>
    <t>Наименование электроприемника</t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</si>
  <si>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Σуст</t>
    </r>
    <r>
      <rPr>
        <sz val="11"/>
        <color theme="1"/>
        <rFont val="Calibri"/>
        <family val="2"/>
        <charset val="204"/>
        <scheme val="minor"/>
      </rPr>
      <t>, кВт</t>
    </r>
  </si>
  <si>
    <t>-</t>
  </si>
  <si>
    <t>Кухонные электроприборы [кВт]</t>
  </si>
  <si>
    <r>
      <t>Теплые полы [Вт/м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]</t>
    </r>
  </si>
  <si>
    <r>
      <t>Площадь теплого пола,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</si>
  <si>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Общая установленная (заявленная) мощность квартиры, [кВт]</t>
  </si>
  <si>
    <t>Ввод в квартирный щиток</t>
  </si>
  <si>
    <t>Типовая квартира №2</t>
  </si>
  <si>
    <t>Типовая квартира №3</t>
  </si>
  <si>
    <t>Типовая квартира №4</t>
  </si>
  <si>
    <t>Типовая квартира №5</t>
  </si>
  <si>
    <t>Типовая квартира №6</t>
  </si>
  <si>
    <t>Квартира 1</t>
  </si>
  <si>
    <t>Квартира 2</t>
  </si>
  <si>
    <t>Квартира 3</t>
  </si>
  <si>
    <t>Квартира 4</t>
  </si>
  <si>
    <t>Квартира 5</t>
  </si>
  <si>
    <t>Квартира 6</t>
  </si>
  <si>
    <t>Заявленная мощность, кВт</t>
  </si>
  <si>
    <t>до 14</t>
  </si>
  <si>
    <t>70 и более</t>
  </si>
  <si>
    <t>Коэффициент спроса</t>
  </si>
  <si>
    <t>Характеристика</t>
  </si>
  <si>
    <r>
      <t>К</t>
    </r>
    <r>
      <rPr>
        <vertAlign val="subscript"/>
        <sz val="10"/>
        <color theme="1"/>
        <rFont val="Times New Roman"/>
        <family val="1"/>
        <charset val="204"/>
      </rPr>
      <t>о</t>
    </r>
    <r>
      <rPr>
        <sz val="10"/>
        <color theme="1"/>
        <rFont val="Times New Roman"/>
        <family val="1"/>
        <charset val="204"/>
      </rPr>
      <t xml:space="preserve"> при числе квартир</t>
    </r>
  </si>
  <si>
    <t>квартир</t>
  </si>
  <si>
    <t>С плитами на газе</t>
  </si>
  <si>
    <t>С электроплитами</t>
  </si>
  <si>
    <t>Pр.кв=</t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</si>
  <si>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уст</t>
    </r>
  </si>
  <si>
    <t>Итоговый расчет по удельной мощности</t>
  </si>
  <si>
    <t>Ввод 1</t>
  </si>
  <si>
    <t>Ввод 2</t>
  </si>
  <si>
    <t>Ввод 3</t>
  </si>
  <si>
    <t>Ввод 4</t>
  </si>
  <si>
    <t>Ввод 5</t>
  </si>
  <si>
    <t>Ввод 6</t>
  </si>
  <si>
    <t>Тип 1</t>
  </si>
  <si>
    <t>Тип 2</t>
  </si>
  <si>
    <t>Тип 3</t>
  </si>
  <si>
    <t>Тип 4</t>
  </si>
  <si>
    <t>Тип 5</t>
  </si>
  <si>
    <t>Тип 6</t>
  </si>
  <si>
    <t>Количество на ввод</t>
  </si>
  <si>
    <t>Σ</t>
  </si>
  <si>
    <r>
      <t>К</t>
    </r>
    <r>
      <rPr>
        <b/>
        <vertAlign val="subscript"/>
        <sz val="12"/>
        <color theme="1"/>
        <rFont val="Times New Roman"/>
        <family val="1"/>
        <charset val="204"/>
      </rPr>
      <t>0</t>
    </r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</si>
  <si>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р.кв</t>
    </r>
    <r>
      <rPr>
        <sz val="11"/>
        <color theme="1"/>
        <rFont val="Calibri"/>
        <family val="2"/>
        <charset val="204"/>
        <scheme val="minor"/>
      </rPr>
      <t>, кВт</t>
    </r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</si>
  <si>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кв</t>
    </r>
    <r>
      <rPr>
        <sz val="11"/>
        <color theme="1"/>
        <rFont val="Calibri"/>
        <family val="2"/>
        <charset val="204"/>
        <scheme val="minor"/>
      </rPr>
      <t>, кВт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</si>
  <si>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А</t>
    </r>
  </si>
  <si>
    <t>Расчет нагрузок с учетом топологии распределения квартирных стояков по вводно-распределительным устройствам здания</t>
  </si>
  <si>
    <t>Итоговый расчет по установленной мощности (квартиры I категории)</t>
  </si>
  <si>
    <t>Расчет суммарной мощности при одновременном присоединении квартир I и II категории к узлу нагрузки</t>
  </si>
  <si>
    <t>Квартиры I категории</t>
  </si>
  <si>
    <t>Расчетный узел 1</t>
  </si>
  <si>
    <r>
      <t>К</t>
    </r>
    <r>
      <rPr>
        <b/>
        <vertAlign val="subscript"/>
        <sz val="12"/>
        <color theme="1"/>
        <rFont val="Calibri"/>
        <family val="2"/>
        <charset val="204"/>
        <scheme val="minor"/>
      </rPr>
      <t>0</t>
    </r>
  </si>
  <si>
    <t>Квартиры II категории</t>
  </si>
  <si>
    <t>Кол-во квартир</t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</si>
  <si>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Σ(I+II)</t>
    </r>
    <r>
      <rPr>
        <sz val="11"/>
        <color theme="1"/>
        <rFont val="Calibri"/>
        <family val="2"/>
        <charset val="204"/>
        <scheme val="minor"/>
      </rPr>
      <t>, кВт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</si>
  <si>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Σ(I+II)</t>
    </r>
    <r>
      <rPr>
        <sz val="11"/>
        <color theme="1"/>
        <rFont val="Calibri"/>
        <family val="2"/>
        <charset val="204"/>
        <scheme val="minor"/>
      </rPr>
      <t>, A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</si>
  <si>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Σ(I+II)</t>
    </r>
    <r>
      <rPr>
        <sz val="11"/>
        <color theme="1"/>
        <rFont val="Calibri"/>
        <family val="2"/>
        <charset val="204"/>
        <scheme val="minor"/>
      </rPr>
      <t>, кВт</t>
    </r>
  </si>
  <si>
    <t xml:space="preserve">Расчетные параметры </t>
  </si>
  <si>
    <t>С учетом силового оборудования</t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</si>
  <si>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Σ(I+II+c)</t>
    </r>
    <r>
      <rPr>
        <sz val="11"/>
        <color theme="1"/>
        <rFont val="Calibri"/>
        <family val="2"/>
        <charset val="204"/>
        <scheme val="minor"/>
      </rPr>
      <t>, кВт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</si>
  <si>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Σ(I+II+c)</t>
    </r>
    <r>
      <rPr>
        <sz val="11"/>
        <color theme="1"/>
        <rFont val="Calibri"/>
        <family val="2"/>
        <charset val="204"/>
        <scheme val="minor"/>
      </rPr>
      <t>, кВт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</si>
  <si>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Σ(I+II+c)</t>
    </r>
    <r>
      <rPr>
        <sz val="11"/>
        <color theme="1"/>
        <rFont val="Calibri"/>
        <family val="2"/>
        <charset val="204"/>
        <scheme val="minor"/>
      </rPr>
      <t>, A</t>
    </r>
  </si>
  <si>
    <t>Расчетный узел 2</t>
  </si>
  <si>
    <r>
      <t>Р</t>
    </r>
    <r>
      <rPr>
        <vertAlign val="subscript"/>
        <sz val="11"/>
        <color theme="1"/>
        <rFont val="Calibri"/>
        <family val="2"/>
        <charset val="204"/>
        <scheme val="minor"/>
      </rPr>
      <t>уд</t>
    </r>
    <r>
      <rPr>
        <sz val="11"/>
        <color theme="1"/>
        <rFont val="Calibri"/>
        <family val="2"/>
        <charset val="204"/>
        <scheme val="minor"/>
      </rPr>
      <t>,
кВт/кв</t>
    </r>
  </si>
  <si>
    <t xml:space="preserve"> </t>
  </si>
  <si>
    <t>Расчетный узел 3</t>
  </si>
  <si>
    <t>1-2 этажа при температуре 33-37 °С</t>
  </si>
  <si>
    <t>3 этажа и более при температуре 33-37 °С</t>
  </si>
  <si>
    <t xml:space="preserve">1-2 этажа при температуре свыше 37 °С </t>
  </si>
  <si>
    <t>Не учитывать</t>
  </si>
  <si>
    <t>Учитывать в нагрузке квартир летний максимум (РД 34.20.185-94 п.2.1.8)</t>
  </si>
  <si>
    <t>3 этажа и более при температуре свыше 37 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</si>
</sst>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bscript"/>
      <sz val="12"/>
      <color theme="1"/>
      <name val="Calibri"/>
      <family val="2"/>
      <charset val="204"/>
      <scheme val="minor"/>
    </font>
    <font>
      <sz val="10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Border="1"/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9" xfId="0" applyNumberForma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Alignment="1"/>
    <xf numFmtId="0" fontId="3" fillId="0" borderId="8" xfId="0" applyFont="1" applyBorder="1" applyAlignment="1">
      <alignment horizontal="center" vertical="top" wrapText="1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top" wrapText="1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1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45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47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91">
    <dxf>
      <numFmt numFmtId="2" formatCode="0.00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top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relativeIndent="0" justifyLastLine="0" shrinkToFit="0" readingOrder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х!$H$24" horiz="1" max="60" min="50" page="10" val="50"/>
</file>

<file path=xl/ctrlProps/ctrlProp10.xml><?xml version="1.0" encoding="utf-8"?>
<formControlPr xmlns="http://schemas.microsoft.com/office/spreadsheetml/2009/9/main" objectType="Scroll" dx="16" fmlaLink="х!$H$29" horiz="1" max="24" min="8" page="10" val="13"/>
</file>

<file path=xl/ctrlProps/ctrlProp100.xml><?xml version="1.0" encoding="utf-8"?>
<formControlPr xmlns="http://schemas.microsoft.com/office/spreadsheetml/2009/9/main" objectType="Scroll" dx="16" fmlaLink="х!$P$33" horiz="1" max="180" min="50" page="10" val="74"/>
</file>

<file path=xl/ctrlProps/ctrlProp101.xml><?xml version="1.0" encoding="utf-8"?>
<formControlPr xmlns="http://schemas.microsoft.com/office/spreadsheetml/2009/9/main" objectType="CheckBox" fmlaLink="х!$P$34" lockText="1"/>
</file>

<file path=xl/ctrlProps/ctrlProp102.xml><?xml version="1.0" encoding="utf-8"?>
<formControlPr xmlns="http://schemas.microsoft.com/office/spreadsheetml/2009/9/main" objectType="CheckBox" fmlaLink="х!$O$35" lockText="1"/>
</file>

<file path=xl/ctrlProps/ctrlProp103.xml><?xml version="1.0" encoding="utf-8"?>
<formControlPr xmlns="http://schemas.microsoft.com/office/spreadsheetml/2009/9/main" objectType="Scroll" dx="16" fmlaLink="х!$P$35" horiz="1" max="50" min="40" page="10" val="41"/>
</file>

<file path=xl/ctrlProps/ctrlProp104.xml><?xml version="1.0" encoding="utf-8"?>
<formControlPr xmlns="http://schemas.microsoft.com/office/spreadsheetml/2009/9/main" objectType="CheckBox" fmlaLink="х!$O$36" lockText="1"/>
</file>

<file path=xl/ctrlProps/ctrlProp105.xml><?xml version="1.0" encoding="utf-8"?>
<formControlPr xmlns="http://schemas.microsoft.com/office/spreadsheetml/2009/9/main" objectType="Scroll" dx="16" fmlaLink="х!$P$36" horiz="1" max="80" min="60" page="10" val="62"/>
</file>

<file path=xl/ctrlProps/ctrlProp106.xml><?xml version="1.0" encoding="utf-8"?>
<formControlPr xmlns="http://schemas.microsoft.com/office/spreadsheetml/2009/9/main" objectType="Scroll" dx="16" fmlaLink="х!$R$24" horiz="1" max="60" min="50" page="10" val="50"/>
</file>

<file path=xl/ctrlProps/ctrlProp107.xml><?xml version="1.0" encoding="utf-8"?>
<formControlPr xmlns="http://schemas.microsoft.com/office/spreadsheetml/2009/9/main" objectType="Scroll" dx="16" fmlaLink="х!$R$25" horiz="1" max="60" min="50" page="10" val="50"/>
</file>

<file path=xl/ctrlProps/ctrlProp108.xml><?xml version="1.0" encoding="utf-8"?>
<formControlPr xmlns="http://schemas.microsoft.com/office/spreadsheetml/2009/9/main" objectType="Scroll" dx="16" fmlaLink="х!$R$26" horiz="1" max="42" min="32" page="10" val="35"/>
</file>

<file path=xl/ctrlProps/ctrlProp109.xml><?xml version="1.0" encoding="utf-8"?>
<formControlPr xmlns="http://schemas.microsoft.com/office/spreadsheetml/2009/9/main" objectType="CheckBox" fmlaLink="х!$R$27" lockText="1"/>
</file>

<file path=xl/ctrlProps/ctrlProp11.xml><?xml version="1.0" encoding="utf-8"?>
<formControlPr xmlns="http://schemas.microsoft.com/office/spreadsheetml/2009/9/main" objectType="CheckBox" fmlaLink="х!$H$30" lockText="1"/>
</file>

<file path=xl/ctrlProps/ctrlProp110.xml><?xml version="1.0" encoding="utf-8"?>
<formControlPr xmlns="http://schemas.microsoft.com/office/spreadsheetml/2009/9/main" objectType="CheckBox" fmlaLink="х!$Q$26" lockText="1"/>
</file>

<file path=xl/ctrlProps/ctrlProp111.xml><?xml version="1.0" encoding="utf-8"?>
<formControlPr xmlns="http://schemas.microsoft.com/office/spreadsheetml/2009/9/main" objectType="CheckBox" fmlaLink="х!$Q$25" lockText="1"/>
</file>

<file path=xl/ctrlProps/ctrlProp112.xml><?xml version="1.0" encoding="utf-8"?>
<formControlPr xmlns="http://schemas.microsoft.com/office/spreadsheetml/2009/9/main" objectType="CheckBox" fmlaLink="х!$Q$24" lockText="1"/>
</file>

<file path=xl/ctrlProps/ctrlProp113.xml><?xml version="1.0" encoding="utf-8"?>
<formControlPr xmlns="http://schemas.microsoft.com/office/spreadsheetml/2009/9/main" objectType="CheckBox" fmlaLink="х!$R$28" lockText="1"/>
</file>

<file path=xl/ctrlProps/ctrlProp114.xml><?xml version="1.0" encoding="utf-8"?>
<formControlPr xmlns="http://schemas.microsoft.com/office/spreadsheetml/2009/9/main" objectType="CheckBox" fmlaLink="х!$Q$29" lockText="1"/>
</file>

<file path=xl/ctrlProps/ctrlProp115.xml><?xml version="1.0" encoding="utf-8"?>
<formControlPr xmlns="http://schemas.microsoft.com/office/spreadsheetml/2009/9/main" objectType="Scroll" dx="16" fmlaLink="х!$R$29" horiz="1" max="24" min="8" page="10" val="8"/>
</file>

<file path=xl/ctrlProps/ctrlProp116.xml><?xml version="1.0" encoding="utf-8"?>
<formControlPr xmlns="http://schemas.microsoft.com/office/spreadsheetml/2009/9/main" objectType="CheckBox" fmlaLink="х!$R$30" lockText="1"/>
</file>

<file path=xl/ctrlProps/ctrlProp117.xml><?xml version="1.0" encoding="utf-8"?>
<formControlPr xmlns="http://schemas.microsoft.com/office/spreadsheetml/2009/9/main" objectType="CheckBox" fmlaLink="х!$R$31" lockText="1"/>
</file>

<file path=xl/ctrlProps/ctrlProp118.xml><?xml version="1.0" encoding="utf-8"?>
<formControlPr xmlns="http://schemas.microsoft.com/office/spreadsheetml/2009/9/main" objectType="CheckBox" fmlaLink="х!$Q$32" lockText="1"/>
</file>

<file path=xl/ctrlProps/ctrlProp119.xml><?xml version="1.0" encoding="utf-8"?>
<formControlPr xmlns="http://schemas.microsoft.com/office/spreadsheetml/2009/9/main" objectType="Scroll" dx="16" fmlaLink="х!$R$32" horiz="1" max="20" min="15" page="10" val="15"/>
</file>

<file path=xl/ctrlProps/ctrlProp12.xml><?xml version="1.0" encoding="utf-8"?>
<formControlPr xmlns="http://schemas.microsoft.com/office/spreadsheetml/2009/9/main" objectType="CheckBox" fmlaLink="х!$H$31" lockText="1"/>
</file>

<file path=xl/ctrlProps/ctrlProp120.xml><?xml version="1.0" encoding="utf-8"?>
<formControlPr xmlns="http://schemas.microsoft.com/office/spreadsheetml/2009/9/main" objectType="CheckBox" fmlaLink="х!$Q$33" lockText="1"/>
</file>

<file path=xl/ctrlProps/ctrlProp121.xml><?xml version="1.0" encoding="utf-8"?>
<formControlPr xmlns="http://schemas.microsoft.com/office/spreadsheetml/2009/9/main" objectType="Scroll" dx="16" fmlaLink="х!$R$33" horiz="1" max="180" min="50" page="10" val="74"/>
</file>

<file path=xl/ctrlProps/ctrlProp122.xml><?xml version="1.0" encoding="utf-8"?>
<formControlPr xmlns="http://schemas.microsoft.com/office/spreadsheetml/2009/9/main" objectType="CheckBox" fmlaLink="х!$R$34" lockText="1"/>
</file>

<file path=xl/ctrlProps/ctrlProp123.xml><?xml version="1.0" encoding="utf-8"?>
<formControlPr xmlns="http://schemas.microsoft.com/office/spreadsheetml/2009/9/main" objectType="CheckBox" fmlaLink="х!$Q$35" lockText="1"/>
</file>

<file path=xl/ctrlProps/ctrlProp124.xml><?xml version="1.0" encoding="utf-8"?>
<formControlPr xmlns="http://schemas.microsoft.com/office/spreadsheetml/2009/9/main" objectType="Scroll" dx="16" fmlaLink="х!$R$35" horiz="1" max="50" min="40" page="10" val="40"/>
</file>

<file path=xl/ctrlProps/ctrlProp125.xml><?xml version="1.0" encoding="utf-8"?>
<formControlPr xmlns="http://schemas.microsoft.com/office/spreadsheetml/2009/9/main" objectType="CheckBox" fmlaLink="х!$Q$36" lockText="1"/>
</file>

<file path=xl/ctrlProps/ctrlProp126.xml><?xml version="1.0" encoding="utf-8"?>
<formControlPr xmlns="http://schemas.microsoft.com/office/spreadsheetml/2009/9/main" objectType="Scroll" dx="16" fmlaLink="х!$R$36" horiz="1" max="80" min="60" page="10" val="60"/>
</file>

<file path=xl/ctrlProps/ctrlProp13.xml><?xml version="1.0" encoding="utf-8"?>
<formControlPr xmlns="http://schemas.microsoft.com/office/spreadsheetml/2009/9/main" objectType="CheckBox" fmlaLink="х!$G$32" lockText="1"/>
</file>

<file path=xl/ctrlProps/ctrlProp14.xml><?xml version="1.0" encoding="utf-8"?>
<formControlPr xmlns="http://schemas.microsoft.com/office/spreadsheetml/2009/9/main" objectType="Scroll" dx="16" fmlaLink="х!$H$32" horiz="1" max="20" min="15" page="10" val="16"/>
</file>

<file path=xl/ctrlProps/ctrlProp15.xml><?xml version="1.0" encoding="utf-8"?>
<formControlPr xmlns="http://schemas.microsoft.com/office/spreadsheetml/2009/9/main" objectType="CheckBox" fmlaLink="х!$G$33" lockText="1"/>
</file>

<file path=xl/ctrlProps/ctrlProp16.xml><?xml version="1.0" encoding="utf-8"?>
<formControlPr xmlns="http://schemas.microsoft.com/office/spreadsheetml/2009/9/main" objectType="Scroll" dx="16" fmlaLink="х!$H$33" horiz="1" max="180" min="50" page="10" val="106"/>
</file>

<file path=xl/ctrlProps/ctrlProp17.xml><?xml version="1.0" encoding="utf-8"?>
<formControlPr xmlns="http://schemas.microsoft.com/office/spreadsheetml/2009/9/main" objectType="CheckBox" fmlaLink="х!$H$34" lockText="1"/>
</file>

<file path=xl/ctrlProps/ctrlProp18.xml><?xml version="1.0" encoding="utf-8"?>
<formControlPr xmlns="http://schemas.microsoft.com/office/spreadsheetml/2009/9/main" objectType="CheckBox" fmlaLink="х!$G$35" lockText="1"/>
</file>

<file path=xl/ctrlProps/ctrlProp19.xml><?xml version="1.0" encoding="utf-8"?>
<formControlPr xmlns="http://schemas.microsoft.com/office/spreadsheetml/2009/9/main" objectType="Scroll" dx="16" fmlaLink="х!$H$35" horiz="1" max="50" min="40" page="10" val="45"/>
</file>

<file path=xl/ctrlProps/ctrlProp2.xml><?xml version="1.0" encoding="utf-8"?>
<formControlPr xmlns="http://schemas.microsoft.com/office/spreadsheetml/2009/9/main" objectType="Scroll" dx="16" fmlaLink="х!$H$25" horiz="1" max="60" min="50" page="10" val="53"/>
</file>

<file path=xl/ctrlProps/ctrlProp20.xml><?xml version="1.0" encoding="utf-8"?>
<formControlPr xmlns="http://schemas.microsoft.com/office/spreadsheetml/2009/9/main" objectType="CheckBox" fmlaLink="х!$G$36" lockText="1"/>
</file>

<file path=xl/ctrlProps/ctrlProp21.xml><?xml version="1.0" encoding="utf-8"?>
<formControlPr xmlns="http://schemas.microsoft.com/office/spreadsheetml/2009/9/main" objectType="Scroll" dx="16" fmlaLink="х!$H$36" horiz="1" max="80" min="60" page="10" val="72"/>
</file>

<file path=xl/ctrlProps/ctrlProp22.xml><?xml version="1.0" encoding="utf-8"?>
<formControlPr xmlns="http://schemas.microsoft.com/office/spreadsheetml/2009/9/main" objectType="Scroll" dx="16" fmlaLink="х!$J$24" horiz="1" max="60" min="50" page="10" val="53"/>
</file>

<file path=xl/ctrlProps/ctrlProp23.xml><?xml version="1.0" encoding="utf-8"?>
<formControlPr xmlns="http://schemas.microsoft.com/office/spreadsheetml/2009/9/main" objectType="Scroll" dx="16" fmlaLink="х!$J$25" horiz="1" max="60" min="50" page="10" val="53"/>
</file>

<file path=xl/ctrlProps/ctrlProp24.xml><?xml version="1.0" encoding="utf-8"?>
<formControlPr xmlns="http://schemas.microsoft.com/office/spreadsheetml/2009/9/main" objectType="Scroll" dx="16" fmlaLink="х!$J$26" horiz="1" max="42" min="32" page="10" val="35"/>
</file>

<file path=xl/ctrlProps/ctrlProp25.xml><?xml version="1.0" encoding="utf-8"?>
<formControlPr xmlns="http://schemas.microsoft.com/office/spreadsheetml/2009/9/main" objectType="CheckBox" fmlaLink="х!$J$27" lockText="1"/>
</file>

<file path=xl/ctrlProps/ctrlProp26.xml><?xml version="1.0" encoding="utf-8"?>
<formControlPr xmlns="http://schemas.microsoft.com/office/spreadsheetml/2009/9/main" objectType="CheckBox" fmlaLink="х!$I$26" lockText="1"/>
</file>

<file path=xl/ctrlProps/ctrlProp27.xml><?xml version="1.0" encoding="utf-8"?>
<formControlPr xmlns="http://schemas.microsoft.com/office/spreadsheetml/2009/9/main" objectType="CheckBox" fmlaLink="х!$I$25" lockText="1"/>
</file>

<file path=xl/ctrlProps/ctrlProp28.xml><?xml version="1.0" encoding="utf-8"?>
<formControlPr xmlns="http://schemas.microsoft.com/office/spreadsheetml/2009/9/main" objectType="CheckBox" fmlaLink="х!$I$24" lockText="1"/>
</file>

<file path=xl/ctrlProps/ctrlProp29.xml><?xml version="1.0" encoding="utf-8"?>
<formControlPr xmlns="http://schemas.microsoft.com/office/spreadsheetml/2009/9/main" objectType="CheckBox" fmlaLink="х!$J$28" lockText="1"/>
</file>

<file path=xl/ctrlProps/ctrlProp3.xml><?xml version="1.0" encoding="utf-8"?>
<formControlPr xmlns="http://schemas.microsoft.com/office/spreadsheetml/2009/9/main" objectType="Scroll" dx="16" fmlaLink="х!$H$26" horiz="1" max="42" min="32" page="10" val="34"/>
</file>

<file path=xl/ctrlProps/ctrlProp30.xml><?xml version="1.0" encoding="utf-8"?>
<formControlPr xmlns="http://schemas.microsoft.com/office/spreadsheetml/2009/9/main" objectType="CheckBox" fmlaLink="х!$I$29" lockText="1"/>
</file>

<file path=xl/ctrlProps/ctrlProp31.xml><?xml version="1.0" encoding="utf-8"?>
<formControlPr xmlns="http://schemas.microsoft.com/office/spreadsheetml/2009/9/main" objectType="Scroll" dx="16" fmlaLink="х!$J$29" horiz="1" max="24" min="8" page="10" val="13"/>
</file>

<file path=xl/ctrlProps/ctrlProp32.xml><?xml version="1.0" encoding="utf-8"?>
<formControlPr xmlns="http://schemas.microsoft.com/office/spreadsheetml/2009/9/main" objectType="CheckBox" fmlaLink="х!$J$30" lockText="1"/>
</file>

<file path=xl/ctrlProps/ctrlProp33.xml><?xml version="1.0" encoding="utf-8"?>
<formControlPr xmlns="http://schemas.microsoft.com/office/spreadsheetml/2009/9/main" objectType="CheckBox" fmlaLink="х!$J$31" lockText="1"/>
</file>

<file path=xl/ctrlProps/ctrlProp34.xml><?xml version="1.0" encoding="utf-8"?>
<formControlPr xmlns="http://schemas.microsoft.com/office/spreadsheetml/2009/9/main" objectType="CheckBox" fmlaLink="х!$I$32" lockText="1"/>
</file>

<file path=xl/ctrlProps/ctrlProp35.xml><?xml version="1.0" encoding="utf-8"?>
<formControlPr xmlns="http://schemas.microsoft.com/office/spreadsheetml/2009/9/main" objectType="Scroll" dx="16" fmlaLink="х!$J$32" horiz="1" max="20" min="15" page="10" val="16"/>
</file>

<file path=xl/ctrlProps/ctrlProp36.xml><?xml version="1.0" encoding="utf-8"?>
<formControlPr xmlns="http://schemas.microsoft.com/office/spreadsheetml/2009/9/main" objectType="CheckBox" fmlaLink="х!$I$33" lockText="1"/>
</file>

<file path=xl/ctrlProps/ctrlProp37.xml><?xml version="1.0" encoding="utf-8"?>
<formControlPr xmlns="http://schemas.microsoft.com/office/spreadsheetml/2009/9/main" objectType="Scroll" dx="16" fmlaLink="х!$J$33" horiz="1" max="180" min="50" page="10" val="82"/>
</file>

<file path=xl/ctrlProps/ctrlProp38.xml><?xml version="1.0" encoding="utf-8"?>
<formControlPr xmlns="http://schemas.microsoft.com/office/spreadsheetml/2009/9/main" objectType="CheckBox" fmlaLink="х!$J$34" lockText="1"/>
</file>

<file path=xl/ctrlProps/ctrlProp39.xml><?xml version="1.0" encoding="utf-8"?>
<formControlPr xmlns="http://schemas.microsoft.com/office/spreadsheetml/2009/9/main" objectType="CheckBox" fmlaLink="х!$I$35" lockText="1"/>
</file>

<file path=xl/ctrlProps/ctrlProp4.xml><?xml version="1.0" encoding="utf-8"?>
<formControlPr xmlns="http://schemas.microsoft.com/office/spreadsheetml/2009/9/main" objectType="CheckBox" fmlaLink="х!$H$27" lockText="1"/>
</file>

<file path=xl/ctrlProps/ctrlProp40.xml><?xml version="1.0" encoding="utf-8"?>
<formControlPr xmlns="http://schemas.microsoft.com/office/spreadsheetml/2009/9/main" objectType="Scroll" dx="16" fmlaLink="х!$J$35" horiz="1" max="50" min="40" page="10" val="45"/>
</file>

<file path=xl/ctrlProps/ctrlProp41.xml><?xml version="1.0" encoding="utf-8"?>
<formControlPr xmlns="http://schemas.microsoft.com/office/spreadsheetml/2009/9/main" objectType="CheckBox" fmlaLink="х!$I$36" lockText="1"/>
</file>

<file path=xl/ctrlProps/ctrlProp42.xml><?xml version="1.0" encoding="utf-8"?>
<formControlPr xmlns="http://schemas.microsoft.com/office/spreadsheetml/2009/9/main" objectType="Scroll" dx="16" fmlaLink="х!$J$36" horiz="1" max="80" min="60" page="10" val="74"/>
</file>

<file path=xl/ctrlProps/ctrlProp43.xml><?xml version="1.0" encoding="utf-8"?>
<formControlPr xmlns="http://schemas.microsoft.com/office/spreadsheetml/2009/9/main" objectType="Scroll" dx="16" fmlaLink="х!$L$24" horiz="1" max="60" min="50" page="10" val="51"/>
</file>

<file path=xl/ctrlProps/ctrlProp44.xml><?xml version="1.0" encoding="utf-8"?>
<formControlPr xmlns="http://schemas.microsoft.com/office/spreadsheetml/2009/9/main" objectType="Scroll" dx="16" fmlaLink="х!$L$25" horiz="1" max="60" min="50" page="10" val="53"/>
</file>

<file path=xl/ctrlProps/ctrlProp45.xml><?xml version="1.0" encoding="utf-8"?>
<formControlPr xmlns="http://schemas.microsoft.com/office/spreadsheetml/2009/9/main" objectType="Scroll" dx="16" fmlaLink="х!$L$26" horiz="1" max="42" min="32" page="10" val="34"/>
</file>

<file path=xl/ctrlProps/ctrlProp46.xml><?xml version="1.0" encoding="utf-8"?>
<formControlPr xmlns="http://schemas.microsoft.com/office/spreadsheetml/2009/9/main" objectType="CheckBox" fmlaLink="х!$L$27" lockText="1"/>
</file>

<file path=xl/ctrlProps/ctrlProp47.xml><?xml version="1.0" encoding="utf-8"?>
<formControlPr xmlns="http://schemas.microsoft.com/office/spreadsheetml/2009/9/main" objectType="CheckBox" fmlaLink="х!$K$26" lockText="1"/>
</file>

<file path=xl/ctrlProps/ctrlProp48.xml><?xml version="1.0" encoding="utf-8"?>
<formControlPr xmlns="http://schemas.microsoft.com/office/spreadsheetml/2009/9/main" objectType="CheckBox" fmlaLink="х!$K$25" lockText="1"/>
</file>

<file path=xl/ctrlProps/ctrlProp49.xml><?xml version="1.0" encoding="utf-8"?>
<formControlPr xmlns="http://schemas.microsoft.com/office/spreadsheetml/2009/9/main" objectType="CheckBox" fmlaLink="х!$K$24" lockText="1"/>
</file>

<file path=xl/ctrlProps/ctrlProp5.xml><?xml version="1.0" encoding="utf-8"?>
<formControlPr xmlns="http://schemas.microsoft.com/office/spreadsheetml/2009/9/main" objectType="CheckBox" fmlaLink="х!$G$26" lockText="1"/>
</file>

<file path=xl/ctrlProps/ctrlProp50.xml><?xml version="1.0" encoding="utf-8"?>
<formControlPr xmlns="http://schemas.microsoft.com/office/spreadsheetml/2009/9/main" objectType="CheckBox" fmlaLink="х!$L$28" lockText="1"/>
</file>

<file path=xl/ctrlProps/ctrlProp51.xml><?xml version="1.0" encoding="utf-8"?>
<formControlPr xmlns="http://schemas.microsoft.com/office/spreadsheetml/2009/9/main" objectType="CheckBox" fmlaLink="х!$K$29" lockText="1"/>
</file>

<file path=xl/ctrlProps/ctrlProp52.xml><?xml version="1.0" encoding="utf-8"?>
<formControlPr xmlns="http://schemas.microsoft.com/office/spreadsheetml/2009/9/main" objectType="Scroll" dx="16" fmlaLink="х!$L$29" horiz="1" max="24" min="8" page="10" val="12"/>
</file>

<file path=xl/ctrlProps/ctrlProp53.xml><?xml version="1.0" encoding="utf-8"?>
<formControlPr xmlns="http://schemas.microsoft.com/office/spreadsheetml/2009/9/main" objectType="CheckBox" fmlaLink="х!$L$30" lockText="1"/>
</file>

<file path=xl/ctrlProps/ctrlProp54.xml><?xml version="1.0" encoding="utf-8"?>
<formControlPr xmlns="http://schemas.microsoft.com/office/spreadsheetml/2009/9/main" objectType="CheckBox" fmlaLink="х!$L$31" lockText="1"/>
</file>

<file path=xl/ctrlProps/ctrlProp55.xml><?xml version="1.0" encoding="utf-8"?>
<formControlPr xmlns="http://schemas.microsoft.com/office/spreadsheetml/2009/9/main" objectType="CheckBox" fmlaLink="х!$K$32" lockText="1"/>
</file>

<file path=xl/ctrlProps/ctrlProp56.xml><?xml version="1.0" encoding="utf-8"?>
<formControlPr xmlns="http://schemas.microsoft.com/office/spreadsheetml/2009/9/main" objectType="Scroll" dx="16" fmlaLink="х!$L$32" horiz="1" max="20" min="15" page="10" val="16"/>
</file>

<file path=xl/ctrlProps/ctrlProp57.xml><?xml version="1.0" encoding="utf-8"?>
<formControlPr xmlns="http://schemas.microsoft.com/office/spreadsheetml/2009/9/main" objectType="CheckBox" fmlaLink="х!$K$33" lockText="1"/>
</file>

<file path=xl/ctrlProps/ctrlProp58.xml><?xml version="1.0" encoding="utf-8"?>
<formControlPr xmlns="http://schemas.microsoft.com/office/spreadsheetml/2009/9/main" objectType="Scroll" dx="16" fmlaLink="х!$L$33" horiz="1" max="180" min="50" page="10" val="50"/>
</file>

<file path=xl/ctrlProps/ctrlProp59.xml><?xml version="1.0" encoding="utf-8"?>
<formControlPr xmlns="http://schemas.microsoft.com/office/spreadsheetml/2009/9/main" objectType="CheckBox" fmlaLink="х!$L$34" lockText="1"/>
</file>

<file path=xl/ctrlProps/ctrlProp6.xml><?xml version="1.0" encoding="utf-8"?>
<formControlPr xmlns="http://schemas.microsoft.com/office/spreadsheetml/2009/9/main" objectType="CheckBox" fmlaLink="х!$G$25" lockText="1"/>
</file>

<file path=xl/ctrlProps/ctrlProp60.xml><?xml version="1.0" encoding="utf-8"?>
<formControlPr xmlns="http://schemas.microsoft.com/office/spreadsheetml/2009/9/main" objectType="CheckBox" fmlaLink="х!$K$35" lockText="1"/>
</file>

<file path=xl/ctrlProps/ctrlProp61.xml><?xml version="1.0" encoding="utf-8"?>
<formControlPr xmlns="http://schemas.microsoft.com/office/spreadsheetml/2009/9/main" objectType="Scroll" dx="16" fmlaLink="х!$L$35" horiz="1" max="50" min="40" page="10" val="47"/>
</file>

<file path=xl/ctrlProps/ctrlProp62.xml><?xml version="1.0" encoding="utf-8"?>
<formControlPr xmlns="http://schemas.microsoft.com/office/spreadsheetml/2009/9/main" objectType="CheckBox" fmlaLink="х!$K$36" lockText="1"/>
</file>

<file path=xl/ctrlProps/ctrlProp63.xml><?xml version="1.0" encoding="utf-8"?>
<formControlPr xmlns="http://schemas.microsoft.com/office/spreadsheetml/2009/9/main" objectType="Scroll" dx="16" fmlaLink="х!$L$36" horiz="1" max="80" min="60" page="10" val="65"/>
</file>

<file path=xl/ctrlProps/ctrlProp64.xml><?xml version="1.0" encoding="utf-8"?>
<formControlPr xmlns="http://schemas.microsoft.com/office/spreadsheetml/2009/9/main" objectType="Scroll" dx="16" fmlaLink="х!$N$24" horiz="1" max="60" min="50" page="10" val="52"/>
</file>

<file path=xl/ctrlProps/ctrlProp65.xml><?xml version="1.0" encoding="utf-8"?>
<formControlPr xmlns="http://schemas.microsoft.com/office/spreadsheetml/2009/9/main" objectType="Scroll" dx="16" fmlaLink="х!$N$25" horiz="1" max="60" min="50" page="10" val="52"/>
</file>

<file path=xl/ctrlProps/ctrlProp66.xml><?xml version="1.0" encoding="utf-8"?>
<formControlPr xmlns="http://schemas.microsoft.com/office/spreadsheetml/2009/9/main" objectType="Scroll" dx="16" fmlaLink="х!$N$26" horiz="1" max="42" min="32" page="10" val="35"/>
</file>

<file path=xl/ctrlProps/ctrlProp67.xml><?xml version="1.0" encoding="utf-8"?>
<formControlPr xmlns="http://schemas.microsoft.com/office/spreadsheetml/2009/9/main" objectType="CheckBox" fmlaLink="х!$N$27" lockText="1"/>
</file>

<file path=xl/ctrlProps/ctrlProp68.xml><?xml version="1.0" encoding="utf-8"?>
<formControlPr xmlns="http://schemas.microsoft.com/office/spreadsheetml/2009/9/main" objectType="CheckBox" fmlaLink="х!$M$26" lockText="1"/>
</file>

<file path=xl/ctrlProps/ctrlProp69.xml><?xml version="1.0" encoding="utf-8"?>
<formControlPr xmlns="http://schemas.microsoft.com/office/spreadsheetml/2009/9/main" objectType="CheckBox" fmlaLink="х!$M$25" lockText="1"/>
</file>

<file path=xl/ctrlProps/ctrlProp7.xml><?xml version="1.0" encoding="utf-8"?>
<formControlPr xmlns="http://schemas.microsoft.com/office/spreadsheetml/2009/9/main" objectType="CheckBox" fmlaLink="х!$G$24" lockText="1"/>
</file>

<file path=xl/ctrlProps/ctrlProp70.xml><?xml version="1.0" encoding="utf-8"?>
<formControlPr xmlns="http://schemas.microsoft.com/office/spreadsheetml/2009/9/main" objectType="CheckBox" fmlaLink="х!$M$24" lockText="1"/>
</file>

<file path=xl/ctrlProps/ctrlProp71.xml><?xml version="1.0" encoding="utf-8"?>
<formControlPr xmlns="http://schemas.microsoft.com/office/spreadsheetml/2009/9/main" objectType="CheckBox" fmlaLink="х!$N$28" lockText="1"/>
</file>

<file path=xl/ctrlProps/ctrlProp72.xml><?xml version="1.0" encoding="utf-8"?>
<formControlPr xmlns="http://schemas.microsoft.com/office/spreadsheetml/2009/9/main" objectType="CheckBox" fmlaLink="х!$M$29" lockText="1"/>
</file>

<file path=xl/ctrlProps/ctrlProp73.xml><?xml version="1.0" encoding="utf-8"?>
<formControlPr xmlns="http://schemas.microsoft.com/office/spreadsheetml/2009/9/main" objectType="Scroll" dx="16" fmlaLink="х!$N$29" horiz="1" max="24" min="8" page="10" val="12"/>
</file>

<file path=xl/ctrlProps/ctrlProp74.xml><?xml version="1.0" encoding="utf-8"?>
<formControlPr xmlns="http://schemas.microsoft.com/office/spreadsheetml/2009/9/main" objectType="CheckBox" fmlaLink="х!$N$30" lockText="1"/>
</file>

<file path=xl/ctrlProps/ctrlProp75.xml><?xml version="1.0" encoding="utf-8"?>
<formControlPr xmlns="http://schemas.microsoft.com/office/spreadsheetml/2009/9/main" objectType="CheckBox" fmlaLink="х!$N$31" lockText="1"/>
</file>

<file path=xl/ctrlProps/ctrlProp76.xml><?xml version="1.0" encoding="utf-8"?>
<formControlPr xmlns="http://schemas.microsoft.com/office/spreadsheetml/2009/9/main" objectType="CheckBox" fmlaLink="х!$M$32" lockText="1"/>
</file>

<file path=xl/ctrlProps/ctrlProp77.xml><?xml version="1.0" encoding="utf-8"?>
<formControlPr xmlns="http://schemas.microsoft.com/office/spreadsheetml/2009/9/main" objectType="Scroll" dx="16" fmlaLink="х!$N$32" horiz="1" max="20" min="15" page="10" val="16"/>
</file>

<file path=xl/ctrlProps/ctrlProp78.xml><?xml version="1.0" encoding="utf-8"?>
<formControlPr xmlns="http://schemas.microsoft.com/office/spreadsheetml/2009/9/main" objectType="CheckBox" fmlaLink="х!$M$33" lockText="1"/>
</file>

<file path=xl/ctrlProps/ctrlProp79.xml><?xml version="1.0" encoding="utf-8"?>
<formControlPr xmlns="http://schemas.microsoft.com/office/spreadsheetml/2009/9/main" objectType="Scroll" dx="16" fmlaLink="х!$N$33" horiz="1" max="180" min="50" page="10" val="86"/>
</file>

<file path=xl/ctrlProps/ctrlProp8.xml><?xml version="1.0" encoding="utf-8"?>
<formControlPr xmlns="http://schemas.microsoft.com/office/spreadsheetml/2009/9/main" objectType="CheckBox" fmlaLink="х!$H$28" lockText="1"/>
</file>

<file path=xl/ctrlProps/ctrlProp80.xml><?xml version="1.0" encoding="utf-8"?>
<formControlPr xmlns="http://schemas.microsoft.com/office/spreadsheetml/2009/9/main" objectType="CheckBox" fmlaLink="х!$N$34" lockText="1"/>
</file>

<file path=xl/ctrlProps/ctrlProp81.xml><?xml version="1.0" encoding="utf-8"?>
<formControlPr xmlns="http://schemas.microsoft.com/office/spreadsheetml/2009/9/main" objectType="CheckBox" fmlaLink="х!$M$35" lockText="1"/>
</file>

<file path=xl/ctrlProps/ctrlProp82.xml><?xml version="1.0" encoding="utf-8"?>
<formControlPr xmlns="http://schemas.microsoft.com/office/spreadsheetml/2009/9/main" objectType="Scroll" dx="16" fmlaLink="х!$N$35" horiz="1" max="50" min="40" page="10" val="43"/>
</file>

<file path=xl/ctrlProps/ctrlProp83.xml><?xml version="1.0" encoding="utf-8"?>
<formControlPr xmlns="http://schemas.microsoft.com/office/spreadsheetml/2009/9/main" objectType="CheckBox" fmlaLink="х!$M$36" lockText="1"/>
</file>

<file path=xl/ctrlProps/ctrlProp84.xml><?xml version="1.0" encoding="utf-8"?>
<formControlPr xmlns="http://schemas.microsoft.com/office/spreadsheetml/2009/9/main" objectType="Scroll" dx="16" fmlaLink="х!$N$36" horiz="1" max="80" min="60" page="10" val="65"/>
</file>

<file path=xl/ctrlProps/ctrlProp85.xml><?xml version="1.0" encoding="utf-8"?>
<formControlPr xmlns="http://schemas.microsoft.com/office/spreadsheetml/2009/9/main" objectType="Scroll" dx="16" fmlaLink="х!$P$24" horiz="1" max="60" min="50" page="10" val="57"/>
</file>

<file path=xl/ctrlProps/ctrlProp86.xml><?xml version="1.0" encoding="utf-8"?>
<formControlPr xmlns="http://schemas.microsoft.com/office/spreadsheetml/2009/9/main" objectType="Scroll" dx="16" fmlaLink="х!$P$25" horiz="1" max="60" min="50" page="10" val="50"/>
</file>

<file path=xl/ctrlProps/ctrlProp87.xml><?xml version="1.0" encoding="utf-8"?>
<formControlPr xmlns="http://schemas.microsoft.com/office/spreadsheetml/2009/9/main" objectType="Scroll" dx="16" fmlaLink="х!$P$26" horiz="1" max="42" min="32" page="10" val="32"/>
</file>

<file path=xl/ctrlProps/ctrlProp88.xml><?xml version="1.0" encoding="utf-8"?>
<formControlPr xmlns="http://schemas.microsoft.com/office/spreadsheetml/2009/9/main" objectType="CheckBox" fmlaLink="х!$P$27" lockText="1"/>
</file>

<file path=xl/ctrlProps/ctrlProp89.xml><?xml version="1.0" encoding="utf-8"?>
<formControlPr xmlns="http://schemas.microsoft.com/office/spreadsheetml/2009/9/main" objectType="CheckBox" fmlaLink="х!$O$26" lockText="1"/>
</file>

<file path=xl/ctrlProps/ctrlProp9.xml><?xml version="1.0" encoding="utf-8"?>
<formControlPr xmlns="http://schemas.microsoft.com/office/spreadsheetml/2009/9/main" objectType="CheckBox" fmlaLink="х!$G$29" lockText="1"/>
</file>

<file path=xl/ctrlProps/ctrlProp90.xml><?xml version="1.0" encoding="utf-8"?>
<formControlPr xmlns="http://schemas.microsoft.com/office/spreadsheetml/2009/9/main" objectType="CheckBox" fmlaLink="х!$O$25" lockText="1"/>
</file>

<file path=xl/ctrlProps/ctrlProp91.xml><?xml version="1.0" encoding="utf-8"?>
<formControlPr xmlns="http://schemas.microsoft.com/office/spreadsheetml/2009/9/main" objectType="CheckBox" fmlaLink="х!$O$24" lockText="1"/>
</file>

<file path=xl/ctrlProps/ctrlProp92.xml><?xml version="1.0" encoding="utf-8"?>
<formControlPr xmlns="http://schemas.microsoft.com/office/spreadsheetml/2009/9/main" objectType="CheckBox" fmlaLink="х!$P$28" lockText="1"/>
</file>

<file path=xl/ctrlProps/ctrlProp93.xml><?xml version="1.0" encoding="utf-8"?>
<formControlPr xmlns="http://schemas.microsoft.com/office/spreadsheetml/2009/9/main" objectType="CheckBox" fmlaLink="х!$O$29" lockText="1"/>
</file>

<file path=xl/ctrlProps/ctrlProp94.xml><?xml version="1.0" encoding="utf-8"?>
<formControlPr xmlns="http://schemas.microsoft.com/office/spreadsheetml/2009/9/main" objectType="Scroll" dx="16" fmlaLink="х!$P$29" horiz="1" max="24" min="8" page="10" val="11"/>
</file>

<file path=xl/ctrlProps/ctrlProp95.xml><?xml version="1.0" encoding="utf-8"?>
<formControlPr xmlns="http://schemas.microsoft.com/office/spreadsheetml/2009/9/main" objectType="CheckBox" fmlaLink="х!$P$30" lockText="1"/>
</file>

<file path=xl/ctrlProps/ctrlProp96.xml><?xml version="1.0" encoding="utf-8"?>
<formControlPr xmlns="http://schemas.microsoft.com/office/spreadsheetml/2009/9/main" objectType="CheckBox" fmlaLink="х!$P$31" lockText="1"/>
</file>

<file path=xl/ctrlProps/ctrlProp97.xml><?xml version="1.0" encoding="utf-8"?>
<formControlPr xmlns="http://schemas.microsoft.com/office/spreadsheetml/2009/9/main" objectType="CheckBox" fmlaLink="х!$O$32" lockText="1"/>
</file>

<file path=xl/ctrlProps/ctrlProp98.xml><?xml version="1.0" encoding="utf-8"?>
<formControlPr xmlns="http://schemas.microsoft.com/office/spreadsheetml/2009/9/main" objectType="Scroll" dx="16" fmlaLink="х!$P$32" horiz="1" max="20" min="15" page="10" val="16"/>
</file>

<file path=xl/ctrlProps/ctrlProp99.xml><?xml version="1.0" encoding="utf-8"?>
<formControlPr xmlns="http://schemas.microsoft.com/office/spreadsheetml/2009/9/main" objectType="CheckBox" fmlaLink="х!$O$33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8</xdr:row>
          <xdr:rowOff>9525</xdr:rowOff>
        </xdr:from>
        <xdr:to>
          <xdr:col>4</xdr:col>
          <xdr:colOff>552450</xdr:colOff>
          <xdr:row>8</xdr:row>
          <xdr:rowOff>190500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9</xdr:row>
          <xdr:rowOff>19050</xdr:rowOff>
        </xdr:from>
        <xdr:to>
          <xdr:col>4</xdr:col>
          <xdr:colOff>552450</xdr:colOff>
          <xdr:row>9</xdr:row>
          <xdr:rowOff>200025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10</xdr:row>
          <xdr:rowOff>19050</xdr:rowOff>
        </xdr:from>
        <xdr:to>
          <xdr:col>4</xdr:col>
          <xdr:colOff>552450</xdr:colOff>
          <xdr:row>10</xdr:row>
          <xdr:rowOff>200025</xdr:rowOff>
        </xdr:to>
        <xdr:sp macro="" textlink="">
          <xdr:nvSpPr>
            <xdr:cNvPr id="3078" name="Scroll Ba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10</xdr:row>
          <xdr:rowOff>200025</xdr:rowOff>
        </xdr:from>
        <xdr:to>
          <xdr:col>2</xdr:col>
          <xdr:colOff>38100</xdr:colOff>
          <xdr:row>12</xdr:row>
          <xdr:rowOff>28575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9</xdr:row>
          <xdr:rowOff>200025</xdr:rowOff>
        </xdr:from>
        <xdr:to>
          <xdr:col>2</xdr:col>
          <xdr:colOff>38100</xdr:colOff>
          <xdr:row>11</xdr:row>
          <xdr:rowOff>28575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8</xdr:row>
          <xdr:rowOff>209550</xdr:rowOff>
        </xdr:from>
        <xdr:to>
          <xdr:col>2</xdr:col>
          <xdr:colOff>38100</xdr:colOff>
          <xdr:row>10</xdr:row>
          <xdr:rowOff>28575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7</xdr:row>
          <xdr:rowOff>200025</xdr:rowOff>
        </xdr:from>
        <xdr:to>
          <xdr:col>2</xdr:col>
          <xdr:colOff>38100</xdr:colOff>
          <xdr:row>9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11</xdr:row>
          <xdr:rowOff>200025</xdr:rowOff>
        </xdr:from>
        <xdr:to>
          <xdr:col>2</xdr:col>
          <xdr:colOff>38100</xdr:colOff>
          <xdr:row>13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12</xdr:row>
          <xdr:rowOff>200025</xdr:rowOff>
        </xdr:from>
        <xdr:to>
          <xdr:col>2</xdr:col>
          <xdr:colOff>38100</xdr:colOff>
          <xdr:row>14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13</xdr:row>
          <xdr:rowOff>9525</xdr:rowOff>
        </xdr:from>
        <xdr:to>
          <xdr:col>4</xdr:col>
          <xdr:colOff>552450</xdr:colOff>
          <xdr:row>13</xdr:row>
          <xdr:rowOff>190500</xdr:rowOff>
        </xdr:to>
        <xdr:sp macro="" textlink="">
          <xdr:nvSpPr>
            <xdr:cNvPr id="3092" name="Scroll Ba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13</xdr:row>
          <xdr:rowOff>200025</xdr:rowOff>
        </xdr:from>
        <xdr:to>
          <xdr:col>2</xdr:col>
          <xdr:colOff>38100</xdr:colOff>
          <xdr:row>15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14</xdr:row>
          <xdr:rowOff>209550</xdr:rowOff>
        </xdr:from>
        <xdr:to>
          <xdr:col>2</xdr:col>
          <xdr:colOff>38100</xdr:colOff>
          <xdr:row>16</xdr:row>
          <xdr:rowOff>28575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15</xdr:row>
          <xdr:rowOff>200025</xdr:rowOff>
        </xdr:from>
        <xdr:to>
          <xdr:col>2</xdr:col>
          <xdr:colOff>38100</xdr:colOff>
          <xdr:row>17</xdr:row>
          <xdr:rowOff>28575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16</xdr:row>
          <xdr:rowOff>9525</xdr:rowOff>
        </xdr:from>
        <xdr:to>
          <xdr:col>4</xdr:col>
          <xdr:colOff>552450</xdr:colOff>
          <xdr:row>16</xdr:row>
          <xdr:rowOff>190500</xdr:rowOff>
        </xdr:to>
        <xdr:sp macro="" textlink="">
          <xdr:nvSpPr>
            <xdr:cNvPr id="3101" name="Scroll Bar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16</xdr:row>
          <xdr:rowOff>200025</xdr:rowOff>
        </xdr:from>
        <xdr:to>
          <xdr:col>2</xdr:col>
          <xdr:colOff>38100</xdr:colOff>
          <xdr:row>18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17</xdr:row>
          <xdr:rowOff>9525</xdr:rowOff>
        </xdr:from>
        <xdr:to>
          <xdr:col>4</xdr:col>
          <xdr:colOff>552450</xdr:colOff>
          <xdr:row>17</xdr:row>
          <xdr:rowOff>190500</xdr:rowOff>
        </xdr:to>
        <xdr:sp macro="" textlink="">
          <xdr:nvSpPr>
            <xdr:cNvPr id="3103" name="Scroll Bar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17</xdr:row>
          <xdr:rowOff>200025</xdr:rowOff>
        </xdr:from>
        <xdr:to>
          <xdr:col>2</xdr:col>
          <xdr:colOff>38100</xdr:colOff>
          <xdr:row>19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18</xdr:row>
          <xdr:rowOff>200025</xdr:rowOff>
        </xdr:from>
        <xdr:to>
          <xdr:col>2</xdr:col>
          <xdr:colOff>38100</xdr:colOff>
          <xdr:row>20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9525</xdr:rowOff>
        </xdr:from>
        <xdr:to>
          <xdr:col>4</xdr:col>
          <xdr:colOff>552450</xdr:colOff>
          <xdr:row>19</xdr:row>
          <xdr:rowOff>190500</xdr:rowOff>
        </xdr:to>
        <xdr:sp macro="" textlink="">
          <xdr:nvSpPr>
            <xdr:cNvPr id="3115" name="Scroll Bar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19</xdr:row>
          <xdr:rowOff>200025</xdr:rowOff>
        </xdr:from>
        <xdr:to>
          <xdr:col>2</xdr:col>
          <xdr:colOff>38100</xdr:colOff>
          <xdr:row>21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9525</xdr:rowOff>
        </xdr:from>
        <xdr:to>
          <xdr:col>4</xdr:col>
          <xdr:colOff>552450</xdr:colOff>
          <xdr:row>20</xdr:row>
          <xdr:rowOff>190500</xdr:rowOff>
        </xdr:to>
        <xdr:sp macro="" textlink="">
          <xdr:nvSpPr>
            <xdr:cNvPr id="3118" name="Scroll Bar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8</xdr:row>
          <xdr:rowOff>9525</xdr:rowOff>
        </xdr:from>
        <xdr:to>
          <xdr:col>12</xdr:col>
          <xdr:colOff>552450</xdr:colOff>
          <xdr:row>8</xdr:row>
          <xdr:rowOff>190500</xdr:rowOff>
        </xdr:to>
        <xdr:sp macro="" textlink="">
          <xdr:nvSpPr>
            <xdr:cNvPr id="3142" name="Scroll Bar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9</xdr:row>
          <xdr:rowOff>19050</xdr:rowOff>
        </xdr:from>
        <xdr:to>
          <xdr:col>12</xdr:col>
          <xdr:colOff>552450</xdr:colOff>
          <xdr:row>9</xdr:row>
          <xdr:rowOff>200025</xdr:rowOff>
        </xdr:to>
        <xdr:sp macro="" textlink="">
          <xdr:nvSpPr>
            <xdr:cNvPr id="3143" name="Scroll Bar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10</xdr:row>
          <xdr:rowOff>19050</xdr:rowOff>
        </xdr:from>
        <xdr:to>
          <xdr:col>12</xdr:col>
          <xdr:colOff>552450</xdr:colOff>
          <xdr:row>10</xdr:row>
          <xdr:rowOff>200025</xdr:rowOff>
        </xdr:to>
        <xdr:sp macro="" textlink="">
          <xdr:nvSpPr>
            <xdr:cNvPr id="3144" name="Scroll Bar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10</xdr:row>
          <xdr:rowOff>200025</xdr:rowOff>
        </xdr:from>
        <xdr:to>
          <xdr:col>10</xdr:col>
          <xdr:colOff>38100</xdr:colOff>
          <xdr:row>12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9</xdr:row>
          <xdr:rowOff>200025</xdr:rowOff>
        </xdr:from>
        <xdr:to>
          <xdr:col>10</xdr:col>
          <xdr:colOff>38100</xdr:colOff>
          <xdr:row>11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8</xdr:row>
          <xdr:rowOff>209550</xdr:rowOff>
        </xdr:from>
        <xdr:to>
          <xdr:col>10</xdr:col>
          <xdr:colOff>38100</xdr:colOff>
          <xdr:row>10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7</xdr:row>
          <xdr:rowOff>200025</xdr:rowOff>
        </xdr:from>
        <xdr:to>
          <xdr:col>10</xdr:col>
          <xdr:colOff>38100</xdr:colOff>
          <xdr:row>9</xdr:row>
          <xdr:rowOff>9525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11</xdr:row>
          <xdr:rowOff>200025</xdr:rowOff>
        </xdr:from>
        <xdr:to>
          <xdr:col>10</xdr:col>
          <xdr:colOff>38100</xdr:colOff>
          <xdr:row>13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12</xdr:row>
          <xdr:rowOff>200025</xdr:rowOff>
        </xdr:from>
        <xdr:to>
          <xdr:col>10</xdr:col>
          <xdr:colOff>38100</xdr:colOff>
          <xdr:row>14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13</xdr:row>
          <xdr:rowOff>9525</xdr:rowOff>
        </xdr:from>
        <xdr:to>
          <xdr:col>12</xdr:col>
          <xdr:colOff>552450</xdr:colOff>
          <xdr:row>13</xdr:row>
          <xdr:rowOff>190500</xdr:rowOff>
        </xdr:to>
        <xdr:sp macro="" textlink="">
          <xdr:nvSpPr>
            <xdr:cNvPr id="3151" name="Scroll Bar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13</xdr:row>
          <xdr:rowOff>200025</xdr:rowOff>
        </xdr:from>
        <xdr:to>
          <xdr:col>10</xdr:col>
          <xdr:colOff>38100</xdr:colOff>
          <xdr:row>15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14</xdr:row>
          <xdr:rowOff>209550</xdr:rowOff>
        </xdr:from>
        <xdr:to>
          <xdr:col>10</xdr:col>
          <xdr:colOff>38100</xdr:colOff>
          <xdr:row>16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15</xdr:row>
          <xdr:rowOff>200025</xdr:rowOff>
        </xdr:from>
        <xdr:to>
          <xdr:col>10</xdr:col>
          <xdr:colOff>38100</xdr:colOff>
          <xdr:row>17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16</xdr:row>
          <xdr:rowOff>9525</xdr:rowOff>
        </xdr:from>
        <xdr:to>
          <xdr:col>12</xdr:col>
          <xdr:colOff>552450</xdr:colOff>
          <xdr:row>16</xdr:row>
          <xdr:rowOff>190500</xdr:rowOff>
        </xdr:to>
        <xdr:sp macro="" textlink="">
          <xdr:nvSpPr>
            <xdr:cNvPr id="3155" name="Scroll Bar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16</xdr:row>
          <xdr:rowOff>200025</xdr:rowOff>
        </xdr:from>
        <xdr:to>
          <xdr:col>10</xdr:col>
          <xdr:colOff>38100</xdr:colOff>
          <xdr:row>18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17</xdr:row>
          <xdr:rowOff>9525</xdr:rowOff>
        </xdr:from>
        <xdr:to>
          <xdr:col>12</xdr:col>
          <xdr:colOff>552450</xdr:colOff>
          <xdr:row>17</xdr:row>
          <xdr:rowOff>190500</xdr:rowOff>
        </xdr:to>
        <xdr:sp macro="" textlink="">
          <xdr:nvSpPr>
            <xdr:cNvPr id="3157" name="Scroll Bar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17</xdr:row>
          <xdr:rowOff>200025</xdr:rowOff>
        </xdr:from>
        <xdr:to>
          <xdr:col>10</xdr:col>
          <xdr:colOff>38100</xdr:colOff>
          <xdr:row>19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18</xdr:row>
          <xdr:rowOff>200025</xdr:rowOff>
        </xdr:from>
        <xdr:to>
          <xdr:col>10</xdr:col>
          <xdr:colOff>38100</xdr:colOff>
          <xdr:row>20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19</xdr:row>
          <xdr:rowOff>9525</xdr:rowOff>
        </xdr:from>
        <xdr:to>
          <xdr:col>12</xdr:col>
          <xdr:colOff>552450</xdr:colOff>
          <xdr:row>19</xdr:row>
          <xdr:rowOff>190500</xdr:rowOff>
        </xdr:to>
        <xdr:sp macro="" textlink="">
          <xdr:nvSpPr>
            <xdr:cNvPr id="3160" name="Scroll Bar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19</xdr:row>
          <xdr:rowOff>200025</xdr:rowOff>
        </xdr:from>
        <xdr:to>
          <xdr:col>10</xdr:col>
          <xdr:colOff>38100</xdr:colOff>
          <xdr:row>21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20</xdr:row>
          <xdr:rowOff>9525</xdr:rowOff>
        </xdr:from>
        <xdr:to>
          <xdr:col>12</xdr:col>
          <xdr:colOff>552450</xdr:colOff>
          <xdr:row>20</xdr:row>
          <xdr:rowOff>190500</xdr:rowOff>
        </xdr:to>
        <xdr:sp macro="" textlink="">
          <xdr:nvSpPr>
            <xdr:cNvPr id="3162" name="Scroll Bar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8</xdr:row>
          <xdr:rowOff>9525</xdr:rowOff>
        </xdr:from>
        <xdr:to>
          <xdr:col>20</xdr:col>
          <xdr:colOff>552450</xdr:colOff>
          <xdr:row>8</xdr:row>
          <xdr:rowOff>190500</xdr:rowOff>
        </xdr:to>
        <xdr:sp macro="" textlink="">
          <xdr:nvSpPr>
            <xdr:cNvPr id="3163" name="Scroll Bar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9</xdr:row>
          <xdr:rowOff>19050</xdr:rowOff>
        </xdr:from>
        <xdr:to>
          <xdr:col>20</xdr:col>
          <xdr:colOff>552450</xdr:colOff>
          <xdr:row>9</xdr:row>
          <xdr:rowOff>200025</xdr:rowOff>
        </xdr:to>
        <xdr:sp macro="" textlink="">
          <xdr:nvSpPr>
            <xdr:cNvPr id="3164" name="Scroll Bar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10</xdr:row>
          <xdr:rowOff>19050</xdr:rowOff>
        </xdr:from>
        <xdr:to>
          <xdr:col>20</xdr:col>
          <xdr:colOff>552450</xdr:colOff>
          <xdr:row>10</xdr:row>
          <xdr:rowOff>200025</xdr:rowOff>
        </xdr:to>
        <xdr:sp macro="" textlink="">
          <xdr:nvSpPr>
            <xdr:cNvPr id="3165" name="Scroll Bar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10</xdr:row>
          <xdr:rowOff>200025</xdr:rowOff>
        </xdr:from>
        <xdr:to>
          <xdr:col>18</xdr:col>
          <xdr:colOff>57150</xdr:colOff>
          <xdr:row>12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9</xdr:row>
          <xdr:rowOff>200025</xdr:rowOff>
        </xdr:from>
        <xdr:to>
          <xdr:col>18</xdr:col>
          <xdr:colOff>57150</xdr:colOff>
          <xdr:row>11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8</xdr:row>
          <xdr:rowOff>209550</xdr:rowOff>
        </xdr:from>
        <xdr:to>
          <xdr:col>18</xdr:col>
          <xdr:colOff>57150</xdr:colOff>
          <xdr:row>10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7</xdr:row>
          <xdr:rowOff>200025</xdr:rowOff>
        </xdr:from>
        <xdr:to>
          <xdr:col>18</xdr:col>
          <xdr:colOff>57150</xdr:colOff>
          <xdr:row>9</xdr:row>
          <xdr:rowOff>9525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11</xdr:row>
          <xdr:rowOff>200025</xdr:rowOff>
        </xdr:from>
        <xdr:to>
          <xdr:col>18</xdr:col>
          <xdr:colOff>57150</xdr:colOff>
          <xdr:row>13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12</xdr:row>
          <xdr:rowOff>200025</xdr:rowOff>
        </xdr:from>
        <xdr:to>
          <xdr:col>18</xdr:col>
          <xdr:colOff>57150</xdr:colOff>
          <xdr:row>14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13</xdr:row>
          <xdr:rowOff>9525</xdr:rowOff>
        </xdr:from>
        <xdr:to>
          <xdr:col>20</xdr:col>
          <xdr:colOff>552450</xdr:colOff>
          <xdr:row>13</xdr:row>
          <xdr:rowOff>190500</xdr:rowOff>
        </xdr:to>
        <xdr:sp macro="" textlink="">
          <xdr:nvSpPr>
            <xdr:cNvPr id="3172" name="Scroll Bar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13</xdr:row>
          <xdr:rowOff>200025</xdr:rowOff>
        </xdr:from>
        <xdr:to>
          <xdr:col>18</xdr:col>
          <xdr:colOff>57150</xdr:colOff>
          <xdr:row>15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14</xdr:row>
          <xdr:rowOff>209550</xdr:rowOff>
        </xdr:from>
        <xdr:to>
          <xdr:col>18</xdr:col>
          <xdr:colOff>57150</xdr:colOff>
          <xdr:row>16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15</xdr:row>
          <xdr:rowOff>200025</xdr:rowOff>
        </xdr:from>
        <xdr:to>
          <xdr:col>18</xdr:col>
          <xdr:colOff>57150</xdr:colOff>
          <xdr:row>17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16</xdr:row>
          <xdr:rowOff>9525</xdr:rowOff>
        </xdr:from>
        <xdr:to>
          <xdr:col>20</xdr:col>
          <xdr:colOff>552450</xdr:colOff>
          <xdr:row>16</xdr:row>
          <xdr:rowOff>190500</xdr:rowOff>
        </xdr:to>
        <xdr:sp macro="" textlink="">
          <xdr:nvSpPr>
            <xdr:cNvPr id="3176" name="Scroll Bar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16</xdr:row>
          <xdr:rowOff>200025</xdr:rowOff>
        </xdr:from>
        <xdr:to>
          <xdr:col>18</xdr:col>
          <xdr:colOff>57150</xdr:colOff>
          <xdr:row>18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17</xdr:row>
          <xdr:rowOff>9525</xdr:rowOff>
        </xdr:from>
        <xdr:to>
          <xdr:col>20</xdr:col>
          <xdr:colOff>552450</xdr:colOff>
          <xdr:row>17</xdr:row>
          <xdr:rowOff>190500</xdr:rowOff>
        </xdr:to>
        <xdr:sp macro="" textlink="">
          <xdr:nvSpPr>
            <xdr:cNvPr id="3178" name="Scroll Bar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17</xdr:row>
          <xdr:rowOff>200025</xdr:rowOff>
        </xdr:from>
        <xdr:to>
          <xdr:col>18</xdr:col>
          <xdr:colOff>57150</xdr:colOff>
          <xdr:row>19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18</xdr:row>
          <xdr:rowOff>200025</xdr:rowOff>
        </xdr:from>
        <xdr:to>
          <xdr:col>18</xdr:col>
          <xdr:colOff>57150</xdr:colOff>
          <xdr:row>20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19</xdr:row>
          <xdr:rowOff>9525</xdr:rowOff>
        </xdr:from>
        <xdr:to>
          <xdr:col>20</xdr:col>
          <xdr:colOff>552450</xdr:colOff>
          <xdr:row>19</xdr:row>
          <xdr:rowOff>190500</xdr:rowOff>
        </xdr:to>
        <xdr:sp macro="" textlink="">
          <xdr:nvSpPr>
            <xdr:cNvPr id="3181" name="Scroll Bar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19</xdr:row>
          <xdr:rowOff>200025</xdr:rowOff>
        </xdr:from>
        <xdr:to>
          <xdr:col>18</xdr:col>
          <xdr:colOff>57150</xdr:colOff>
          <xdr:row>21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20</xdr:row>
          <xdr:rowOff>9525</xdr:rowOff>
        </xdr:from>
        <xdr:to>
          <xdr:col>20</xdr:col>
          <xdr:colOff>552450</xdr:colOff>
          <xdr:row>20</xdr:row>
          <xdr:rowOff>190500</xdr:rowOff>
        </xdr:to>
        <xdr:sp macro="" textlink="">
          <xdr:nvSpPr>
            <xdr:cNvPr id="3183" name="Scroll Bar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32</xdr:row>
          <xdr:rowOff>9525</xdr:rowOff>
        </xdr:from>
        <xdr:to>
          <xdr:col>4</xdr:col>
          <xdr:colOff>552450</xdr:colOff>
          <xdr:row>32</xdr:row>
          <xdr:rowOff>190500</xdr:rowOff>
        </xdr:to>
        <xdr:sp macro="" textlink="">
          <xdr:nvSpPr>
            <xdr:cNvPr id="3185" name="Scroll Bar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33</xdr:row>
          <xdr:rowOff>19050</xdr:rowOff>
        </xdr:from>
        <xdr:to>
          <xdr:col>4</xdr:col>
          <xdr:colOff>552450</xdr:colOff>
          <xdr:row>33</xdr:row>
          <xdr:rowOff>200025</xdr:rowOff>
        </xdr:to>
        <xdr:sp macro="" textlink="">
          <xdr:nvSpPr>
            <xdr:cNvPr id="3186" name="Scroll Bar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34</xdr:row>
          <xdr:rowOff>19050</xdr:rowOff>
        </xdr:from>
        <xdr:to>
          <xdr:col>4</xdr:col>
          <xdr:colOff>552450</xdr:colOff>
          <xdr:row>34</xdr:row>
          <xdr:rowOff>200025</xdr:rowOff>
        </xdr:to>
        <xdr:sp macro="" textlink="">
          <xdr:nvSpPr>
            <xdr:cNvPr id="3187" name="Scroll Bar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34</xdr:row>
          <xdr:rowOff>200025</xdr:rowOff>
        </xdr:from>
        <xdr:to>
          <xdr:col>2</xdr:col>
          <xdr:colOff>38100</xdr:colOff>
          <xdr:row>36</xdr:row>
          <xdr:rowOff>28575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33</xdr:row>
          <xdr:rowOff>200025</xdr:rowOff>
        </xdr:from>
        <xdr:to>
          <xdr:col>2</xdr:col>
          <xdr:colOff>38100</xdr:colOff>
          <xdr:row>35</xdr:row>
          <xdr:rowOff>28575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32</xdr:row>
          <xdr:rowOff>209550</xdr:rowOff>
        </xdr:from>
        <xdr:to>
          <xdr:col>2</xdr:col>
          <xdr:colOff>38100</xdr:colOff>
          <xdr:row>34</xdr:row>
          <xdr:rowOff>28575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31</xdr:row>
          <xdr:rowOff>200025</xdr:rowOff>
        </xdr:from>
        <xdr:to>
          <xdr:col>2</xdr:col>
          <xdr:colOff>38100</xdr:colOff>
          <xdr:row>33</xdr:row>
          <xdr:rowOff>28575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35</xdr:row>
          <xdr:rowOff>200025</xdr:rowOff>
        </xdr:from>
        <xdr:to>
          <xdr:col>2</xdr:col>
          <xdr:colOff>38100</xdr:colOff>
          <xdr:row>37</xdr:row>
          <xdr:rowOff>28575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36</xdr:row>
          <xdr:rowOff>200025</xdr:rowOff>
        </xdr:from>
        <xdr:to>
          <xdr:col>2</xdr:col>
          <xdr:colOff>38100</xdr:colOff>
          <xdr:row>38</xdr:row>
          <xdr:rowOff>28575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37</xdr:row>
          <xdr:rowOff>9525</xdr:rowOff>
        </xdr:from>
        <xdr:to>
          <xdr:col>4</xdr:col>
          <xdr:colOff>552450</xdr:colOff>
          <xdr:row>37</xdr:row>
          <xdr:rowOff>190500</xdr:rowOff>
        </xdr:to>
        <xdr:sp macro="" textlink="">
          <xdr:nvSpPr>
            <xdr:cNvPr id="3194" name="Scroll Bar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37</xdr:row>
          <xdr:rowOff>200025</xdr:rowOff>
        </xdr:from>
        <xdr:to>
          <xdr:col>2</xdr:col>
          <xdr:colOff>38100</xdr:colOff>
          <xdr:row>39</xdr:row>
          <xdr:rowOff>28575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38</xdr:row>
          <xdr:rowOff>209550</xdr:rowOff>
        </xdr:from>
        <xdr:to>
          <xdr:col>2</xdr:col>
          <xdr:colOff>38100</xdr:colOff>
          <xdr:row>40</xdr:row>
          <xdr:rowOff>28575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39</xdr:row>
          <xdr:rowOff>200025</xdr:rowOff>
        </xdr:from>
        <xdr:to>
          <xdr:col>2</xdr:col>
          <xdr:colOff>38100</xdr:colOff>
          <xdr:row>41</xdr:row>
          <xdr:rowOff>28575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40</xdr:row>
          <xdr:rowOff>9525</xdr:rowOff>
        </xdr:from>
        <xdr:to>
          <xdr:col>4</xdr:col>
          <xdr:colOff>552450</xdr:colOff>
          <xdr:row>40</xdr:row>
          <xdr:rowOff>190500</xdr:rowOff>
        </xdr:to>
        <xdr:sp macro="" textlink="">
          <xdr:nvSpPr>
            <xdr:cNvPr id="3198" name="Scroll Bar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40</xdr:row>
          <xdr:rowOff>200025</xdr:rowOff>
        </xdr:from>
        <xdr:to>
          <xdr:col>2</xdr:col>
          <xdr:colOff>38100</xdr:colOff>
          <xdr:row>42</xdr:row>
          <xdr:rowOff>28575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41</xdr:row>
          <xdr:rowOff>9525</xdr:rowOff>
        </xdr:from>
        <xdr:to>
          <xdr:col>4</xdr:col>
          <xdr:colOff>552450</xdr:colOff>
          <xdr:row>41</xdr:row>
          <xdr:rowOff>190500</xdr:rowOff>
        </xdr:to>
        <xdr:sp macro="" textlink="">
          <xdr:nvSpPr>
            <xdr:cNvPr id="3200" name="Scroll Bar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41</xdr:row>
          <xdr:rowOff>200025</xdr:rowOff>
        </xdr:from>
        <xdr:to>
          <xdr:col>2</xdr:col>
          <xdr:colOff>38100</xdr:colOff>
          <xdr:row>43</xdr:row>
          <xdr:rowOff>28575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42</xdr:row>
          <xdr:rowOff>200025</xdr:rowOff>
        </xdr:from>
        <xdr:to>
          <xdr:col>2</xdr:col>
          <xdr:colOff>38100</xdr:colOff>
          <xdr:row>44</xdr:row>
          <xdr:rowOff>28575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43</xdr:row>
          <xdr:rowOff>9525</xdr:rowOff>
        </xdr:from>
        <xdr:to>
          <xdr:col>4</xdr:col>
          <xdr:colOff>552450</xdr:colOff>
          <xdr:row>43</xdr:row>
          <xdr:rowOff>190500</xdr:rowOff>
        </xdr:to>
        <xdr:sp macro="" textlink="">
          <xdr:nvSpPr>
            <xdr:cNvPr id="3203" name="Scroll Bar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1419225</xdr:colOff>
          <xdr:row>43</xdr:row>
          <xdr:rowOff>200025</xdr:rowOff>
        </xdr:from>
        <xdr:to>
          <xdr:col>2</xdr:col>
          <xdr:colOff>38100</xdr:colOff>
          <xdr:row>45</xdr:row>
          <xdr:rowOff>28575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44</xdr:row>
          <xdr:rowOff>9525</xdr:rowOff>
        </xdr:from>
        <xdr:to>
          <xdr:col>4</xdr:col>
          <xdr:colOff>552450</xdr:colOff>
          <xdr:row>44</xdr:row>
          <xdr:rowOff>190500</xdr:rowOff>
        </xdr:to>
        <xdr:sp macro="" textlink="">
          <xdr:nvSpPr>
            <xdr:cNvPr id="3205" name="Scroll Bar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32</xdr:row>
          <xdr:rowOff>9525</xdr:rowOff>
        </xdr:from>
        <xdr:to>
          <xdr:col>12</xdr:col>
          <xdr:colOff>552450</xdr:colOff>
          <xdr:row>32</xdr:row>
          <xdr:rowOff>190500</xdr:rowOff>
        </xdr:to>
        <xdr:sp macro="" textlink="">
          <xdr:nvSpPr>
            <xdr:cNvPr id="3206" name="Scroll Bar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33</xdr:row>
          <xdr:rowOff>19050</xdr:rowOff>
        </xdr:from>
        <xdr:to>
          <xdr:col>12</xdr:col>
          <xdr:colOff>552450</xdr:colOff>
          <xdr:row>33</xdr:row>
          <xdr:rowOff>200025</xdr:rowOff>
        </xdr:to>
        <xdr:sp macro="" textlink="">
          <xdr:nvSpPr>
            <xdr:cNvPr id="3207" name="Scroll Bar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34</xdr:row>
          <xdr:rowOff>19050</xdr:rowOff>
        </xdr:from>
        <xdr:to>
          <xdr:col>12</xdr:col>
          <xdr:colOff>552450</xdr:colOff>
          <xdr:row>34</xdr:row>
          <xdr:rowOff>200025</xdr:rowOff>
        </xdr:to>
        <xdr:sp macro="" textlink="">
          <xdr:nvSpPr>
            <xdr:cNvPr id="3208" name="Scroll Bar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34</xdr:row>
          <xdr:rowOff>200025</xdr:rowOff>
        </xdr:from>
        <xdr:to>
          <xdr:col>10</xdr:col>
          <xdr:colOff>38100</xdr:colOff>
          <xdr:row>36</xdr:row>
          <xdr:rowOff>28575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33</xdr:row>
          <xdr:rowOff>200025</xdr:rowOff>
        </xdr:from>
        <xdr:to>
          <xdr:col>10</xdr:col>
          <xdr:colOff>38100</xdr:colOff>
          <xdr:row>35</xdr:row>
          <xdr:rowOff>28575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32</xdr:row>
          <xdr:rowOff>209550</xdr:rowOff>
        </xdr:from>
        <xdr:to>
          <xdr:col>10</xdr:col>
          <xdr:colOff>38100</xdr:colOff>
          <xdr:row>34</xdr:row>
          <xdr:rowOff>28575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31</xdr:row>
          <xdr:rowOff>200025</xdr:rowOff>
        </xdr:from>
        <xdr:to>
          <xdr:col>10</xdr:col>
          <xdr:colOff>38100</xdr:colOff>
          <xdr:row>33</xdr:row>
          <xdr:rowOff>28575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35</xdr:row>
          <xdr:rowOff>200025</xdr:rowOff>
        </xdr:from>
        <xdr:to>
          <xdr:col>10</xdr:col>
          <xdr:colOff>38100</xdr:colOff>
          <xdr:row>37</xdr:row>
          <xdr:rowOff>28575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36</xdr:row>
          <xdr:rowOff>200025</xdr:rowOff>
        </xdr:from>
        <xdr:to>
          <xdr:col>10</xdr:col>
          <xdr:colOff>38100</xdr:colOff>
          <xdr:row>38</xdr:row>
          <xdr:rowOff>28575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37</xdr:row>
          <xdr:rowOff>9525</xdr:rowOff>
        </xdr:from>
        <xdr:to>
          <xdr:col>12</xdr:col>
          <xdr:colOff>552450</xdr:colOff>
          <xdr:row>37</xdr:row>
          <xdr:rowOff>190500</xdr:rowOff>
        </xdr:to>
        <xdr:sp macro="" textlink="">
          <xdr:nvSpPr>
            <xdr:cNvPr id="3215" name="Scroll Bar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37</xdr:row>
          <xdr:rowOff>200025</xdr:rowOff>
        </xdr:from>
        <xdr:to>
          <xdr:col>10</xdr:col>
          <xdr:colOff>38100</xdr:colOff>
          <xdr:row>39</xdr:row>
          <xdr:rowOff>28575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38</xdr:row>
          <xdr:rowOff>209550</xdr:rowOff>
        </xdr:from>
        <xdr:to>
          <xdr:col>10</xdr:col>
          <xdr:colOff>38100</xdr:colOff>
          <xdr:row>40</xdr:row>
          <xdr:rowOff>28575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39</xdr:row>
          <xdr:rowOff>200025</xdr:rowOff>
        </xdr:from>
        <xdr:to>
          <xdr:col>10</xdr:col>
          <xdr:colOff>38100</xdr:colOff>
          <xdr:row>41</xdr:row>
          <xdr:rowOff>28575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40</xdr:row>
          <xdr:rowOff>9525</xdr:rowOff>
        </xdr:from>
        <xdr:to>
          <xdr:col>12</xdr:col>
          <xdr:colOff>552450</xdr:colOff>
          <xdr:row>40</xdr:row>
          <xdr:rowOff>190500</xdr:rowOff>
        </xdr:to>
        <xdr:sp macro="" textlink="">
          <xdr:nvSpPr>
            <xdr:cNvPr id="3219" name="Scroll Bar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40</xdr:row>
          <xdr:rowOff>200025</xdr:rowOff>
        </xdr:from>
        <xdr:to>
          <xdr:col>10</xdr:col>
          <xdr:colOff>38100</xdr:colOff>
          <xdr:row>42</xdr:row>
          <xdr:rowOff>28575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41</xdr:row>
          <xdr:rowOff>9525</xdr:rowOff>
        </xdr:from>
        <xdr:to>
          <xdr:col>12</xdr:col>
          <xdr:colOff>552450</xdr:colOff>
          <xdr:row>41</xdr:row>
          <xdr:rowOff>190500</xdr:rowOff>
        </xdr:to>
        <xdr:sp macro="" textlink="">
          <xdr:nvSpPr>
            <xdr:cNvPr id="3221" name="Scroll Bar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41</xdr:row>
          <xdr:rowOff>200025</xdr:rowOff>
        </xdr:from>
        <xdr:to>
          <xdr:col>10</xdr:col>
          <xdr:colOff>38100</xdr:colOff>
          <xdr:row>43</xdr:row>
          <xdr:rowOff>28575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42</xdr:row>
          <xdr:rowOff>200025</xdr:rowOff>
        </xdr:from>
        <xdr:to>
          <xdr:col>10</xdr:col>
          <xdr:colOff>38100</xdr:colOff>
          <xdr:row>44</xdr:row>
          <xdr:rowOff>28575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43</xdr:row>
          <xdr:rowOff>9525</xdr:rowOff>
        </xdr:from>
        <xdr:to>
          <xdr:col>12</xdr:col>
          <xdr:colOff>552450</xdr:colOff>
          <xdr:row>43</xdr:row>
          <xdr:rowOff>190500</xdr:rowOff>
        </xdr:to>
        <xdr:sp macro="" textlink="">
          <xdr:nvSpPr>
            <xdr:cNvPr id="3224" name="Scroll Bar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1419225</xdr:colOff>
          <xdr:row>43</xdr:row>
          <xdr:rowOff>200025</xdr:rowOff>
        </xdr:from>
        <xdr:to>
          <xdr:col>10</xdr:col>
          <xdr:colOff>38100</xdr:colOff>
          <xdr:row>45</xdr:row>
          <xdr:rowOff>28575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44</xdr:row>
          <xdr:rowOff>9525</xdr:rowOff>
        </xdr:from>
        <xdr:to>
          <xdr:col>12</xdr:col>
          <xdr:colOff>552450</xdr:colOff>
          <xdr:row>44</xdr:row>
          <xdr:rowOff>190500</xdr:rowOff>
        </xdr:to>
        <xdr:sp macro="" textlink="">
          <xdr:nvSpPr>
            <xdr:cNvPr id="3226" name="Scroll Bar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32</xdr:row>
          <xdr:rowOff>9525</xdr:rowOff>
        </xdr:from>
        <xdr:to>
          <xdr:col>20</xdr:col>
          <xdr:colOff>552450</xdr:colOff>
          <xdr:row>32</xdr:row>
          <xdr:rowOff>190500</xdr:rowOff>
        </xdr:to>
        <xdr:sp macro="" textlink="">
          <xdr:nvSpPr>
            <xdr:cNvPr id="3227" name="Scroll Bar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33</xdr:row>
          <xdr:rowOff>19050</xdr:rowOff>
        </xdr:from>
        <xdr:to>
          <xdr:col>20</xdr:col>
          <xdr:colOff>552450</xdr:colOff>
          <xdr:row>33</xdr:row>
          <xdr:rowOff>200025</xdr:rowOff>
        </xdr:to>
        <xdr:sp macro="" textlink="">
          <xdr:nvSpPr>
            <xdr:cNvPr id="3228" name="Scroll Bar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34</xdr:row>
          <xdr:rowOff>19050</xdr:rowOff>
        </xdr:from>
        <xdr:to>
          <xdr:col>20</xdr:col>
          <xdr:colOff>552450</xdr:colOff>
          <xdr:row>34</xdr:row>
          <xdr:rowOff>200025</xdr:rowOff>
        </xdr:to>
        <xdr:sp macro="" textlink="">
          <xdr:nvSpPr>
            <xdr:cNvPr id="3229" name="Scroll Bar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34</xdr:row>
          <xdr:rowOff>200025</xdr:rowOff>
        </xdr:from>
        <xdr:to>
          <xdr:col>18</xdr:col>
          <xdr:colOff>57150</xdr:colOff>
          <xdr:row>36</xdr:row>
          <xdr:rowOff>28575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33</xdr:row>
          <xdr:rowOff>200025</xdr:rowOff>
        </xdr:from>
        <xdr:to>
          <xdr:col>18</xdr:col>
          <xdr:colOff>57150</xdr:colOff>
          <xdr:row>35</xdr:row>
          <xdr:rowOff>28575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32</xdr:row>
          <xdr:rowOff>209550</xdr:rowOff>
        </xdr:from>
        <xdr:to>
          <xdr:col>18</xdr:col>
          <xdr:colOff>57150</xdr:colOff>
          <xdr:row>34</xdr:row>
          <xdr:rowOff>28575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31</xdr:row>
          <xdr:rowOff>200025</xdr:rowOff>
        </xdr:from>
        <xdr:to>
          <xdr:col>18</xdr:col>
          <xdr:colOff>57150</xdr:colOff>
          <xdr:row>33</xdr:row>
          <xdr:rowOff>28575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35</xdr:row>
          <xdr:rowOff>200025</xdr:rowOff>
        </xdr:from>
        <xdr:to>
          <xdr:col>18</xdr:col>
          <xdr:colOff>57150</xdr:colOff>
          <xdr:row>37</xdr:row>
          <xdr:rowOff>28575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36</xdr:row>
          <xdr:rowOff>200025</xdr:rowOff>
        </xdr:from>
        <xdr:to>
          <xdr:col>18</xdr:col>
          <xdr:colOff>57150</xdr:colOff>
          <xdr:row>38</xdr:row>
          <xdr:rowOff>28575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37</xdr:row>
          <xdr:rowOff>9525</xdr:rowOff>
        </xdr:from>
        <xdr:to>
          <xdr:col>20</xdr:col>
          <xdr:colOff>552450</xdr:colOff>
          <xdr:row>37</xdr:row>
          <xdr:rowOff>190500</xdr:rowOff>
        </xdr:to>
        <xdr:sp macro="" textlink="">
          <xdr:nvSpPr>
            <xdr:cNvPr id="3236" name="Scroll Bar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37</xdr:row>
          <xdr:rowOff>200025</xdr:rowOff>
        </xdr:from>
        <xdr:to>
          <xdr:col>18</xdr:col>
          <xdr:colOff>57150</xdr:colOff>
          <xdr:row>39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38</xdr:row>
          <xdr:rowOff>209550</xdr:rowOff>
        </xdr:from>
        <xdr:to>
          <xdr:col>18</xdr:col>
          <xdr:colOff>57150</xdr:colOff>
          <xdr:row>40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39</xdr:row>
          <xdr:rowOff>200025</xdr:rowOff>
        </xdr:from>
        <xdr:to>
          <xdr:col>18</xdr:col>
          <xdr:colOff>57150</xdr:colOff>
          <xdr:row>41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40</xdr:row>
          <xdr:rowOff>9525</xdr:rowOff>
        </xdr:from>
        <xdr:to>
          <xdr:col>20</xdr:col>
          <xdr:colOff>552450</xdr:colOff>
          <xdr:row>40</xdr:row>
          <xdr:rowOff>190500</xdr:rowOff>
        </xdr:to>
        <xdr:sp macro="" textlink="">
          <xdr:nvSpPr>
            <xdr:cNvPr id="3240" name="Scroll Bar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40</xdr:row>
          <xdr:rowOff>200025</xdr:rowOff>
        </xdr:from>
        <xdr:to>
          <xdr:col>18</xdr:col>
          <xdr:colOff>57150</xdr:colOff>
          <xdr:row>42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41</xdr:row>
          <xdr:rowOff>9525</xdr:rowOff>
        </xdr:from>
        <xdr:to>
          <xdr:col>20</xdr:col>
          <xdr:colOff>552450</xdr:colOff>
          <xdr:row>41</xdr:row>
          <xdr:rowOff>190500</xdr:rowOff>
        </xdr:to>
        <xdr:sp macro="" textlink="">
          <xdr:nvSpPr>
            <xdr:cNvPr id="3242" name="Scroll Bar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41</xdr:row>
          <xdr:rowOff>200025</xdr:rowOff>
        </xdr:from>
        <xdr:to>
          <xdr:col>18</xdr:col>
          <xdr:colOff>57150</xdr:colOff>
          <xdr:row>43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42</xdr:row>
          <xdr:rowOff>200025</xdr:rowOff>
        </xdr:from>
        <xdr:to>
          <xdr:col>18</xdr:col>
          <xdr:colOff>57150</xdr:colOff>
          <xdr:row>44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43</xdr:row>
          <xdr:rowOff>9525</xdr:rowOff>
        </xdr:from>
        <xdr:to>
          <xdr:col>20</xdr:col>
          <xdr:colOff>552450</xdr:colOff>
          <xdr:row>43</xdr:row>
          <xdr:rowOff>190500</xdr:rowOff>
        </xdr:to>
        <xdr:sp macro="" textlink="">
          <xdr:nvSpPr>
            <xdr:cNvPr id="3245" name="Scroll Bar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1419225</xdr:colOff>
          <xdr:row>43</xdr:row>
          <xdr:rowOff>200025</xdr:rowOff>
        </xdr:from>
        <xdr:to>
          <xdr:col>18</xdr:col>
          <xdr:colOff>57150</xdr:colOff>
          <xdr:row>45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44</xdr:row>
          <xdr:rowOff>9525</xdr:rowOff>
        </xdr:from>
        <xdr:to>
          <xdr:col>20</xdr:col>
          <xdr:colOff>552450</xdr:colOff>
          <xdr:row>44</xdr:row>
          <xdr:rowOff>190500</xdr:rowOff>
        </xdr:to>
        <xdr:sp macro="" textlink="">
          <xdr:nvSpPr>
            <xdr:cNvPr id="3247" name="Scroll Bar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7:F10" totalsRowCount="1" headerRowDxfId="90" dataDxfId="89" totalsRowDxfId="88">
  <tableColumns count="6">
    <tableColumn id="1" xr3:uid="{00000000-0010-0000-0000-000001000000}" name="№" totalsRowLabel="Итого" dataDxfId="87" totalsRowDxfId="86"/>
    <tableColumn id="2" xr3:uid="{00000000-0010-0000-0000-000002000000}" name="Руст, кВт" dataDxfId="85" totalsRowDxfId="84"/>
    <tableColumn id="3" xr3:uid="{00000000-0010-0000-0000-000003000000}" name="cosφ" dataDxfId="83" totalsRowDxfId="82"/>
    <tableColumn id="4" xr3:uid="{00000000-0010-0000-0000-000004000000}" name="Кол-во" totalsRowFunction="sum" dataDxfId="81" totalsRowDxfId="80"/>
    <tableColumn id="5" xr3:uid="{00000000-0010-0000-0000-000005000000}" name="Рр, кВт" totalsRowFunction="sum" dataDxfId="79" totalsRowDxfId="78">
      <calculatedColumnFormula>B8*D8</calculatedColumnFormula>
    </tableColumn>
    <tableColumn id="6" xr3:uid="{00000000-0010-0000-0000-000006000000}" name="Sр, кВА" totalsRowFunction="sum" dataDxfId="77" totalsRowDxfId="76">
      <calculatedColumnFormula>Таблица1[[#This Row],[Рр, кВт]]/Таблица1[[#This Row],[cosφ]]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H7:P13" totalsRowCount="1" headerRowDxfId="75" dataDxfId="73" totalsRowDxfId="71" headerRowBorderDxfId="74" tableBorderDxfId="72" totalsRowBorderDxfId="70">
  <tableColumns count="9">
    <tableColumn id="1" xr3:uid="{00000000-0010-0000-0100-000001000000}" name="№" totalsRowLabel="Итого" dataDxfId="69" totalsRowDxfId="68"/>
    <tableColumn id="2" xr3:uid="{00000000-0010-0000-0100-000002000000}" name="Руст, кВт" dataDxfId="67" totalsRowDxfId="66"/>
    <tableColumn id="3" xr3:uid="{00000000-0010-0000-0100-000003000000}" name="Тип оборудования" dataDxfId="65" totalsRowDxfId="64"/>
    <tableColumn id="4" xr3:uid="{00000000-0010-0000-0100-000004000000}" name="cosφ" dataDxfId="63" totalsRowDxfId="62"/>
    <tableColumn id="5" xr3:uid="{00000000-0010-0000-0100-000005000000}" name="Кол-во" totalsRowFunction="sum" dataDxfId="61" totalsRowDxfId="60"/>
    <tableColumn id="6" xr3:uid="{00000000-0010-0000-0100-000006000000}" name="РΣуст, кВт" totalsRowFunction="sum" dataDxfId="59" totalsRowDxfId="58">
      <calculatedColumnFormula>I8*L8</calculatedColumnFormula>
    </tableColumn>
    <tableColumn id="7" xr3:uid="{00000000-0010-0000-0100-000007000000}" name="Kc" dataDxfId="57" totalsRowDxfId="56">
      <calculatedColumnFormula>IF(OR(Таблица2[[#This Row],[Кол-во]]=0,Таблица2[[#This Row],[Руст, кВт]]=0),0,IF(OR(Таблица2[[#This Row],[Тип оборудования]]="Дымоудаление",Таблица2[[#This Row],[Тип оборудования]]="Пожарные системы"),1,INDEX(х!$S$3:$S$8,IF(Таблица2[[#This Row],[Руст, кВт]]&gt;=30,6,IF(AND(Таблица2[[#This Row],[Руст, кВт]]/Таблица2[[#Totals],[РΣуст, кВт]]&lt;=1,Таблица2[[#This Row],[Руст, кВт]]/Таблица2[[#Totals],[РΣуст, кВт]]&gt;0.85,Таблица2[[#This Row],[Руст, кВт]]&lt;30),1,IF(AND(Таблица2[[#This Row],[Руст, кВт]]/Таблица2[[#Totals],[РΣуст, кВт]]&lt;=0.85,Таблица2[[#This Row],[Руст, кВт]]/Таблица2[[#Totals],[РΣуст, кВт]]&gt;0.75,Таблица2[[#This Row],[Руст, кВт]]&lt;30),2,IF(AND(Таблица2[[#This Row],[Руст, кВт]]/Таблица2[[#Totals],[РΣуст, кВт]]&lt;=0.75,Таблица2[[#This Row],[Руст, кВт]]/Таблица2[[#Totals],[РΣуст, кВт]]&gt;0.5,Таблица2[[#This Row],[Руст, кВт]]&lt;30),3,IF(AND(Таблица2[[#This Row],[Руст, кВт]]/Таблица2[[#Totals],[РΣуст, кВт]]&lt;=0.5,Таблица2[[#This Row],[Руст, кВт]]/Таблица2[[#Totals],[РΣуст, кВт]]&gt;0.25,Таблица2[[#This Row],[Руст, кВт]]&lt;30),4,IF(AND(Таблица2[[#This Row],[Руст, кВт]]/Таблица2[[#Totals],[РΣуст, кВт]]&lt;=0.25,Таблица2[[#This Row],[Руст, кВт]]/Таблица2[[#Totals],[РΣуст, кВт]]&gt;0,Таблица2[[#This Row],[Руст, кВт]]&lt;30),5,0)))))))))</calculatedColumnFormula>
    </tableColumn>
    <tableColumn id="8" xr3:uid="{00000000-0010-0000-0100-000008000000}" name="Рр, кВт" totalsRowFunction="sum" dataDxfId="55" totalsRowDxfId="54">
      <calculatedColumnFormula>Таблица2[[#This Row],[РΣуст, кВт]]*Таблица2[[#This Row],[Kc]]</calculatedColumnFormula>
    </tableColumn>
    <tableColumn id="9" xr3:uid="{00000000-0010-0000-0100-000009000000}" name="Sр, кВА" totalsRowFunction="sum" dataDxfId="53" totalsRowDxfId="52">
      <calculatedColumnFormula>Таблица2[[#This Row],[Рр, кВт]]/Таблица2[[#This Row],[cosφ]]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A34:P37" totalsRowShown="0" headerRowDxfId="51" dataDxfId="49" headerRowBorderDxfId="50" tableBorderDxfId="48" totalsRowBorderDxfId="47">
  <tableColumns count="16">
    <tableColumn id="1" xr3:uid="{00000000-0010-0000-0200-000001000000}" name=" " dataDxfId="46"/>
    <tableColumn id="2" xr3:uid="{00000000-0010-0000-0200-000002000000}" name="Тип 1" dataDxfId="45"/>
    <tableColumn id="3" xr3:uid="{00000000-0010-0000-0200-000003000000}" name="Тип 2" dataDxfId="44"/>
    <tableColumn id="4" xr3:uid="{00000000-0010-0000-0200-000004000000}" name="Тип 3" dataDxfId="43"/>
    <tableColumn id="5" xr3:uid="{00000000-0010-0000-0200-000005000000}" name="Тип 4" dataDxfId="42"/>
    <tableColumn id="6" xr3:uid="{00000000-0010-0000-0200-000006000000}" name="Тип 5" dataDxfId="41"/>
    <tableColumn id="7" xr3:uid="{00000000-0010-0000-0200-000007000000}" name="Тип 6" dataDxfId="40"/>
    <tableColumn id="8" xr3:uid="{00000000-0010-0000-0200-000008000000}" name="К0" dataDxfId="39">
      <calculatedColumnFormula>IFERROR(IF(OR($I$2=х!$E$14,$I$2=х!$E$15,$I$2=х!$E$17),FORECAST((B35+C35+D35+E35+F35+G35+I35),INDEX(х!$F$43:$S$43,MATCH((B35+C35+D35+E35+F35+G35+I35),х!$F$42:$S$42)):INDEX(х!$G$43:$T$43,MATCH((B35+C35+D35+E35+F35+G35+I35),х!$F$42:$S$42)),INDEX(х!$F$42:$S$42,MATCH((B35+C35+D35+E35+F35+G35+I35),х!$F$42:$S$42)):INDEX(х!$G$42:$U$42,MATCH((B35+C35+D35+E35+F35+G35+I35),х!$F$42:$S$42))),FORECAST((B35+C35+D35+E35+F35+G35+I35),INDEX(х!$F$44:$S$44,MATCH((B35+C35+D35+E35+F35+G35+I35),х!$F$42:$S$42)):INDEX(х!$G$44:$T$44,MATCH((B35+C35+D35+E35+F35+G35+I35),х!$F$42:$S$42)),INDEX(х!$F$42:$S$42,MATCH((B35+C35+D35+E35+F35+G35+I35),х!$F$42:$S$42)):INDEX(х!$G$42:$U$42,MATCH((B35+C35+D35+E35+F35+G35+I35),х!$F$42:$S$42)))),0)</calculatedColumnFormula>
    </tableColumn>
    <tableColumn id="9" xr3:uid="{00000000-0010-0000-0200-000009000000}" name="Кол-во квартир" dataDxfId="38"/>
    <tableColumn id="10" xr3:uid="{00000000-0010-0000-0200-00000A000000}" name="Руд,_x000a_кВт/кв" dataDxfId="37">
      <calculatedColumnFormula>IFERROR(IF($I$2=х!$E$14,FORECAST((B35+C35+D35+E35+F35+G35+I35),INDEX(х!$F$14:$T$14,MATCH((B35+C35+D35+E35+F35+G35+I35),х!$F$13:$T$13)):INDEX(х!$G$14:$U$14,MATCH((B35+C35+D35+E35+F35+G35+I35),х!$F$13:$T$13)),INDEX(х!$F$13:$T$13,MATCH((B35+C35+D35+E35+F35+G35+I35),х!$F$13:$T$13)):INDEX(х!$G$13:$U$13,MATCH((B35+C35+D35+E35+F35+G35+I35),х!$F$13:$T$13))),IF($I$2=х!$E$15,FORECAST((B35+C35+D35+E35+F35+G35+I35),INDEX(х!$F$15:$T$15,MATCH((B35+C35+D35+E35+F35+G35+I35),х!$F$13:$T$13)):INDEX(х!$G$15:$U$15,MATCH((B35+C35+D35+E35+F35+G35+I35),х!$F$13:$T$13)),INDEX(х!$F$13:$T$13,MATCH((B35+C35+D35+E35+F35+G35+I35),х!$F$13:$T$13)):INDEX(х!$G$13:$U$13,MATCH((B35+C35+D35+E35+F35+G35+I35),х!$F$13:$T$13))),IF($I$2=х!$E$16,FORECAST((B35+C35+D35+E35+F35+G35+I35),INDEX(х!$F$16:$T$16,MATCH((B35+C35+D35+E35+F35+G35+I35),х!$F$13:$T$13)):INDEX(х!$G$16:$U$16,MATCH((B35+C35+D35+E35+F35+G35+I35),х!$F$13:$T$13)),INDEX(х!$F$13:$T$13,MATCH((B35+C35+D35+E35+F35+G35+I35),х!$F$13:$T$13)):INDEX(х!$G$13:$U$13,MATCH((B35+C35+D35+E35+F35+G35+I35),х!$F$13:$T$13))),IF($I$2=х!$E$17,FORECAST((B35+C35+D35+E35+F35+G35+I35),INDEX(х!$F$17:$T$17,MATCH((B35+C35+D35+E35+F35+G35+I35),х!$F$13:$T$13)):INDEX(х!$G$17:$U$17,MATCH((B35+C35+D35+E35+F35+G35+I35),х!$F$13:$T$13)),INDEX(х!$F$13:$T$13,MATCH((B35+C35+D35+E35+F35+G35+I35),х!$F$13:$T$13)):INDEX(х!$G$13:$U$13,MATCH((B35+C35+D35+E35+F35+G35+I35),х!$F$13:$T$13))),IF($I$2=х!$E$18,FORECAST((B35+C35+D35+E35+F35+G35+I35),INDEX(х!$F$18:$T$18,MATCH((B35+C35+D35+E35+F35+G35+I35),х!$F$13:$T$13)):INDEX(х!$G$18:$U$18,MATCH((B35+C35+D35+E35+F35+G35+I35),х!$F$13:$T$13)),INDEX(х!$F$13:$T$13,MATCH((B35+C35+D35+E35+F35+G35+I35),х!$F$13:$T$13)):INDEX(х!$G$13:$U$13,MATCH((B35+C35+D35+E35+F35+G35+I35),х!$F$13:$T$13))),FORECAST((B35+C35+D35+E35+F35+G35+I35),INDEX(х!$F$19:$T$19,MATCH((B35+C35+D35+E35+F35+G35+I35),х!$F$13:$T$13)):INDEX(х!$G$19:$U$19,MATCH((B35+C35+D35+E35+F35+G35+I35),х!$F$13:$T$13)),INDEX(х!$F$13:$T$13,MATCH((B35+C35+D35+E35+F35+G35+I35),х!$F$13:$T$13)):INDEX(х!$G$13:$U$13,MATCH((B35+C35+D35+E35+F35+G35+I35),х!$F$13:$T$13)))))))),0)</calculatedColumnFormula>
    </tableColumn>
    <tableColumn id="11" xr3:uid="{00000000-0010-0000-0200-00000B000000}" name="РΣ(I+II), кВт" dataDxfId="36">
      <calculatedColumnFormula>IFERROR(IF(((B35*х!$O$38+C35*х!$P$38+D35*х!$Q$38+E35*х!$R$38+F35*х!$S$38+G35*х!$T$38)/(B35+C35+D35+E35+F35+G35))&gt;=12,((х!$O$40*B35+х!$P$40*C35+х!$Q$40*D35+х!$R$40*E35+х!$S$40*F35+х!$T$40*G35)*H35+J35*I35),J35*(I35+G35+F35+E35+D35+C35+B35)),0)</calculatedColumnFormula>
    </tableColumn>
    <tableColumn id="12" xr3:uid="{00000000-0010-0000-0200-00000C000000}" name="SΣ(I+II), кВт" dataDxfId="35">
      <calculatedColumnFormula>K35/IF($I$3="Без дополнительных электроприемников",INDEX(х!$V$14:$V$19,MATCH($I$2,tipKV,0)),IF(INDEX(х!$V$14:$V$19,MATCH($I$2,tipKV,0))=0.98,0.93,0.92))</calculatedColumnFormula>
    </tableColumn>
    <tableColumn id="13" xr3:uid="{00000000-0010-0000-0200-00000D000000}" name="IΣ(I+II), A" dataDxfId="34">
      <calculatedColumnFormula>L35/(SQRT(3)*0.4)</calculatedColumnFormula>
    </tableColumn>
    <tableColumn id="14" xr3:uid="{00000000-0010-0000-0200-00000E000000}" name="РΣ(I+II+c), кВт" dataDxfId="33">
      <calculatedColumnFormula>K35+($M$20+$M$21)*0.9</calculatedColumnFormula>
    </tableColumn>
    <tableColumn id="15" xr3:uid="{00000000-0010-0000-0200-00000F000000}" name="SΣ(I+II+c), кВт" dataDxfId="32">
      <calculatedColumnFormula>L35+($M$26+$M$27)*0.9</calculatedColumnFormula>
    </tableColumn>
    <tableColumn id="16" xr3:uid="{00000000-0010-0000-0200-000010000000}" name="IΣ(I+II+c), A" dataDxfId="31">
      <calculatedColumnFormula>O35/(SQRT(3)*0.4)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Таблица7" displayName="Таблица7" ref="A51:M58" totalsRowCount="1" headerRowDxfId="30" totalsRowDxfId="27" headerRowBorderDxfId="29" tableBorderDxfId="28" totalsRowBorderDxfId="26">
  <tableColumns count="13">
    <tableColumn id="1" xr3:uid="{00000000-0010-0000-0300-000001000000}" name="Количество на ввод" totalsRowLabel="Итого" dataDxfId="25" totalsRowDxfId="24"/>
    <tableColumn id="2" xr3:uid="{00000000-0010-0000-0300-000002000000}" name="Тип 1" dataDxfId="23" totalsRowDxfId="22"/>
    <tableColumn id="3" xr3:uid="{00000000-0010-0000-0300-000003000000}" name="Тип 2" dataDxfId="21" totalsRowDxfId="20"/>
    <tableColumn id="4" xr3:uid="{00000000-0010-0000-0300-000004000000}" name="Тип 3" dataDxfId="19" totalsRowDxfId="18"/>
    <tableColumn id="5" xr3:uid="{00000000-0010-0000-0300-000005000000}" name="Тип 4" dataDxfId="17" totalsRowDxfId="16"/>
    <tableColumn id="6" xr3:uid="{00000000-0010-0000-0300-000006000000}" name="Тип 5" dataDxfId="15" totalsRowDxfId="14"/>
    <tableColumn id="7" xr3:uid="{00000000-0010-0000-0300-000007000000}" name="Тип 6" dataDxfId="13" totalsRowDxfId="12"/>
    <tableColumn id="8" xr3:uid="{00000000-0010-0000-0300-000008000000}" name="Σ" totalsRowFunction="sum" dataDxfId="11" totalsRowDxfId="10">
      <calculatedColumnFormula>SUM(Таблица7[[#This Row],[Тип 1]:[Тип 6]])</calculatedColumnFormula>
    </tableColumn>
    <tableColumn id="9" xr3:uid="{00000000-0010-0000-0300-000009000000}" name="Ркв, кВт" totalsRowFunction="sum" dataDxfId="9" totalsRowDxfId="8">
      <calculatedColumnFormula>Таблица7[[#This Row],[Тип 1]]*х!$O$40+Таблица7[[#This Row],[Тип 2]]*х!$P$40+Таблица7[[#This Row],[Тип 3]]*х!$Q$40+Таблица7[[#This Row],[Тип 4]]*х!$R$40+Таблица7[[#This Row],[Тип 5]]*х!$S$40+Таблица7[[#This Row],[Тип 6]]*х!$T$40</calculatedColumnFormula>
    </tableColumn>
    <tableColumn id="10" xr3:uid="{00000000-0010-0000-0300-00000A000000}" name="К0" totalsRowFunction="custom" dataDxfId="7" totalsRowDxfId="6">
      <calculatedColumnFormula>IFERROR(IF(OR('Расчет нагрузок'!$I$2=х!$E$14,'Расчет нагрузок'!$I$2=х!$E$15,'Расчет нагрузок'!$I$2=х!$E$17),FORECAST(Таблица7[[#This Row],[Σ]],INDEX(х!$F$43:$S$43,MATCH(Таблица7[[#This Row],[Σ]],х!$F$42:$S$42)):INDEX(х!$G$43:$T$43,MATCH(Таблица7[[#This Row],[Σ]],х!$F$42:$S$42)),INDEX(х!$F$42:$S$42,MATCH(Таблица7[[#This Row],[Σ]],х!$F$42:$S$42)):INDEX(х!$G$42:$U$42,MATCH(Таблица7[[#This Row],[Σ]],х!$F$42:$S$42))),FORECAST(Таблица7[[#This Row],[Σ]],INDEX(х!$F$44:$S$44,MATCH(Таблица7[[#This Row],[Σ]],х!$F$42:$S$42)):INDEX(х!$G$44:$T$44,MATCH(Таблица7[[#This Row],[Σ]],х!$F$42:$S$42)),INDEX(х!$F$42:$S$42,MATCH(Таблица7[[#This Row],[Σ]],х!$F$42:$S$42)):INDEX(х!$G$42:$U$42,MATCH(Таблица7[[#This Row],[Σ]],х!$F$42:$S$42)))),0)</calculatedColumnFormula>
      <totalsRowFormula>IFERROR(IF(OR('Расчет нагрузок'!$I$2=х!$E$14,'Расчет нагрузок'!$I$2=х!$E$15,'Расчет нагрузок'!$I$2=х!$E$17),FORECAST(Таблица7[[#Totals],[Σ]],INDEX(х!$F$43:$S$43,MATCH(Таблица7[[#Totals],[Σ]],х!$F$42:$S$42)):INDEX(х!$G$43:$T$43,MATCH(Таблица7[[#Totals],[Σ]],х!$F$42:$S$42)),INDEX(х!$F$42:$S$42,MATCH(Таблица7[[#Totals],[Σ]],х!$F$42:$S$42)):INDEX(х!$G$42:$U$42,MATCH(Таблица7[[#Totals],[Σ]],х!$F$42:$S$42))),FORECAST(Таблица7[[#Totals],[Σ]],INDEX(х!$F$44:$S$44,MATCH(Таблица7[[#Totals],[Σ]],х!$F$42:$S$42)):INDEX(х!$G$44:$T$44,MATCH(Таблица7[[#Totals],[Σ]],х!$F$42:$S$42)),INDEX(х!$F$42:$S$42,MATCH(Таблица7[[#Totals],[Σ]],х!$F$42:$S$42)):INDEX(х!$G$42:$U$42,MATCH(Таблица7[[#Totals],[Σ]],х!$F$42:$S$42)))),0)</totalsRowFormula>
    </tableColumn>
    <tableColumn id="11" xr3:uid="{00000000-0010-0000-0300-00000B000000}" name="Рр.кв, кВт" totalsRowFunction="custom" dataDxfId="5" totalsRowDxfId="4">
      <calculatedColumnFormula>Таблица7[[#This Row],[Ркв, кВт]]*Таблица7[[#This Row],[К0]]</calculatedColumnFormula>
      <totalsRowFormula>Таблица7[[#Totals],[Ркв, кВт]]*Таблица7[[#Totals],[К0]]</totalsRowFormula>
    </tableColumn>
    <tableColumn id="12" xr3:uid="{00000000-0010-0000-0300-00000C000000}" name="Sр, кВА" totalsRowFunction="custom" dataDxfId="3" totalsRowDxfId="2">
      <calculatedColumnFormula>Таблица7[[#This Row],[Рр.кв, кВт]]/IF('Расчет нагрузок'!$I$3="Без дополнительных электроприемников",INDEX(х!$V$14:$V$19,MATCH('Расчет нагрузок'!$I$2,tipKV,0)),IF(INDEX(х!$V$14:$V$19,MATCH('Расчет нагрузок'!$I$2,tipKV,0))=0.98,0.93,0.92))</calculatedColumnFormula>
      <totalsRowFormula>Таблица7[[#Totals],[Рр.кв, кВт]]/IF('Расчет нагрузок'!$I$3="Без дополнительных электроприемников",INDEX(х!$V$14:$V$19,MATCH('Расчет нагрузок'!$I$2,tipKV,0)),IF(INDEX(х!$V$14:$V$19,MATCH('Расчет нагрузок'!$I$2,tipKV,0))=0.98,0.93,0.92))</totalsRowFormula>
    </tableColumn>
    <tableColumn id="13" xr3:uid="{00000000-0010-0000-0300-00000D000000}" name="Iр, А" totalsRowFunction="custom" dataDxfId="1" totalsRowDxfId="0">
      <calculatedColumnFormula>Таблица7[[#This Row],[Sр, кВА]]/(SQRT(3)*0.4)</calculatedColumnFormula>
      <totalsRowFormula>Таблица7[[#Totals],[Sр, кВА]]/(SQRT(3)*0.4)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table" Target="../tables/table4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P37"/>
  <sheetViews>
    <sheetView tabSelected="1" zoomScale="90" zoomScaleNormal="90" workbookViewId="0">
      <selection sqref="A1:P1"/>
    </sheetView>
  </sheetViews>
  <sheetFormatPr defaultRowHeight="15" x14ac:dyDescent="0.25"/>
  <cols>
    <col min="1" max="1" width="21.28515625" customWidth="1"/>
    <col min="2" max="2" width="10.28515625" customWidth="1"/>
    <col min="4" max="4" width="8.5703125" customWidth="1"/>
    <col min="5" max="5" width="8.7109375" customWidth="1"/>
    <col min="6" max="6" width="9.42578125" customWidth="1"/>
    <col min="7" max="7" width="9.28515625" customWidth="1"/>
    <col min="8" max="8" width="17.7109375" customWidth="1"/>
    <col min="9" max="9" width="17.140625" customWidth="1"/>
    <col min="10" max="10" width="19.85546875" customWidth="1"/>
    <col min="11" max="11" width="13.42578125" customWidth="1"/>
    <col min="12" max="12" width="13.28515625" customWidth="1"/>
    <col min="13" max="13" width="11.140625" customWidth="1"/>
    <col min="14" max="14" width="15.28515625" customWidth="1"/>
    <col min="15" max="15" width="15.140625" customWidth="1"/>
    <col min="16" max="16" width="13" customWidth="1"/>
  </cols>
  <sheetData>
    <row r="1" spans="1:16" ht="15.75" thickBot="1" x14ac:dyDescent="0.3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6" ht="15" customHeight="1" x14ac:dyDescent="0.25">
      <c r="A2" s="36" t="s">
        <v>5</v>
      </c>
      <c r="B2" s="37">
        <v>0</v>
      </c>
      <c r="C2" s="73"/>
      <c r="D2" s="97"/>
      <c r="E2" s="97"/>
      <c r="F2" s="97"/>
      <c r="G2" s="75"/>
      <c r="H2" s="86" t="s">
        <v>42</v>
      </c>
      <c r="I2" s="88" t="s">
        <v>34</v>
      </c>
      <c r="J2" s="89"/>
      <c r="K2" s="89"/>
      <c r="L2" s="89"/>
      <c r="M2" s="89"/>
      <c r="N2" s="89"/>
      <c r="O2" s="89"/>
      <c r="P2" s="90"/>
    </row>
    <row r="3" spans="1:16" ht="15.75" thickBot="1" x14ac:dyDescent="0.3">
      <c r="A3" s="38" t="s">
        <v>6</v>
      </c>
      <c r="B3" s="39" t="s">
        <v>9</v>
      </c>
      <c r="C3" s="73"/>
      <c r="D3" s="97"/>
      <c r="E3" s="97"/>
      <c r="F3" s="97"/>
      <c r="G3" s="75"/>
      <c r="H3" s="87"/>
      <c r="I3" s="91" t="s">
        <v>62</v>
      </c>
      <c r="J3" s="92"/>
      <c r="K3" s="92"/>
      <c r="L3" s="92"/>
      <c r="M3" s="92"/>
      <c r="N3" s="92"/>
      <c r="O3" s="92"/>
      <c r="P3" s="93"/>
    </row>
    <row r="4" spans="1:16" ht="15.75" thickBot="1" x14ac:dyDescent="0.3">
      <c r="A4" s="98"/>
      <c r="B4" s="98"/>
      <c r="C4" s="98"/>
      <c r="D4" s="98"/>
      <c r="E4" s="98"/>
      <c r="F4" s="98"/>
      <c r="G4" s="99"/>
      <c r="H4" s="94" t="s">
        <v>152</v>
      </c>
      <c r="I4" s="95"/>
      <c r="J4" s="95"/>
      <c r="K4" s="95"/>
      <c r="L4" s="95"/>
      <c r="M4" s="95" t="s">
        <v>151</v>
      </c>
      <c r="N4" s="95"/>
      <c r="O4" s="95"/>
      <c r="P4" s="96"/>
    </row>
    <row r="5" spans="1:16" ht="15.75" thickBot="1" x14ac:dyDescent="0.3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</row>
    <row r="6" spans="1:16" ht="15.75" thickBot="1" x14ac:dyDescent="0.3">
      <c r="A6" s="100" t="s">
        <v>11</v>
      </c>
      <c r="B6" s="101"/>
      <c r="C6" s="101"/>
      <c r="D6" s="101"/>
      <c r="E6" s="101"/>
      <c r="F6" s="102"/>
      <c r="G6" s="97"/>
      <c r="H6" s="103" t="s">
        <v>22</v>
      </c>
      <c r="I6" s="104"/>
      <c r="J6" s="104"/>
      <c r="K6" s="104"/>
      <c r="L6" s="104"/>
      <c r="M6" s="104"/>
      <c r="N6" s="104"/>
      <c r="O6" s="104"/>
      <c r="P6" s="105"/>
    </row>
    <row r="7" spans="1:16" ht="18" x14ac:dyDescent="0.35">
      <c r="A7" s="29" t="s">
        <v>1</v>
      </c>
      <c r="B7" s="15" t="s">
        <v>2</v>
      </c>
      <c r="C7" s="15" t="s">
        <v>3</v>
      </c>
      <c r="D7" s="15" t="s">
        <v>4</v>
      </c>
      <c r="E7" s="15" t="s">
        <v>10</v>
      </c>
      <c r="F7" s="30" t="s">
        <v>52</v>
      </c>
      <c r="G7" s="97"/>
      <c r="H7" s="31" t="s">
        <v>1</v>
      </c>
      <c r="I7" s="17" t="s">
        <v>21</v>
      </c>
      <c r="J7" s="17" t="s">
        <v>23</v>
      </c>
      <c r="K7" s="17" t="s">
        <v>3</v>
      </c>
      <c r="L7" s="17" t="s">
        <v>4</v>
      </c>
      <c r="M7" s="15" t="s">
        <v>49</v>
      </c>
      <c r="N7" s="17" t="s">
        <v>48</v>
      </c>
      <c r="O7" s="15" t="s">
        <v>10</v>
      </c>
      <c r="P7" s="32" t="s">
        <v>52</v>
      </c>
    </row>
    <row r="8" spans="1:16" x14ac:dyDescent="0.25">
      <c r="A8" s="26" t="s">
        <v>0</v>
      </c>
      <c r="B8" s="2">
        <v>0</v>
      </c>
      <c r="C8" s="2">
        <v>0.65</v>
      </c>
      <c r="D8" s="2">
        <v>0</v>
      </c>
      <c r="E8" s="2">
        <f>B8*D8</f>
        <v>0</v>
      </c>
      <c r="F8" s="23">
        <f>Таблица1[[#This Row],[Рр, кВт]]/Таблица1[[#This Row],[cosφ]]</f>
        <v>0</v>
      </c>
      <c r="G8" s="97"/>
      <c r="H8" s="13" t="s">
        <v>27</v>
      </c>
      <c r="I8" s="2">
        <v>0</v>
      </c>
      <c r="J8" s="54" t="s">
        <v>24</v>
      </c>
      <c r="K8" s="2">
        <v>0.8</v>
      </c>
      <c r="L8" s="2">
        <v>0</v>
      </c>
      <c r="M8" s="2">
        <f>I8*L8</f>
        <v>0</v>
      </c>
      <c r="N8" s="18">
        <f>IF(OR(Таблица2[[#This Row],[Кол-во]]=0,Таблица2[[#This Row],[Руст, кВт]]=0),0,IF(OR(Таблица2[[#This Row],[Тип оборудования]]="Дымоудаление",Таблица2[[#This Row],[Тип оборудования]]="Пожарные системы"),1,INDEX(х!$S$3:$S$8,IF(Таблица2[[#This Row],[Руст, кВт]]&gt;=30,6,IF(AND(Таблица2[[#This Row],[Руст, кВт]]/Таблица2[[#Totals],[РΣуст, кВт]]&lt;=1,Таблица2[[#This Row],[Руст, кВт]]/Таблица2[[#Totals],[РΣуст, кВт]]&gt;0.85,Таблица2[[#This Row],[Руст, кВт]]&lt;30),1,IF(AND(Таблица2[[#This Row],[Руст, кВт]]/Таблица2[[#Totals],[РΣуст, кВт]]&lt;=0.85,Таблица2[[#This Row],[Руст, кВт]]/Таблица2[[#Totals],[РΣуст, кВт]]&gt;0.75,Таблица2[[#This Row],[Руст, кВт]]&lt;30),2,IF(AND(Таблица2[[#This Row],[Руст, кВт]]/Таблица2[[#Totals],[РΣуст, кВт]]&lt;=0.75,Таблица2[[#This Row],[Руст, кВт]]/Таблица2[[#Totals],[РΣуст, кВт]]&gt;0.5,Таблица2[[#This Row],[Руст, кВт]]&lt;30),3,IF(AND(Таблица2[[#This Row],[Руст, кВт]]/Таблица2[[#Totals],[РΣуст, кВт]]&lt;=0.5,Таблица2[[#This Row],[Руст, кВт]]/Таблица2[[#Totals],[РΣуст, кВт]]&gt;0.25,Таблица2[[#This Row],[Руст, кВт]]&lt;30),4,IF(AND(Таблица2[[#This Row],[Руст, кВт]]/Таблица2[[#Totals],[РΣуст, кВт]]&lt;=0.25,Таблица2[[#This Row],[Руст, кВт]]/Таблица2[[#Totals],[РΣуст, кВт]]&gt;0,Таблица2[[#This Row],[Руст, кВт]]&lt;30),5,0)))))))))</f>
        <v>0</v>
      </c>
      <c r="O8" s="18">
        <f>Таблица2[[#This Row],[РΣуст, кВт]]*Таблица2[[#This Row],[Kc]]</f>
        <v>0</v>
      </c>
      <c r="P8" s="19">
        <f>Таблица2[[#This Row],[Рр, кВт]]/Таблица2[[#This Row],[cosφ]]</f>
        <v>0</v>
      </c>
    </row>
    <row r="9" spans="1:16" x14ac:dyDescent="0.25">
      <c r="A9" s="26" t="s">
        <v>44</v>
      </c>
      <c r="B9" s="2">
        <v>0</v>
      </c>
      <c r="C9" s="2">
        <v>0.65</v>
      </c>
      <c r="D9" s="2">
        <v>0</v>
      </c>
      <c r="E9" s="2">
        <f>B9*D9</f>
        <v>0</v>
      </c>
      <c r="F9" s="23">
        <f>Таблица1[[#This Row],[Рр, кВт]]/Таблица1[[#This Row],[cosφ]]</f>
        <v>0</v>
      </c>
      <c r="G9" s="97"/>
      <c r="H9" s="13" t="s">
        <v>28</v>
      </c>
      <c r="I9" s="2">
        <v>0</v>
      </c>
      <c r="J9" s="2" t="s">
        <v>25</v>
      </c>
      <c r="K9" s="2">
        <v>0.8</v>
      </c>
      <c r="L9" s="2">
        <v>0</v>
      </c>
      <c r="M9" s="2">
        <f>I9*L9</f>
        <v>0</v>
      </c>
      <c r="N9" s="18">
        <f>IF(OR(Таблица2[[#This Row],[Кол-во]]=0,Таблица2[[#This Row],[Руст, кВт]]=0),0,IF(OR(Таблица2[[#This Row],[Тип оборудования]]="Дымоудаление",Таблица2[[#This Row],[Тип оборудования]]="Пожарные системы"),1,INDEX(х!$S$3:$S$8,IF(Таблица2[[#This Row],[Руст, кВт]]&gt;=30,6,IF(AND(Таблица2[[#This Row],[Руст, кВт]]/Таблица2[[#Totals],[РΣуст, кВт]]&lt;=1,Таблица2[[#This Row],[Руст, кВт]]/Таблица2[[#Totals],[РΣуст, кВт]]&gt;0.85,Таблица2[[#This Row],[Руст, кВт]]&lt;30),1,IF(AND(Таблица2[[#This Row],[Руст, кВт]]/Таблица2[[#Totals],[РΣуст, кВт]]&lt;=0.85,Таблица2[[#This Row],[Руст, кВт]]/Таблица2[[#Totals],[РΣуст, кВт]]&gt;0.75,Таблица2[[#This Row],[Руст, кВт]]&lt;30),2,IF(AND(Таблица2[[#This Row],[Руст, кВт]]/Таблица2[[#Totals],[РΣуст, кВт]]&lt;=0.75,Таблица2[[#This Row],[Руст, кВт]]/Таблица2[[#Totals],[РΣуст, кВт]]&gt;0.5,Таблица2[[#This Row],[Руст, кВт]]&lt;30),3,IF(AND(Таблица2[[#This Row],[Руст, кВт]]/Таблица2[[#Totals],[РΣуст, кВт]]&lt;=0.5,Таблица2[[#This Row],[Руст, кВт]]/Таблица2[[#Totals],[РΣуст, кВт]]&gt;0.25,Таблица2[[#This Row],[Руст, кВт]]&lt;30),4,IF(AND(Таблица2[[#This Row],[Руст, кВт]]/Таблица2[[#Totals],[РΣуст, кВт]]&lt;=0.25,Таблица2[[#This Row],[Руст, кВт]]/Таблица2[[#Totals],[РΣуст, кВт]]&gt;0,Таблица2[[#This Row],[Руст, кВт]]&lt;30),5,0)))))))))</f>
        <v>0</v>
      </c>
      <c r="O9" s="18">
        <f>Таблица2[[#This Row],[РΣуст, кВт]]*Таблица2[[#This Row],[Kc]]</f>
        <v>0</v>
      </c>
      <c r="P9" s="19">
        <f>Таблица2[[#This Row],[Рр, кВт]]/Таблица2[[#This Row],[cosφ]]</f>
        <v>0</v>
      </c>
    </row>
    <row r="10" spans="1:16" ht="15.75" thickBot="1" x14ac:dyDescent="0.3">
      <c r="A10" s="27" t="s">
        <v>12</v>
      </c>
      <c r="B10" s="28"/>
      <c r="C10" s="28"/>
      <c r="D10" s="28">
        <f>SUBTOTAL(109,Таблица1[Кол-во])</f>
        <v>0</v>
      </c>
      <c r="E10" s="28">
        <f>SUBTOTAL(109,Таблица1[Рр, кВт])</f>
        <v>0</v>
      </c>
      <c r="F10" s="24">
        <f>SUBTOTAL(109,Таблица1[Sр, кВА])</f>
        <v>0</v>
      </c>
      <c r="G10" s="97"/>
      <c r="H10" s="13" t="s">
        <v>29</v>
      </c>
      <c r="I10" s="2">
        <v>0</v>
      </c>
      <c r="J10" s="2" t="s">
        <v>53</v>
      </c>
      <c r="K10" s="2">
        <v>0.8</v>
      </c>
      <c r="L10" s="2">
        <v>0</v>
      </c>
      <c r="M10" s="2">
        <f>I10*L10</f>
        <v>0</v>
      </c>
      <c r="N10" s="18">
        <f>IF(OR(Таблица2[[#This Row],[Кол-во]]=0,Таблица2[[#This Row],[Руст, кВт]]=0),0,IF(OR(Таблица2[[#This Row],[Тип оборудования]]="Дымоудаление",Таблица2[[#This Row],[Тип оборудования]]="Пожарные системы"),1,INDEX(х!$S$3:$S$8,IF(Таблица2[[#This Row],[Руст, кВт]]&gt;=30,6,IF(AND(Таблица2[[#This Row],[Руст, кВт]]/Таблица2[[#Totals],[РΣуст, кВт]]&lt;=1,Таблица2[[#This Row],[Руст, кВт]]/Таблица2[[#Totals],[РΣуст, кВт]]&gt;0.85,Таблица2[[#This Row],[Руст, кВт]]&lt;30),1,IF(AND(Таблица2[[#This Row],[Руст, кВт]]/Таблица2[[#Totals],[РΣуст, кВт]]&lt;=0.85,Таблица2[[#This Row],[Руст, кВт]]/Таблица2[[#Totals],[РΣуст, кВт]]&gt;0.75,Таблица2[[#This Row],[Руст, кВт]]&lt;30),2,IF(AND(Таблица2[[#This Row],[Руст, кВт]]/Таблица2[[#Totals],[РΣуст, кВт]]&lt;=0.75,Таблица2[[#This Row],[Руст, кВт]]/Таблица2[[#Totals],[РΣуст, кВт]]&gt;0.5,Таблица2[[#This Row],[Руст, кВт]]&lt;30),3,IF(AND(Таблица2[[#This Row],[Руст, кВт]]/Таблица2[[#Totals],[РΣуст, кВт]]&lt;=0.5,Таблица2[[#This Row],[Руст, кВт]]/Таблица2[[#Totals],[РΣуст, кВт]]&gt;0.25,Таблица2[[#This Row],[Руст, кВт]]&lt;30),4,IF(AND(Таблица2[[#This Row],[Руст, кВт]]/Таблица2[[#Totals],[РΣуст, кВт]]&lt;=0.25,Таблица2[[#This Row],[Руст, кВт]]/Таблица2[[#Totals],[РΣуст, кВт]]&gt;0,Таблица2[[#This Row],[Руст, кВт]]&lt;30),5,0)))))))))</f>
        <v>0</v>
      </c>
      <c r="O10" s="18">
        <f>Таблица2[[#This Row],[РΣуст, кВт]]*Таблица2[[#This Row],[Kc]]</f>
        <v>0</v>
      </c>
      <c r="P10" s="19">
        <f>Таблица2[[#This Row],[Рр, кВт]]/Таблица2[[#This Row],[cosφ]]</f>
        <v>0</v>
      </c>
    </row>
    <row r="11" spans="1:16" x14ac:dyDescent="0.25">
      <c r="G11" s="97"/>
      <c r="H11" s="13" t="s">
        <v>50</v>
      </c>
      <c r="I11" s="2">
        <v>0</v>
      </c>
      <c r="J11" s="2" t="s">
        <v>24</v>
      </c>
      <c r="K11" s="2">
        <v>0.8</v>
      </c>
      <c r="L11" s="2">
        <v>0</v>
      </c>
      <c r="M11" s="2">
        <f>I11*L11</f>
        <v>0</v>
      </c>
      <c r="N11" s="18">
        <f>IF(OR(Таблица2[[#This Row],[Кол-во]]=0,Таблица2[[#This Row],[Руст, кВт]]=0),0,IF(OR(Таблица2[[#This Row],[Тип оборудования]]="Дымоудаление",Таблица2[[#This Row],[Тип оборудования]]="Пожарные системы"),1,INDEX(х!$S$3:$S$8,IF(Таблица2[[#This Row],[Руст, кВт]]&gt;=30,6,IF(AND(Таблица2[[#This Row],[Руст, кВт]]/Таблица2[[#Totals],[РΣуст, кВт]]&lt;=1,Таблица2[[#This Row],[Руст, кВт]]/Таблица2[[#Totals],[РΣуст, кВт]]&gt;0.85,Таблица2[[#This Row],[Руст, кВт]]&lt;30),1,IF(AND(Таблица2[[#This Row],[Руст, кВт]]/Таблица2[[#Totals],[РΣуст, кВт]]&lt;=0.85,Таблица2[[#This Row],[Руст, кВт]]/Таблица2[[#Totals],[РΣуст, кВт]]&gt;0.75,Таблица2[[#This Row],[Руст, кВт]]&lt;30),2,IF(AND(Таблица2[[#This Row],[Руст, кВт]]/Таблица2[[#Totals],[РΣуст, кВт]]&lt;=0.75,Таблица2[[#This Row],[Руст, кВт]]/Таблица2[[#Totals],[РΣуст, кВт]]&gt;0.5,Таблица2[[#This Row],[Руст, кВт]]&lt;30),3,IF(AND(Таблица2[[#This Row],[Руст, кВт]]/Таблица2[[#Totals],[РΣуст, кВт]]&lt;=0.5,Таблица2[[#This Row],[Руст, кВт]]/Таблица2[[#Totals],[РΣуст, кВт]]&gt;0.25,Таблица2[[#This Row],[Руст, кВт]]&lt;30),4,IF(AND(Таблица2[[#This Row],[Руст, кВт]]/Таблица2[[#Totals],[РΣуст, кВт]]&lt;=0.25,Таблица2[[#This Row],[Руст, кВт]]/Таблица2[[#Totals],[РΣуст, кВт]]&gt;0,Таблица2[[#This Row],[Руст, кВт]]&lt;30),5,0)))))))))</f>
        <v>0</v>
      </c>
      <c r="O11" s="18">
        <f>Таблица2[[#This Row],[РΣуст, кВт]]*Таблица2[[#This Row],[Kc]]</f>
        <v>0</v>
      </c>
      <c r="P11" s="19">
        <f>Таблица2[[#This Row],[Рр, кВт]]/Таблица2[[#This Row],[cosφ]]</f>
        <v>0</v>
      </c>
    </row>
    <row r="12" spans="1:16" x14ac:dyDescent="0.25">
      <c r="G12" s="97"/>
      <c r="H12" s="13" t="s">
        <v>51</v>
      </c>
      <c r="I12" s="2">
        <v>0</v>
      </c>
      <c r="J12" s="2" t="s">
        <v>26</v>
      </c>
      <c r="K12" s="2">
        <v>0.8</v>
      </c>
      <c r="L12" s="2">
        <v>0</v>
      </c>
      <c r="M12" s="2">
        <f>I12*L12</f>
        <v>0</v>
      </c>
      <c r="N12" s="18">
        <f>IF(OR(Таблица2[[#This Row],[Кол-во]]=0,Таблица2[[#This Row],[Руст, кВт]]=0),0,IF(OR(Таблица2[[#This Row],[Тип оборудования]]="Дымоудаление",Таблица2[[#This Row],[Тип оборудования]]="Пожарные системы"),1,INDEX(х!$S$3:$S$8,IF(Таблица2[[#This Row],[Руст, кВт]]&gt;=30,6,IF(AND(Таблица2[[#This Row],[Руст, кВт]]/Таблица2[[#Totals],[РΣуст, кВт]]&lt;=1,Таблица2[[#This Row],[Руст, кВт]]/Таблица2[[#Totals],[РΣуст, кВт]]&gt;0.85,Таблица2[[#This Row],[Руст, кВт]]&lt;30),1,IF(AND(Таблица2[[#This Row],[Руст, кВт]]/Таблица2[[#Totals],[РΣуст, кВт]]&lt;=0.85,Таблица2[[#This Row],[Руст, кВт]]/Таблица2[[#Totals],[РΣуст, кВт]]&gt;0.75,Таблица2[[#This Row],[Руст, кВт]]&lt;30),2,IF(AND(Таблица2[[#This Row],[Руст, кВт]]/Таблица2[[#Totals],[РΣуст, кВт]]&lt;=0.75,Таблица2[[#This Row],[Руст, кВт]]/Таблица2[[#Totals],[РΣуст, кВт]]&gt;0.5,Таблица2[[#This Row],[Руст, кВт]]&lt;30),3,IF(AND(Таблица2[[#This Row],[Руст, кВт]]/Таблица2[[#Totals],[РΣуст, кВт]]&lt;=0.5,Таблица2[[#This Row],[Руст, кВт]]/Таблица2[[#Totals],[РΣуст, кВт]]&gt;0.25,Таблица2[[#This Row],[Руст, кВт]]&lt;30),4,IF(AND(Таблица2[[#This Row],[Руст, кВт]]/Таблица2[[#Totals],[РΣуст, кВт]]&lt;=0.25,Таблица2[[#This Row],[Руст, кВт]]/Таблица2[[#Totals],[РΣуст, кВт]]&gt;0,Таблица2[[#This Row],[Руст, кВт]]&lt;30),5,0)))))))))</f>
        <v>0</v>
      </c>
      <c r="O12" s="18">
        <f>Таблица2[[#This Row],[РΣуст, кВт]]*Таблица2[[#This Row],[Kc]]</f>
        <v>0</v>
      </c>
      <c r="P12" s="19">
        <f>Таблица2[[#This Row],[Рр, кВт]]/Таблица2[[#This Row],[cosφ]]</f>
        <v>0</v>
      </c>
    </row>
    <row r="13" spans="1:16" x14ac:dyDescent="0.25">
      <c r="G13" s="97"/>
      <c r="H13" s="33" t="s">
        <v>12</v>
      </c>
      <c r="I13" s="16"/>
      <c r="J13" s="16"/>
      <c r="K13" s="16"/>
      <c r="L13" s="16">
        <f>SUBTOTAL(109,Таблица2[Кол-во])</f>
        <v>0</v>
      </c>
      <c r="M13" s="16">
        <f>SUBTOTAL(109,Таблица2[РΣуст, кВт])</f>
        <v>0</v>
      </c>
      <c r="N13" s="16"/>
      <c r="O13" s="16">
        <f>SUBTOTAL(109,Таблица2[Рр, кВт])</f>
        <v>0</v>
      </c>
      <c r="P13" s="34">
        <f>SUBTOTAL(109,Таблица2[Sр, кВА])</f>
        <v>0</v>
      </c>
    </row>
    <row r="14" spans="1:16" x14ac:dyDescent="0.25">
      <c r="G14" s="97"/>
    </row>
    <row r="15" spans="1:16" x14ac:dyDescent="0.25">
      <c r="G15" s="97"/>
    </row>
    <row r="16" spans="1:16" ht="15.75" thickBot="1" x14ac:dyDescent="0.3">
      <c r="G16" s="97"/>
    </row>
    <row r="17" spans="1:16" ht="15.75" thickBot="1" x14ac:dyDescent="0.3">
      <c r="A17" s="78" t="s">
        <v>109</v>
      </c>
      <c r="B17" s="79"/>
      <c r="C17" s="79"/>
      <c r="D17" s="79"/>
      <c r="E17" s="79"/>
      <c r="F17" s="80"/>
      <c r="G17" s="97"/>
      <c r="H17" s="78" t="s">
        <v>129</v>
      </c>
      <c r="I17" s="79"/>
      <c r="J17" s="79"/>
      <c r="K17" s="79"/>
      <c r="L17" s="79"/>
      <c r="M17" s="80"/>
    </row>
    <row r="18" spans="1:16" x14ac:dyDescent="0.25">
      <c r="A18" s="83" t="s">
        <v>58</v>
      </c>
      <c r="B18" s="84"/>
      <c r="C18" s="84"/>
      <c r="D18" s="84"/>
      <c r="E18" s="84"/>
      <c r="F18" s="85"/>
      <c r="G18" s="97"/>
      <c r="H18" s="83" t="s">
        <v>58</v>
      </c>
      <c r="I18" s="84"/>
      <c r="J18" s="84"/>
      <c r="K18" s="84"/>
      <c r="L18" s="84"/>
      <c r="M18" s="85"/>
    </row>
    <row r="19" spans="1:16" x14ac:dyDescent="0.25">
      <c r="A19" s="81" t="s">
        <v>54</v>
      </c>
      <c r="B19" s="82"/>
      <c r="C19" s="82"/>
      <c r="D19" s="82"/>
      <c r="E19" s="82"/>
      <c r="F19" s="23">
        <f>IFERROR(INDEX(LetMAXEq,MATCH($M$4,LetMAX,0),2)*B2*INDEX(х!W14:W19,MATCH('Расчет нагрузок'!I2,tipKV,0)),0)</f>
        <v>0</v>
      </c>
      <c r="G19" s="97"/>
      <c r="H19" s="81" t="s">
        <v>54</v>
      </c>
      <c r="I19" s="82"/>
      <c r="J19" s="82"/>
      <c r="K19" s="82"/>
      <c r="L19" s="82"/>
      <c r="M19" s="23">
        <f>Таблица7[[#Totals],[Рр.кв, кВт]]</f>
        <v>0</v>
      </c>
    </row>
    <row r="20" spans="1:16" x14ac:dyDescent="0.25">
      <c r="A20" s="81" t="s">
        <v>55</v>
      </c>
      <c r="B20" s="82"/>
      <c r="C20" s="82"/>
      <c r="D20" s="82"/>
      <c r="E20" s="82"/>
      <c r="F20" s="23">
        <f>IF(Таблица1[[#Totals],[Кол-во]]=0,0,Таблица1[[#Totals],[Рр, кВт]]*INDEX(х!B3:C27,MATCH(Таблица1[[#Totals],[Кол-во]],х!A3:A27,0),MATCH(B3,х!B2:C2,0)))</f>
        <v>0</v>
      </c>
      <c r="G20" s="97"/>
      <c r="H20" s="81" t="s">
        <v>55</v>
      </c>
      <c r="I20" s="82"/>
      <c r="J20" s="82"/>
      <c r="K20" s="82"/>
      <c r="L20" s="82"/>
      <c r="M20" s="23">
        <f>F20</f>
        <v>0</v>
      </c>
    </row>
    <row r="21" spans="1:16" x14ac:dyDescent="0.25">
      <c r="A21" s="81" t="s">
        <v>56</v>
      </c>
      <c r="B21" s="82"/>
      <c r="C21" s="82"/>
      <c r="D21" s="82"/>
      <c r="E21" s="82"/>
      <c r="F21" s="23">
        <f>Таблица2[[#Totals],[Рр, кВт]]</f>
        <v>0</v>
      </c>
      <c r="G21" s="97"/>
      <c r="H21" s="81" t="s">
        <v>56</v>
      </c>
      <c r="I21" s="82"/>
      <c r="J21" s="82"/>
      <c r="K21" s="82"/>
      <c r="L21" s="82"/>
      <c r="M21" s="23">
        <f>F21</f>
        <v>0</v>
      </c>
    </row>
    <row r="22" spans="1:16" ht="15.75" thickBot="1" x14ac:dyDescent="0.3">
      <c r="A22" s="71" t="s">
        <v>57</v>
      </c>
      <c r="B22" s="72"/>
      <c r="C22" s="72"/>
      <c r="D22" s="72"/>
      <c r="E22" s="72"/>
      <c r="F22" s="24">
        <f>F19+(F20+F21)*0.9</f>
        <v>0</v>
      </c>
      <c r="G22" s="97"/>
      <c r="H22" s="106" t="s">
        <v>57</v>
      </c>
      <c r="I22" s="107"/>
      <c r="J22" s="107"/>
      <c r="K22" s="107"/>
      <c r="L22" s="108"/>
      <c r="M22" s="24">
        <f>M19+(M20+M21)*0.9</f>
        <v>0</v>
      </c>
    </row>
    <row r="23" spans="1:16" ht="15.75" thickBot="1" x14ac:dyDescent="0.3">
      <c r="A23" s="73"/>
      <c r="B23" s="74"/>
      <c r="C23" s="74"/>
      <c r="D23" s="74"/>
      <c r="E23" s="74"/>
      <c r="F23" s="75"/>
      <c r="G23" s="97"/>
      <c r="H23" s="78"/>
      <c r="I23" s="79"/>
      <c r="J23" s="79"/>
      <c r="K23" s="79"/>
      <c r="L23" s="79"/>
      <c r="M23" s="80"/>
    </row>
    <row r="24" spans="1:16" x14ac:dyDescent="0.25">
      <c r="A24" s="83" t="s">
        <v>59</v>
      </c>
      <c r="B24" s="84"/>
      <c r="C24" s="84"/>
      <c r="D24" s="84"/>
      <c r="E24" s="84"/>
      <c r="F24" s="85"/>
      <c r="G24" s="97"/>
      <c r="H24" s="83" t="s">
        <v>59</v>
      </c>
      <c r="I24" s="84"/>
      <c r="J24" s="84"/>
      <c r="K24" s="84"/>
      <c r="L24" s="84"/>
      <c r="M24" s="85"/>
    </row>
    <row r="25" spans="1:16" x14ac:dyDescent="0.25">
      <c r="A25" s="81" t="s">
        <v>38</v>
      </c>
      <c r="B25" s="82"/>
      <c r="C25" s="82"/>
      <c r="D25" s="82"/>
      <c r="E25" s="82"/>
      <c r="F25" s="23">
        <f>F19/IF(I3="Без дополнительных электроприемников",INDEX(х!V14:V19,MATCH(I2,tipKV,0)),IF(INDEX(х!V14:V19,MATCH(I2,tipKV,0))=0.98,0.93,0.92))</f>
        <v>0</v>
      </c>
      <c r="G25" s="97"/>
      <c r="H25" s="81" t="s">
        <v>38</v>
      </c>
      <c r="I25" s="82"/>
      <c r="J25" s="82"/>
      <c r="K25" s="82"/>
      <c r="L25" s="82"/>
      <c r="M25" s="23">
        <f>M19/IF(I3="Без дополнительных электроприемников",INDEX(х!V14:V19,MATCH(I2,tipKV,0)),IF(INDEX(х!V14:V19,MATCH(I2,tipKV,0))=0.98,0.93,0.92))</f>
        <v>0</v>
      </c>
    </row>
    <row r="26" spans="1:16" x14ac:dyDescent="0.25">
      <c r="A26" s="81" t="s">
        <v>39</v>
      </c>
      <c r="B26" s="82"/>
      <c r="C26" s="82"/>
      <c r="D26" s="82"/>
      <c r="E26" s="82"/>
      <c r="F26" s="23">
        <f>IF(Таблица1[[#Totals],[Кол-во]]=0,0,Таблица1[[#Totals],[Sр, кВА]]*INDEX(х!B3:C27,MATCH(Таблица1[[#Totals],[Кол-во]],х!A3:A27,0),MATCH(B3,х!B2:C2,0)))</f>
        <v>0</v>
      </c>
      <c r="G26" s="97"/>
      <c r="H26" s="81" t="s">
        <v>39</v>
      </c>
      <c r="I26" s="82"/>
      <c r="J26" s="82"/>
      <c r="K26" s="82"/>
      <c r="L26" s="82"/>
      <c r="M26" s="23">
        <f>F26</f>
        <v>0</v>
      </c>
    </row>
    <row r="27" spans="1:16" x14ac:dyDescent="0.25">
      <c r="A27" s="81" t="s">
        <v>40</v>
      </c>
      <c r="B27" s="82"/>
      <c r="C27" s="82"/>
      <c r="D27" s="82"/>
      <c r="E27" s="82"/>
      <c r="F27" s="23">
        <f>Таблица2[[#Totals],[Sр, кВА]]</f>
        <v>0</v>
      </c>
      <c r="G27" s="97"/>
      <c r="H27" s="81" t="s">
        <v>40</v>
      </c>
      <c r="I27" s="82"/>
      <c r="J27" s="82"/>
      <c r="K27" s="82"/>
      <c r="L27" s="82"/>
      <c r="M27" s="23">
        <f>F27</f>
        <v>0</v>
      </c>
    </row>
    <row r="28" spans="1:16" ht="15.75" thickBot="1" x14ac:dyDescent="0.3">
      <c r="A28" s="71" t="s">
        <v>41</v>
      </c>
      <c r="B28" s="72"/>
      <c r="C28" s="72"/>
      <c r="D28" s="72"/>
      <c r="E28" s="72"/>
      <c r="F28" s="24">
        <f>F25+(F26+F27)*0.9</f>
        <v>0</v>
      </c>
      <c r="G28" s="97"/>
      <c r="H28" s="71" t="s">
        <v>41</v>
      </c>
      <c r="I28" s="72"/>
      <c r="J28" s="72"/>
      <c r="K28" s="72"/>
      <c r="L28" s="72"/>
      <c r="M28" s="24">
        <f>M25+(M26+M27)*0.9</f>
        <v>0</v>
      </c>
    </row>
    <row r="29" spans="1:16" ht="15.75" thickBot="1" x14ac:dyDescent="0.3">
      <c r="A29" s="73"/>
      <c r="B29" s="74"/>
      <c r="C29" s="74"/>
      <c r="D29" s="74"/>
      <c r="E29" s="74"/>
      <c r="F29" s="75"/>
      <c r="G29" s="97"/>
      <c r="H29" s="73"/>
      <c r="I29" s="74"/>
      <c r="J29" s="74"/>
      <c r="K29" s="74"/>
      <c r="L29" s="74"/>
      <c r="M29" s="75"/>
    </row>
    <row r="30" spans="1:16" ht="15.75" thickBot="1" x14ac:dyDescent="0.3">
      <c r="A30" s="76" t="s">
        <v>60</v>
      </c>
      <c r="B30" s="77"/>
      <c r="C30" s="77"/>
      <c r="D30" s="77"/>
      <c r="E30" s="77"/>
      <c r="F30" s="25">
        <f>F28/(SQRT(3)*0.4)</f>
        <v>0</v>
      </c>
      <c r="G30" s="97"/>
      <c r="H30" s="76" t="s">
        <v>60</v>
      </c>
      <c r="I30" s="77"/>
      <c r="J30" s="77"/>
      <c r="K30" s="77"/>
      <c r="L30" s="77"/>
      <c r="M30" s="25">
        <f>M28/(SQRT(3)*0.4)</f>
        <v>0</v>
      </c>
    </row>
    <row r="32" spans="1:16" x14ac:dyDescent="0.25">
      <c r="A32" s="70" t="s">
        <v>130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</row>
    <row r="33" spans="1:16" ht="24" customHeight="1" x14ac:dyDescent="0.25">
      <c r="A33" s="54"/>
      <c r="B33" s="67" t="s">
        <v>131</v>
      </c>
      <c r="C33" s="69"/>
      <c r="D33" s="69"/>
      <c r="E33" s="69"/>
      <c r="F33" s="69"/>
      <c r="G33" s="69"/>
      <c r="H33" s="69"/>
      <c r="I33" s="67" t="s">
        <v>134</v>
      </c>
      <c r="J33" s="68"/>
      <c r="K33" s="67" t="s">
        <v>139</v>
      </c>
      <c r="L33" s="69"/>
      <c r="M33" s="68"/>
      <c r="N33" s="67" t="s">
        <v>140</v>
      </c>
      <c r="O33" s="69"/>
      <c r="P33" s="68"/>
    </row>
    <row r="34" spans="1:16" ht="43.5" customHeight="1" x14ac:dyDescent="0.25">
      <c r="A34" s="59" t="s">
        <v>146</v>
      </c>
      <c r="B34" s="60" t="s">
        <v>116</v>
      </c>
      <c r="C34" s="60" t="s">
        <v>117</v>
      </c>
      <c r="D34" s="60" t="s">
        <v>118</v>
      </c>
      <c r="E34" s="60" t="s">
        <v>119</v>
      </c>
      <c r="F34" s="60" t="s">
        <v>120</v>
      </c>
      <c r="G34" s="60" t="s">
        <v>121</v>
      </c>
      <c r="H34" s="61" t="s">
        <v>133</v>
      </c>
      <c r="I34" s="60" t="s">
        <v>135</v>
      </c>
      <c r="J34" s="60" t="s">
        <v>145</v>
      </c>
      <c r="K34" s="60" t="s">
        <v>136</v>
      </c>
      <c r="L34" s="60" t="s">
        <v>138</v>
      </c>
      <c r="M34" s="60" t="s">
        <v>137</v>
      </c>
      <c r="N34" s="60" t="s">
        <v>141</v>
      </c>
      <c r="O34" s="60" t="s">
        <v>142</v>
      </c>
      <c r="P34" s="62" t="s">
        <v>143</v>
      </c>
    </row>
    <row r="35" spans="1:16" x14ac:dyDescent="0.25">
      <c r="A35" s="56" t="s">
        <v>132</v>
      </c>
      <c r="B35" s="54">
        <v>0</v>
      </c>
      <c r="C35" s="54">
        <v>0</v>
      </c>
      <c r="D35" s="54">
        <v>0</v>
      </c>
      <c r="E35" s="54">
        <v>0</v>
      </c>
      <c r="F35" s="54">
        <v>0</v>
      </c>
      <c r="G35" s="54">
        <v>0</v>
      </c>
      <c r="H35" s="55">
        <f>IFERROR(IF(OR($I$2=х!$E$14,$I$2=х!$E$15,$I$2=х!$E$17),FORECAST((B35+C35+D35+E35+F35+G35+I35),INDEX(х!$F$43:$S$43,MATCH((B35+C35+D35+E35+F35+G35+I35),х!$F$42:$S$42)):INDEX(х!$G$43:$T$43,MATCH((B35+C35+D35+E35+F35+G35+I35),х!$F$42:$S$42)),INDEX(х!$F$42:$S$42,MATCH((B35+C35+D35+E35+F35+G35+I35),х!$F$42:$S$42)):INDEX(х!$G$42:$U$42,MATCH((B35+C35+D35+E35+F35+G35+I35),х!$F$42:$S$42))),FORECAST((B35+C35+D35+E35+F35+G35+I35),INDEX(х!$F$44:$S$44,MATCH((B35+C35+D35+E35+F35+G35+I35),х!$F$42:$S$42)):INDEX(х!$G$44:$T$44,MATCH((B35+C35+D35+E35+F35+G35+I35),х!$F$42:$S$42)),INDEX(х!$F$42:$S$42,MATCH((B35+C35+D35+E35+F35+G35+I35),х!$F$42:$S$42)):INDEX(х!$G$42:$U$42,MATCH((B35+C35+D35+E35+F35+G35+I35),х!$F$42:$S$42)))),0)</f>
        <v>0</v>
      </c>
      <c r="I35" s="54">
        <v>0</v>
      </c>
      <c r="J35" s="55">
        <f>IFERROR(IF($I$2=х!$E$14,FORECAST((B35+C35+D35+E35+F35+G35+I35),INDEX(х!$F$14:$T$14,MATCH((B35+C35+D35+E35+F35+G35+I35),х!$F$13:$T$13)):INDEX(х!$G$14:$U$14,MATCH((B35+C35+D35+E35+F35+G35+I35),х!$F$13:$T$13)),INDEX(х!$F$13:$T$13,MATCH((B35+C35+D35+E35+F35+G35+I35),х!$F$13:$T$13)):INDEX(х!$G$13:$U$13,MATCH((B35+C35+D35+E35+F35+G35+I35),х!$F$13:$T$13))),IF($I$2=х!$E$15,FORECAST((B35+C35+D35+E35+F35+G35+I35),INDEX(х!$F$15:$T$15,MATCH((B35+C35+D35+E35+F35+G35+I35),х!$F$13:$T$13)):INDEX(х!$G$15:$U$15,MATCH((B35+C35+D35+E35+F35+G35+I35),х!$F$13:$T$13)),INDEX(х!$F$13:$T$13,MATCH((B35+C35+D35+E35+F35+G35+I35),х!$F$13:$T$13)):INDEX(х!$G$13:$U$13,MATCH((B35+C35+D35+E35+F35+G35+I35),х!$F$13:$T$13))),IF($I$2=х!$E$16,FORECAST((B35+C35+D35+E35+F35+G35+I35),INDEX(х!$F$16:$T$16,MATCH((B35+C35+D35+E35+F35+G35+I35),х!$F$13:$T$13)):INDEX(х!$G$16:$U$16,MATCH((B35+C35+D35+E35+F35+G35+I35),х!$F$13:$T$13)),INDEX(х!$F$13:$T$13,MATCH((B35+C35+D35+E35+F35+G35+I35),х!$F$13:$T$13)):INDEX(х!$G$13:$U$13,MATCH((B35+C35+D35+E35+F35+G35+I35),х!$F$13:$T$13))),IF($I$2=х!$E$17,FORECAST((B35+C35+D35+E35+F35+G35+I35),INDEX(х!$F$17:$T$17,MATCH((B35+C35+D35+E35+F35+G35+I35),х!$F$13:$T$13)):INDEX(х!$G$17:$U$17,MATCH((B35+C35+D35+E35+F35+G35+I35),х!$F$13:$T$13)),INDEX(х!$F$13:$T$13,MATCH((B35+C35+D35+E35+F35+G35+I35),х!$F$13:$T$13)):INDEX(х!$G$13:$U$13,MATCH((B35+C35+D35+E35+F35+G35+I35),х!$F$13:$T$13))),IF($I$2=х!$E$18,FORECAST((B35+C35+D35+E35+F35+G35+I35),INDEX(х!$F$18:$T$18,MATCH((B35+C35+D35+E35+F35+G35+I35),х!$F$13:$T$13)):INDEX(х!$G$18:$U$18,MATCH((B35+C35+D35+E35+F35+G35+I35),х!$F$13:$T$13)),INDEX(х!$F$13:$T$13,MATCH((B35+C35+D35+E35+F35+G35+I35),х!$F$13:$T$13)):INDEX(х!$G$13:$U$13,MATCH((B35+C35+D35+E35+F35+G35+I35),х!$F$13:$T$13))),FORECAST((B35+C35+D35+E35+F35+G35+I35),INDEX(х!$F$19:$T$19,MATCH((B35+C35+D35+E35+F35+G35+I35),х!$F$13:$T$13)):INDEX(х!$G$19:$U$19,MATCH((B35+C35+D35+E35+F35+G35+I35),х!$F$13:$T$13)),INDEX(х!$F$13:$T$13,MATCH((B35+C35+D35+E35+F35+G35+I35),х!$F$13:$T$13)):INDEX(х!$G$13:$U$13,MATCH((B35+C35+D35+E35+F35+G35+I35),х!$F$13:$T$13)))))))),0)</f>
        <v>0</v>
      </c>
      <c r="K35" s="43">
        <f>IFERROR(IF(((B35*х!$O$38+C35*х!$P$38+D35*х!$Q$38+E35*х!$R$38+F35*х!$S$38+G35*х!$T$38)/(B35+C35+D35+E35+F35+G35))&gt;=12,((х!$O$40*B35+х!$P$40*C35+х!$Q$40*D35+х!$R$40*E35+х!$S$40*F35+х!$T$40*G35)*H35+J35*I35),J35*(I35+G35+F35+E35+D35+C35+B35)),0)</f>
        <v>0</v>
      </c>
      <c r="L35" s="43">
        <f>K35/IF($I$3="Без дополнительных электроприемников",INDEX(х!$V$14:$V$19,MATCH($I$2,tipKV,0)),IF(INDEX(х!$V$14:$V$19,MATCH($I$2,tipKV,0))=0.98,0.93,0.92))</f>
        <v>0</v>
      </c>
      <c r="M35" s="43">
        <f>L35/(SQRT(3)*0.4)</f>
        <v>0</v>
      </c>
      <c r="N35" s="43">
        <f>K35+($M$20+$M$21)*0.9</f>
        <v>0</v>
      </c>
      <c r="O35" s="43">
        <f>L35+($M$26+$M$27)*0.9</f>
        <v>0</v>
      </c>
      <c r="P35" s="19">
        <f>O35/(SQRT(3)*0.4)</f>
        <v>0</v>
      </c>
    </row>
    <row r="36" spans="1:16" x14ac:dyDescent="0.25">
      <c r="A36" s="56" t="s">
        <v>144</v>
      </c>
      <c r="B36" s="57">
        <v>0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5">
        <f>IFERROR(IF(OR($I$2=х!$E$14,$I$2=х!$E$15,$I$2=х!$E$17),FORECAST((B36+C36+D36+E36+F36+G36+I36),INDEX(х!$F$43:$S$43,MATCH((B36+C36+D36+E36+F36+G36+I36),х!$F$42:$S$42)):INDEX(х!$G$43:$T$43,MATCH((B36+C36+D36+E36+F36+G36+I36),х!$F$42:$S$42)),INDEX(х!$F$42:$S$42,MATCH((B36+C36+D36+E36+F36+G36+I36),х!$F$42:$S$42)):INDEX(х!$G$42:$U$42,MATCH((B36+C36+D36+E36+F36+G36+I36),х!$F$42:$S$42))),FORECAST((B36+C36+D36+E36+F36+G36+I36),INDEX(х!$F$44:$S$44,MATCH((B36+C36+D36+E36+F36+G36+I36),х!$F$42:$S$42)):INDEX(х!$G$44:$T$44,MATCH((B36+C36+D36+E36+F36+G36+I36),х!$F$42:$S$42)),INDEX(х!$F$42:$S$42,MATCH((B36+C36+D36+E36+F36+G36+I36),х!$F$42:$S$42)):INDEX(х!$G$42:$U$42,MATCH((B36+C36+D36+E36+F36+G36+I36),х!$F$42:$S$42)))),0)</f>
        <v>0</v>
      </c>
      <c r="I36" s="57">
        <v>0</v>
      </c>
      <c r="J36" s="55">
        <f>IFERROR(IF($I$2=х!$E$14,FORECAST((B36+C36+D36+E36+F36+G36+I36),INDEX(х!$F$14:$T$14,MATCH((B36+C36+D36+E36+F36+G36+I36),х!$F$13:$T$13)):INDEX(х!$G$14:$U$14,MATCH((B36+C36+D36+E36+F36+G36+I36),х!$F$13:$T$13)),INDEX(х!$F$13:$T$13,MATCH((B36+C36+D36+E36+F36+G36+I36),х!$F$13:$T$13)):INDEX(х!$G$13:$U$13,MATCH((B36+C36+D36+E36+F36+G36+I36),х!$F$13:$T$13))),IF($I$2=х!$E$15,FORECAST((B36+C36+D36+E36+F36+G36+I36),INDEX(х!$F$15:$T$15,MATCH((B36+C36+D36+E36+F36+G36+I36),х!$F$13:$T$13)):INDEX(х!$G$15:$U$15,MATCH((B36+C36+D36+E36+F36+G36+I36),х!$F$13:$T$13)),INDEX(х!$F$13:$T$13,MATCH((B36+C36+D36+E36+F36+G36+I36),х!$F$13:$T$13)):INDEX(х!$G$13:$U$13,MATCH((B36+C36+D36+E36+F36+G36+I36),х!$F$13:$T$13))),IF($I$2=х!$E$16,FORECAST((B36+C36+D36+E36+F36+G36+I36),INDEX(х!$F$16:$T$16,MATCH((B36+C36+D36+E36+F36+G36+I36),х!$F$13:$T$13)):INDEX(х!$G$16:$U$16,MATCH((B36+C36+D36+E36+F36+G36+I36),х!$F$13:$T$13)),INDEX(х!$F$13:$T$13,MATCH((B36+C36+D36+E36+F36+G36+I36),х!$F$13:$T$13)):INDEX(х!$G$13:$U$13,MATCH((B36+C36+D36+E36+F36+G36+I36),х!$F$13:$T$13))),IF($I$2=х!$E$17,FORECAST((B36+C36+D36+E36+F36+G36+I36),INDEX(х!$F$17:$T$17,MATCH((B36+C36+D36+E36+F36+G36+I36),х!$F$13:$T$13)):INDEX(х!$G$17:$U$17,MATCH((B36+C36+D36+E36+F36+G36+I36),х!$F$13:$T$13)),INDEX(х!$F$13:$T$13,MATCH((B36+C36+D36+E36+F36+G36+I36),х!$F$13:$T$13)):INDEX(х!$G$13:$U$13,MATCH((B36+C36+D36+E36+F36+G36+I36),х!$F$13:$T$13))),IF($I$2=х!$E$18,FORECAST((B36+C36+D36+E36+F36+G36+I36),INDEX(х!$F$18:$T$18,MATCH((B36+C36+D36+E36+F36+G36+I36),х!$F$13:$T$13)):INDEX(х!$G$18:$U$18,MATCH((B36+C36+D36+E36+F36+G36+I36),х!$F$13:$T$13)),INDEX(х!$F$13:$T$13,MATCH((B36+C36+D36+E36+F36+G36+I36),х!$F$13:$T$13)):INDEX(х!$G$13:$U$13,MATCH((B36+C36+D36+E36+F36+G36+I36),х!$F$13:$T$13))),FORECAST((B36+C36+D36+E36+F36+G36+I36),INDEX(х!$F$19:$T$19,MATCH((B36+C36+D36+E36+F36+G36+I36),х!$F$13:$T$13)):INDEX(х!$G$19:$U$19,MATCH((B36+C36+D36+E36+F36+G36+I36),х!$F$13:$T$13)),INDEX(х!$F$13:$T$13,MATCH((B36+C36+D36+E36+F36+G36+I36),х!$F$13:$T$13)):INDEX(х!$G$13:$U$13,MATCH((B36+C36+D36+E36+F36+G36+I36),х!$F$13:$T$13)))))))),0)</f>
        <v>0</v>
      </c>
      <c r="K36" s="43">
        <f>IFERROR(IF(((B36*х!$O$38+C36*х!$P$38+D36*х!$Q$38+E36*х!$R$38+F36*х!$S$38+G36*х!$T$38)/(B36+C36+D36+E36+F36+G36))&gt;=12,((х!$O$40*B36+х!$P$40*C36+х!$Q$40*D36+х!$R$40*E36+х!$S$40*F36+х!$T$40*G36)*H36+J36*I36),J36*(I36+G36+F36+E36+D36+C36+B36)),0)</f>
        <v>0</v>
      </c>
      <c r="L36" s="43">
        <f>K36/IF($I$3="Без дополнительных электроприемников",INDEX(х!$V$14:$V$19,MATCH($I$2,tipKV,0)),IF(INDEX(х!$V$14:$V$19,MATCH($I$2,tipKV,0))=0.98,0.93,0.92))</f>
        <v>0</v>
      </c>
      <c r="M36" s="43">
        <f t="shared" ref="M36:M37" si="0">L36/(SQRT(3)*0.4)</f>
        <v>0</v>
      </c>
      <c r="N36" s="43">
        <f t="shared" ref="N36:N37" si="1">K36+($M$20+$M$21)*0.9</f>
        <v>0</v>
      </c>
      <c r="O36" s="43">
        <f t="shared" ref="O36:O37" si="2">L36+($M$26+$M$27)*0.9</f>
        <v>0</v>
      </c>
      <c r="P36" s="19">
        <f t="shared" ref="P36:P37" si="3">O36/(SQRT(3)*0.4)</f>
        <v>0</v>
      </c>
    </row>
    <row r="37" spans="1:16" x14ac:dyDescent="0.25">
      <c r="A37" s="56" t="s">
        <v>147</v>
      </c>
      <c r="B37" s="57">
        <v>0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5">
        <f>IFERROR(IF(OR($I$2=х!$E$14,$I$2=х!$E$15,$I$2=х!$E$17),FORECAST((B37+C37+D37+E37+F37+G37+I37),INDEX(х!$F$43:$S$43,MATCH((B37+C37+D37+E37+F37+G37+I37),х!$F$42:$S$42)):INDEX(х!$G$43:$T$43,MATCH((B37+C37+D37+E37+F37+G37+I37),х!$F$42:$S$42)),INDEX(х!$F$42:$S$42,MATCH((B37+C37+D37+E37+F37+G37+I37),х!$F$42:$S$42)):INDEX(х!$G$42:$U$42,MATCH((B37+C37+D37+E37+F37+G37+I37),х!$F$42:$S$42))),FORECAST((B37+C37+D37+E37+F37+G37+I37),INDEX(х!$F$44:$S$44,MATCH((B37+C37+D37+E37+F37+G37+I37),х!$F$42:$S$42)):INDEX(х!$G$44:$T$44,MATCH((B37+C37+D37+E37+F37+G37+I37),х!$F$42:$S$42)),INDEX(х!$F$42:$S$42,MATCH((B37+C37+D37+E37+F37+G37+I37),х!$F$42:$S$42)):INDEX(х!$G$42:$U$42,MATCH((B37+C37+D37+E37+F37+G37+I37),х!$F$42:$S$42)))),0)</f>
        <v>0</v>
      </c>
      <c r="I37" s="57">
        <v>0</v>
      </c>
      <c r="J37" s="55">
        <f>IFERROR(IF($I$2=х!$E$14,FORECAST((B37+C37+D37+E37+F37+G37+I37),INDEX(х!$F$14:$T$14,MATCH((B37+C37+D37+E37+F37+G37+I37),х!$F$13:$T$13)):INDEX(х!$G$14:$U$14,MATCH((B37+C37+D37+E37+F37+G37+I37),х!$F$13:$T$13)),INDEX(х!$F$13:$T$13,MATCH((B37+C37+D37+E37+F37+G37+I37),х!$F$13:$T$13)):INDEX(х!$G$13:$U$13,MATCH((B37+C37+D37+E37+F37+G37+I37),х!$F$13:$T$13))),IF($I$2=х!$E$15,FORECAST((B37+C37+D37+E37+F37+G37+I37),INDEX(х!$F$15:$T$15,MATCH((B37+C37+D37+E37+F37+G37+I37),х!$F$13:$T$13)):INDEX(х!$G$15:$U$15,MATCH((B37+C37+D37+E37+F37+G37+I37),х!$F$13:$T$13)),INDEX(х!$F$13:$T$13,MATCH((B37+C37+D37+E37+F37+G37+I37),х!$F$13:$T$13)):INDEX(х!$G$13:$U$13,MATCH((B37+C37+D37+E37+F37+G37+I37),х!$F$13:$T$13))),IF($I$2=х!$E$16,FORECAST((B37+C37+D37+E37+F37+G37+I37),INDEX(х!$F$16:$T$16,MATCH((B37+C37+D37+E37+F37+G37+I37),х!$F$13:$T$13)):INDEX(х!$G$16:$U$16,MATCH((B37+C37+D37+E37+F37+G37+I37),х!$F$13:$T$13)),INDEX(х!$F$13:$T$13,MATCH((B37+C37+D37+E37+F37+G37+I37),х!$F$13:$T$13)):INDEX(х!$G$13:$U$13,MATCH((B37+C37+D37+E37+F37+G37+I37),х!$F$13:$T$13))),IF($I$2=х!$E$17,FORECAST((B37+C37+D37+E37+F37+G37+I37),INDEX(х!$F$17:$T$17,MATCH((B37+C37+D37+E37+F37+G37+I37),х!$F$13:$T$13)):INDEX(х!$G$17:$U$17,MATCH((B37+C37+D37+E37+F37+G37+I37),х!$F$13:$T$13)),INDEX(х!$F$13:$T$13,MATCH((B37+C37+D37+E37+F37+G37+I37),х!$F$13:$T$13)):INDEX(х!$G$13:$U$13,MATCH((B37+C37+D37+E37+F37+G37+I37),х!$F$13:$T$13))),IF($I$2=х!$E$18,FORECAST((B37+C37+D37+E37+F37+G37+I37),INDEX(х!$F$18:$T$18,MATCH((B37+C37+D37+E37+F37+G37+I37),х!$F$13:$T$13)):INDEX(х!$G$18:$U$18,MATCH((B37+C37+D37+E37+F37+G37+I37),х!$F$13:$T$13)),INDEX(х!$F$13:$T$13,MATCH((B37+C37+D37+E37+F37+G37+I37),х!$F$13:$T$13)):INDEX(х!$G$13:$U$13,MATCH((B37+C37+D37+E37+F37+G37+I37),х!$F$13:$T$13))),FORECAST((B37+C37+D37+E37+F37+G37+I37),INDEX(х!$F$19:$T$19,MATCH((B37+C37+D37+E37+F37+G37+I37),х!$F$13:$T$13)):INDEX(х!$G$19:$U$19,MATCH((B37+C37+D37+E37+F37+G37+I37),х!$F$13:$T$13)),INDEX(х!$F$13:$T$13,MATCH((B37+C37+D37+E37+F37+G37+I37),х!$F$13:$T$13)):INDEX(х!$G$13:$U$13,MATCH((B37+C37+D37+E37+F37+G37+I37),х!$F$13:$T$13)))))))),0)</f>
        <v>0</v>
      </c>
      <c r="K37" s="43">
        <f>IFERROR(IF(((B37*х!$O$38+C37*х!$P$38+D37*х!$Q$38+E37*х!$R$38+F37*х!$S$38+G37*х!$T$38)/(B37+C37+D37+E37+F37+G37))&gt;=12,((х!$O$40*B37+х!$P$40*C37+х!$Q$40*D37+х!$R$40*E37+х!$S$40*F37+х!$T$40*G37)*H37+J37*I37),J37*(I37+G37+F37+E37+D37+C37+B37)),0)</f>
        <v>0</v>
      </c>
      <c r="L37" s="43">
        <f>K37/IF($I$3="Без дополнительных электроприемников",INDEX(х!$V$14:$V$19,MATCH($I$2,tipKV,0)),IF(INDEX(х!$V$14:$V$19,MATCH($I$2,tipKV,0))=0.98,0.93,0.92))</f>
        <v>0</v>
      </c>
      <c r="M37" s="43">
        <f t="shared" si="0"/>
        <v>0</v>
      </c>
      <c r="N37" s="43">
        <f t="shared" si="1"/>
        <v>0</v>
      </c>
      <c r="O37" s="43">
        <f t="shared" si="2"/>
        <v>0</v>
      </c>
      <c r="P37" s="19">
        <f t="shared" si="3"/>
        <v>0</v>
      </c>
    </row>
  </sheetData>
  <mergeCells count="45">
    <mergeCell ref="A1:P1"/>
    <mergeCell ref="C2:G3"/>
    <mergeCell ref="G6:G30"/>
    <mergeCell ref="A6:F6"/>
    <mergeCell ref="H6:P6"/>
    <mergeCell ref="A25:E25"/>
    <mergeCell ref="A26:E26"/>
    <mergeCell ref="A27:E27"/>
    <mergeCell ref="H20:L20"/>
    <mergeCell ref="H21:L21"/>
    <mergeCell ref="H22:L22"/>
    <mergeCell ref="H23:M23"/>
    <mergeCell ref="H24:M24"/>
    <mergeCell ref="H25:L25"/>
    <mergeCell ref="H26:L26"/>
    <mergeCell ref="H27:L27"/>
    <mergeCell ref="H2:H3"/>
    <mergeCell ref="I2:P2"/>
    <mergeCell ref="I3:P3"/>
    <mergeCell ref="H18:M18"/>
    <mergeCell ref="H19:L19"/>
    <mergeCell ref="H4:L4"/>
    <mergeCell ref="M4:P4"/>
    <mergeCell ref="A5:P5"/>
    <mergeCell ref="A4:G4"/>
    <mergeCell ref="H28:L28"/>
    <mergeCell ref="H29:M29"/>
    <mergeCell ref="H30:L30"/>
    <mergeCell ref="A17:F17"/>
    <mergeCell ref="H17:M17"/>
    <mergeCell ref="A28:E28"/>
    <mergeCell ref="A30:E30"/>
    <mergeCell ref="A29:F29"/>
    <mergeCell ref="A19:E19"/>
    <mergeCell ref="A20:E20"/>
    <mergeCell ref="A21:E21"/>
    <mergeCell ref="A22:E22"/>
    <mergeCell ref="A23:F23"/>
    <mergeCell ref="A18:F18"/>
    <mergeCell ref="A24:F24"/>
    <mergeCell ref="I33:J33"/>
    <mergeCell ref="K33:M33"/>
    <mergeCell ref="N33:P33"/>
    <mergeCell ref="B33:H33"/>
    <mergeCell ref="A32:P32"/>
  </mergeCells>
  <dataValidations count="5">
    <dataValidation type="list" allowBlank="1" showInputMessage="1" showErrorMessage="1" sqref="I2" xr:uid="{00000000-0002-0000-0000-000000000000}">
      <formula1>tipKV</formula1>
    </dataValidation>
    <dataValidation type="list" allowBlank="1" showInputMessage="1" showErrorMessage="1" sqref="B3" xr:uid="{00000000-0002-0000-0000-000001000000}">
      <formula1>"До 12, 12 и более"</formula1>
    </dataValidation>
    <dataValidation type="list" allowBlank="1" showInputMessage="1" showErrorMessage="1" sqref="J8:J12" xr:uid="{00000000-0002-0000-0000-000002000000}">
      <formula1>"Сантехническое, Холодильное, Дымоудаление, Пожарные системы"</formula1>
    </dataValidation>
    <dataValidation type="list" allowBlank="1" showInputMessage="1" showErrorMessage="1" sqref="I3:P3" xr:uid="{00000000-0002-0000-0000-000003000000}">
      <formula1>DopEl</formula1>
    </dataValidation>
    <dataValidation type="list" allowBlank="1" showInputMessage="1" showErrorMessage="1" sqref="M4:P4" xr:uid="{00000000-0002-0000-0000-000004000000}">
      <formula1>LetMAX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W58"/>
  <sheetViews>
    <sheetView zoomScale="80" zoomScaleNormal="80" workbookViewId="0">
      <selection activeCell="C53" sqref="C53"/>
    </sheetView>
  </sheetViews>
  <sheetFormatPr defaultRowHeight="15" x14ac:dyDescent="0.25"/>
  <cols>
    <col min="1" max="1" width="22.28515625" customWidth="1"/>
    <col min="2" max="2" width="25.28515625" customWidth="1"/>
    <col min="3" max="3" width="10.140625" customWidth="1"/>
    <col min="8" max="8" width="5.7109375" customWidth="1"/>
    <col min="9" max="9" width="19.7109375" customWidth="1"/>
    <col min="10" max="10" width="25.28515625" customWidth="1"/>
    <col min="11" max="11" width="10.140625" customWidth="1"/>
    <col min="16" max="16" width="5" customWidth="1"/>
    <col min="17" max="17" width="20.42578125" customWidth="1"/>
    <col min="18" max="18" width="25" customWidth="1"/>
    <col min="19" max="19" width="10.140625" customWidth="1"/>
  </cols>
  <sheetData>
    <row r="1" spans="1:23" ht="15.75" thickBot="1" x14ac:dyDescent="0.3">
      <c r="A1" s="100" t="s">
        <v>63</v>
      </c>
      <c r="B1" s="101"/>
      <c r="C1" s="101"/>
      <c r="D1" s="101"/>
      <c r="E1" s="101"/>
      <c r="F1" s="101"/>
      <c r="G1" s="102"/>
      <c r="H1" s="74"/>
      <c r="I1" s="100" t="s">
        <v>87</v>
      </c>
      <c r="J1" s="101"/>
      <c r="K1" s="101"/>
      <c r="L1" s="101"/>
      <c r="M1" s="101"/>
      <c r="N1" s="101"/>
      <c r="O1" s="102"/>
      <c r="P1" s="74"/>
      <c r="Q1" s="100" t="s">
        <v>88</v>
      </c>
      <c r="R1" s="101"/>
      <c r="S1" s="101"/>
      <c r="T1" s="101"/>
      <c r="U1" s="101"/>
      <c r="V1" s="101"/>
      <c r="W1" s="102"/>
    </row>
    <row r="2" spans="1:23" ht="17.25" x14ac:dyDescent="0.25">
      <c r="A2" s="123" t="s">
        <v>64</v>
      </c>
      <c r="B2" s="124"/>
      <c r="C2" s="124"/>
      <c r="D2" s="124"/>
      <c r="E2" s="124"/>
      <c r="F2" s="124"/>
      <c r="G2" s="30">
        <v>0</v>
      </c>
      <c r="H2" s="74"/>
      <c r="I2" s="123" t="s">
        <v>64</v>
      </c>
      <c r="J2" s="124"/>
      <c r="K2" s="124"/>
      <c r="L2" s="124"/>
      <c r="M2" s="124"/>
      <c r="N2" s="124"/>
      <c r="O2" s="30">
        <v>0</v>
      </c>
      <c r="P2" s="74"/>
      <c r="Q2" s="123" t="s">
        <v>64</v>
      </c>
      <c r="R2" s="124"/>
      <c r="S2" s="124"/>
      <c r="T2" s="124"/>
      <c r="U2" s="124"/>
      <c r="V2" s="124"/>
      <c r="W2" s="30">
        <v>0</v>
      </c>
    </row>
    <row r="3" spans="1:23" x14ac:dyDescent="0.25">
      <c r="A3" s="81" t="s">
        <v>70</v>
      </c>
      <c r="B3" s="82"/>
      <c r="C3" s="82"/>
      <c r="D3" s="82"/>
      <c r="E3" s="82"/>
      <c r="F3" s="82"/>
      <c r="G3" s="45">
        <v>0</v>
      </c>
      <c r="H3" s="74"/>
      <c r="I3" s="81" t="s">
        <v>70</v>
      </c>
      <c r="J3" s="82"/>
      <c r="K3" s="82"/>
      <c r="L3" s="82"/>
      <c r="M3" s="82"/>
      <c r="N3" s="82"/>
      <c r="O3" s="45">
        <v>0</v>
      </c>
      <c r="P3" s="74"/>
      <c r="Q3" s="81" t="s">
        <v>70</v>
      </c>
      <c r="R3" s="82"/>
      <c r="S3" s="82"/>
      <c r="T3" s="82"/>
      <c r="U3" s="82"/>
      <c r="V3" s="82"/>
      <c r="W3" s="45">
        <v>0</v>
      </c>
    </row>
    <row r="4" spans="1:23" ht="18" thickBot="1" x14ac:dyDescent="0.3">
      <c r="A4" s="125" t="s">
        <v>84</v>
      </c>
      <c r="B4" s="126"/>
      <c r="C4" s="126"/>
      <c r="D4" s="126"/>
      <c r="E4" s="126"/>
      <c r="F4" s="126"/>
      <c r="G4" s="46">
        <v>0</v>
      </c>
      <c r="H4" s="74"/>
      <c r="I4" s="125" t="s">
        <v>84</v>
      </c>
      <c r="J4" s="126"/>
      <c r="K4" s="126"/>
      <c r="L4" s="126"/>
      <c r="M4" s="126"/>
      <c r="N4" s="126"/>
      <c r="O4" s="46">
        <v>0</v>
      </c>
      <c r="P4" s="74"/>
      <c r="Q4" s="125" t="s">
        <v>84</v>
      </c>
      <c r="R4" s="126"/>
      <c r="S4" s="126"/>
      <c r="T4" s="126"/>
      <c r="U4" s="126"/>
      <c r="V4" s="126"/>
      <c r="W4" s="46">
        <v>0</v>
      </c>
    </row>
    <row r="5" spans="1:23" ht="15.75" thickBot="1" x14ac:dyDescent="0.3">
      <c r="A5" s="127" t="s">
        <v>65</v>
      </c>
      <c r="B5" s="128"/>
      <c r="C5" s="128"/>
      <c r="D5" s="128"/>
      <c r="E5" s="128"/>
      <c r="F5" s="128"/>
      <c r="G5" s="129"/>
      <c r="H5" s="74"/>
      <c r="I5" s="127" t="s">
        <v>65</v>
      </c>
      <c r="J5" s="128"/>
      <c r="K5" s="128"/>
      <c r="L5" s="128"/>
      <c r="M5" s="128"/>
      <c r="N5" s="128"/>
      <c r="O5" s="129"/>
      <c r="P5" s="74"/>
      <c r="Q5" s="127" t="s">
        <v>65</v>
      </c>
      <c r="R5" s="128"/>
      <c r="S5" s="128"/>
      <c r="T5" s="128"/>
      <c r="U5" s="128"/>
      <c r="V5" s="128"/>
      <c r="W5" s="129"/>
    </row>
    <row r="6" spans="1:23" ht="15.75" thickBot="1" x14ac:dyDescent="0.3">
      <c r="A6" s="130"/>
      <c r="B6" s="131"/>
      <c r="C6" s="131"/>
      <c r="D6" s="131"/>
      <c r="E6" s="131"/>
      <c r="F6" s="131"/>
      <c r="G6" s="132"/>
      <c r="H6" s="74"/>
      <c r="I6" s="130"/>
      <c r="J6" s="131"/>
      <c r="K6" s="131"/>
      <c r="L6" s="131"/>
      <c r="M6" s="131"/>
      <c r="N6" s="131"/>
      <c r="O6" s="132"/>
      <c r="P6" s="74"/>
      <c r="Q6" s="130"/>
      <c r="R6" s="131"/>
      <c r="S6" s="131"/>
      <c r="T6" s="131"/>
      <c r="U6" s="131"/>
      <c r="V6" s="131"/>
      <c r="W6" s="132"/>
    </row>
    <row r="7" spans="1:23" ht="15.75" thickBot="1" x14ac:dyDescent="0.3">
      <c r="A7" s="127" t="s">
        <v>66</v>
      </c>
      <c r="B7" s="128"/>
      <c r="C7" s="128"/>
      <c r="D7" s="128"/>
      <c r="E7" s="128"/>
      <c r="F7" s="128"/>
      <c r="G7" s="129"/>
      <c r="H7" s="74"/>
      <c r="I7" s="127" t="s">
        <v>66</v>
      </c>
      <c r="J7" s="128"/>
      <c r="K7" s="128"/>
      <c r="L7" s="128"/>
      <c r="M7" s="128"/>
      <c r="N7" s="128"/>
      <c r="O7" s="129"/>
      <c r="P7" s="74"/>
      <c r="Q7" s="127" t="s">
        <v>66</v>
      </c>
      <c r="R7" s="128"/>
      <c r="S7" s="128"/>
      <c r="T7" s="128"/>
      <c r="U7" s="128"/>
      <c r="V7" s="128"/>
      <c r="W7" s="129"/>
    </row>
    <row r="8" spans="1:23" ht="18" x14ac:dyDescent="0.35">
      <c r="A8" s="133" t="s">
        <v>79</v>
      </c>
      <c r="B8" s="134"/>
      <c r="C8" s="15" t="s">
        <v>108</v>
      </c>
      <c r="D8" s="135"/>
      <c r="E8" s="136"/>
      <c r="F8" s="15" t="s">
        <v>4</v>
      </c>
      <c r="G8" s="47" t="s">
        <v>80</v>
      </c>
      <c r="H8" s="74"/>
      <c r="I8" s="133" t="s">
        <v>79</v>
      </c>
      <c r="J8" s="134"/>
      <c r="K8" s="15" t="s">
        <v>108</v>
      </c>
      <c r="L8" s="135"/>
      <c r="M8" s="136"/>
      <c r="N8" s="15" t="s">
        <v>4</v>
      </c>
      <c r="O8" s="47" t="s">
        <v>80</v>
      </c>
      <c r="P8" s="74"/>
      <c r="Q8" s="133" t="s">
        <v>79</v>
      </c>
      <c r="R8" s="134"/>
      <c r="S8" s="15" t="s">
        <v>108</v>
      </c>
      <c r="T8" s="135"/>
      <c r="U8" s="136"/>
      <c r="V8" s="15" t="s">
        <v>4</v>
      </c>
      <c r="W8" s="47" t="s">
        <v>49</v>
      </c>
    </row>
    <row r="9" spans="1:23" ht="17.25" x14ac:dyDescent="0.25">
      <c r="A9" s="115" t="s">
        <v>67</v>
      </c>
      <c r="B9" s="116"/>
      <c r="C9" s="21">
        <f>IF(х!G24,х!H24/2,0)</f>
        <v>0</v>
      </c>
      <c r="D9" s="117"/>
      <c r="E9" s="118"/>
      <c r="F9" s="21" t="s">
        <v>81</v>
      </c>
      <c r="G9" s="45">
        <f>C9*$G$2/1000</f>
        <v>0</v>
      </c>
      <c r="H9" s="74"/>
      <c r="I9" s="115" t="s">
        <v>67</v>
      </c>
      <c r="J9" s="116"/>
      <c r="K9" s="21">
        <f>IF(х!I24,х!J24/2,0)</f>
        <v>0</v>
      </c>
      <c r="L9" s="117"/>
      <c r="M9" s="118"/>
      <c r="N9" s="21" t="s">
        <v>81</v>
      </c>
      <c r="O9" s="45">
        <f>K9*$O$2/1000</f>
        <v>0</v>
      </c>
      <c r="P9" s="74"/>
      <c r="Q9" s="115" t="s">
        <v>67</v>
      </c>
      <c r="R9" s="116"/>
      <c r="S9" s="21">
        <f>IF(х!K24,х!L24/2,0)</f>
        <v>0</v>
      </c>
      <c r="T9" s="117"/>
      <c r="U9" s="118"/>
      <c r="V9" s="21" t="s">
        <v>81</v>
      </c>
      <c r="W9" s="45">
        <f>S9*$W$2/1000</f>
        <v>0</v>
      </c>
    </row>
    <row r="10" spans="1:23" ht="17.25" x14ac:dyDescent="0.25">
      <c r="A10" s="115" t="s">
        <v>68</v>
      </c>
      <c r="B10" s="116"/>
      <c r="C10" s="21">
        <f>IF(х!G25,х!H25/2,0)</f>
        <v>0</v>
      </c>
      <c r="D10" s="117"/>
      <c r="E10" s="118"/>
      <c r="F10" s="21" t="s">
        <v>81</v>
      </c>
      <c r="G10" s="45">
        <f>C10*$G$2/1000</f>
        <v>0</v>
      </c>
      <c r="H10" s="74"/>
      <c r="I10" s="115" t="s">
        <v>68</v>
      </c>
      <c r="J10" s="116"/>
      <c r="K10" s="21">
        <f>IF(х!I25,х!J25/2,0)</f>
        <v>0</v>
      </c>
      <c r="L10" s="117"/>
      <c r="M10" s="118"/>
      <c r="N10" s="21" t="s">
        <v>81</v>
      </c>
      <c r="O10" s="45">
        <f>K10*$O$2/1000</f>
        <v>0</v>
      </c>
      <c r="P10" s="74"/>
      <c r="Q10" s="115" t="s">
        <v>68</v>
      </c>
      <c r="R10" s="116"/>
      <c r="S10" s="21">
        <f>IF(х!K25,х!L25/2,0)</f>
        <v>0</v>
      </c>
      <c r="T10" s="117"/>
      <c r="U10" s="118"/>
      <c r="V10" s="21" t="s">
        <v>81</v>
      </c>
      <c r="W10" s="45">
        <f>S10*$W$2/1000</f>
        <v>0</v>
      </c>
    </row>
    <row r="11" spans="1:23" ht="17.25" customHeight="1" x14ac:dyDescent="0.25">
      <c r="A11" s="115" t="s">
        <v>69</v>
      </c>
      <c r="B11" s="116"/>
      <c r="C11" s="21">
        <f>IF(х!G26,х!H26/4,0)</f>
        <v>0</v>
      </c>
      <c r="D11" s="117"/>
      <c r="E11" s="118"/>
      <c r="F11" s="21">
        <v>1</v>
      </c>
      <c r="G11" s="45">
        <f t="shared" ref="G11:G19" si="0">C11*F11</f>
        <v>0</v>
      </c>
      <c r="H11" s="74"/>
      <c r="I11" s="115" t="s">
        <v>69</v>
      </c>
      <c r="J11" s="116"/>
      <c r="K11" s="21">
        <f>IF(х!I26,х!J26/4,0)</f>
        <v>0</v>
      </c>
      <c r="L11" s="117"/>
      <c r="M11" s="118"/>
      <c r="N11" s="21">
        <v>1</v>
      </c>
      <c r="O11" s="45">
        <f t="shared" ref="O11:O19" si="1">K11*N11</f>
        <v>0</v>
      </c>
      <c r="P11" s="74"/>
      <c r="Q11" s="115" t="s">
        <v>69</v>
      </c>
      <c r="R11" s="116"/>
      <c r="S11" s="21">
        <f>IF(х!K26,х!L26/4,0)</f>
        <v>0</v>
      </c>
      <c r="T11" s="117"/>
      <c r="U11" s="118"/>
      <c r="V11" s="21">
        <v>1</v>
      </c>
      <c r="W11" s="45">
        <f t="shared" ref="W11:W19" si="2">S11*V11</f>
        <v>0</v>
      </c>
    </row>
    <row r="12" spans="1:23" ht="17.25" customHeight="1" x14ac:dyDescent="0.25">
      <c r="A12" s="115" t="s">
        <v>71</v>
      </c>
      <c r="B12" s="116"/>
      <c r="C12" s="21">
        <f>IF(х!H27,2.2,0)</f>
        <v>0</v>
      </c>
      <c r="D12" s="117"/>
      <c r="E12" s="118"/>
      <c r="F12" s="21">
        <v>1</v>
      </c>
      <c r="G12" s="45">
        <f t="shared" si="0"/>
        <v>0</v>
      </c>
      <c r="H12" s="74"/>
      <c r="I12" s="115" t="s">
        <v>71</v>
      </c>
      <c r="J12" s="116"/>
      <c r="K12" s="21">
        <f>IF(х!J27,2.2,0)</f>
        <v>0</v>
      </c>
      <c r="L12" s="117"/>
      <c r="M12" s="118"/>
      <c r="N12" s="21">
        <v>1</v>
      </c>
      <c r="O12" s="45">
        <f t="shared" si="1"/>
        <v>0</v>
      </c>
      <c r="P12" s="74"/>
      <c r="Q12" s="115" t="s">
        <v>71</v>
      </c>
      <c r="R12" s="116"/>
      <c r="S12" s="21">
        <f>IF(х!L27,2.2,0)</f>
        <v>0</v>
      </c>
      <c r="T12" s="117"/>
      <c r="U12" s="118"/>
      <c r="V12" s="21">
        <v>1</v>
      </c>
      <c r="W12" s="45">
        <f t="shared" si="2"/>
        <v>0</v>
      </c>
    </row>
    <row r="13" spans="1:23" ht="17.25" customHeight="1" x14ac:dyDescent="0.25">
      <c r="A13" s="115" t="s">
        <v>72</v>
      </c>
      <c r="B13" s="116"/>
      <c r="C13" s="21">
        <f>IF(х!H28,2.2,0)</f>
        <v>0</v>
      </c>
      <c r="D13" s="117"/>
      <c r="E13" s="118"/>
      <c r="F13" s="21">
        <v>1</v>
      </c>
      <c r="G13" s="45">
        <f t="shared" si="0"/>
        <v>0</v>
      </c>
      <c r="H13" s="74"/>
      <c r="I13" s="115" t="s">
        <v>72</v>
      </c>
      <c r="J13" s="116"/>
      <c r="K13" s="21">
        <f>IF(х!J28,2.2,0)</f>
        <v>0</v>
      </c>
      <c r="L13" s="117"/>
      <c r="M13" s="118"/>
      <c r="N13" s="21">
        <v>1</v>
      </c>
      <c r="O13" s="45">
        <f t="shared" si="1"/>
        <v>0</v>
      </c>
      <c r="P13" s="74"/>
      <c r="Q13" s="115" t="s">
        <v>72</v>
      </c>
      <c r="R13" s="116"/>
      <c r="S13" s="21">
        <f>IF(х!L28,2.2,0)</f>
        <v>0</v>
      </c>
      <c r="T13" s="117"/>
      <c r="U13" s="118"/>
      <c r="V13" s="21">
        <v>1</v>
      </c>
      <c r="W13" s="45">
        <f t="shared" si="2"/>
        <v>0</v>
      </c>
    </row>
    <row r="14" spans="1:23" ht="17.25" customHeight="1" x14ac:dyDescent="0.25">
      <c r="A14" s="115" t="s">
        <v>73</v>
      </c>
      <c r="B14" s="116"/>
      <c r="C14" s="21">
        <f>IF(х!G29,х!H29/2,0)</f>
        <v>0</v>
      </c>
      <c r="D14" s="117"/>
      <c r="E14" s="118"/>
      <c r="F14" s="21">
        <v>1</v>
      </c>
      <c r="G14" s="45">
        <f t="shared" si="0"/>
        <v>0</v>
      </c>
      <c r="H14" s="74"/>
      <c r="I14" s="115" t="s">
        <v>73</v>
      </c>
      <c r="J14" s="116"/>
      <c r="K14" s="21">
        <f>IF(х!I29,х!J29/2,0)</f>
        <v>0</v>
      </c>
      <c r="L14" s="117"/>
      <c r="M14" s="118"/>
      <c r="N14" s="21">
        <v>1</v>
      </c>
      <c r="O14" s="45">
        <f t="shared" si="1"/>
        <v>0</v>
      </c>
      <c r="P14" s="74"/>
      <c r="Q14" s="115" t="s">
        <v>73</v>
      </c>
      <c r="R14" s="116"/>
      <c r="S14" s="21">
        <f>IF(х!K29,х!L29/2,0)</f>
        <v>0</v>
      </c>
      <c r="T14" s="117"/>
      <c r="U14" s="118"/>
      <c r="V14" s="21">
        <v>1</v>
      </c>
      <c r="W14" s="45">
        <f t="shared" si="2"/>
        <v>0</v>
      </c>
    </row>
    <row r="15" spans="1:23" ht="17.25" customHeight="1" x14ac:dyDescent="0.25">
      <c r="A15" s="115" t="s">
        <v>74</v>
      </c>
      <c r="B15" s="116"/>
      <c r="C15" s="21">
        <f>IF(х!H30,2.5,0)</f>
        <v>0</v>
      </c>
      <c r="D15" s="117"/>
      <c r="E15" s="118"/>
      <c r="F15" s="21">
        <v>1</v>
      </c>
      <c r="G15" s="45">
        <f t="shared" si="0"/>
        <v>0</v>
      </c>
      <c r="H15" s="74"/>
      <c r="I15" s="115" t="s">
        <v>74</v>
      </c>
      <c r="J15" s="116"/>
      <c r="K15" s="21">
        <f>IF(х!J30,2.5,0)</f>
        <v>0</v>
      </c>
      <c r="L15" s="117"/>
      <c r="M15" s="118"/>
      <c r="N15" s="21">
        <v>1</v>
      </c>
      <c r="O15" s="45">
        <f t="shared" si="1"/>
        <v>0</v>
      </c>
      <c r="P15" s="74"/>
      <c r="Q15" s="115" t="s">
        <v>74</v>
      </c>
      <c r="R15" s="116"/>
      <c r="S15" s="21">
        <f>IF(х!L30,2.5,0)</f>
        <v>0</v>
      </c>
      <c r="T15" s="117"/>
      <c r="U15" s="118"/>
      <c r="V15" s="21">
        <v>1</v>
      </c>
      <c r="W15" s="45">
        <f t="shared" si="2"/>
        <v>0</v>
      </c>
    </row>
    <row r="16" spans="1:23" ht="17.25" customHeight="1" x14ac:dyDescent="0.25">
      <c r="A16" s="115" t="s">
        <v>75</v>
      </c>
      <c r="B16" s="116"/>
      <c r="C16" s="21">
        <f>IF(х!H31,3,0)</f>
        <v>0</v>
      </c>
      <c r="D16" s="117"/>
      <c r="E16" s="118"/>
      <c r="F16" s="21">
        <v>1</v>
      </c>
      <c r="G16" s="45">
        <f t="shared" si="0"/>
        <v>0</v>
      </c>
      <c r="H16" s="74"/>
      <c r="I16" s="115" t="s">
        <v>75</v>
      </c>
      <c r="J16" s="116"/>
      <c r="K16" s="21">
        <f>IF(х!J31,3,0)</f>
        <v>0</v>
      </c>
      <c r="L16" s="117"/>
      <c r="M16" s="118"/>
      <c r="N16" s="21">
        <v>1</v>
      </c>
      <c r="O16" s="45">
        <f t="shared" si="1"/>
        <v>0</v>
      </c>
      <c r="P16" s="74"/>
      <c r="Q16" s="115" t="s">
        <v>75</v>
      </c>
      <c r="R16" s="116"/>
      <c r="S16" s="21">
        <f>IF(х!L31,3,0)</f>
        <v>0</v>
      </c>
      <c r="T16" s="117"/>
      <c r="U16" s="118"/>
      <c r="V16" s="21">
        <v>1</v>
      </c>
      <c r="W16" s="45">
        <f t="shared" si="2"/>
        <v>0</v>
      </c>
    </row>
    <row r="17" spans="1:23" ht="17.25" customHeight="1" x14ac:dyDescent="0.25">
      <c r="A17" s="115" t="s">
        <v>76</v>
      </c>
      <c r="B17" s="116"/>
      <c r="C17" s="21">
        <f>IF(х!G32,х!H32/10,0)</f>
        <v>0</v>
      </c>
      <c r="D17" s="117"/>
      <c r="E17" s="118"/>
      <c r="F17" s="21">
        <v>1</v>
      </c>
      <c r="G17" s="45">
        <f t="shared" si="0"/>
        <v>0</v>
      </c>
      <c r="H17" s="74"/>
      <c r="I17" s="115" t="s">
        <v>76</v>
      </c>
      <c r="J17" s="116"/>
      <c r="K17" s="21">
        <f>IF(х!I32,х!J32/10,0)</f>
        <v>0</v>
      </c>
      <c r="L17" s="117"/>
      <c r="M17" s="118"/>
      <c r="N17" s="21">
        <v>1</v>
      </c>
      <c r="O17" s="45">
        <f t="shared" si="1"/>
        <v>0</v>
      </c>
      <c r="P17" s="74"/>
      <c r="Q17" s="115" t="s">
        <v>76</v>
      </c>
      <c r="R17" s="116"/>
      <c r="S17" s="21">
        <f>IF(х!K32,х!L32/10,0)</f>
        <v>0</v>
      </c>
      <c r="T17" s="117"/>
      <c r="U17" s="118"/>
      <c r="V17" s="21">
        <v>1</v>
      </c>
      <c r="W17" s="45">
        <f t="shared" si="2"/>
        <v>0</v>
      </c>
    </row>
    <row r="18" spans="1:23" ht="17.25" customHeight="1" x14ac:dyDescent="0.25">
      <c r="A18" s="115" t="s">
        <v>77</v>
      </c>
      <c r="B18" s="116"/>
      <c r="C18" s="21">
        <f>IF(х!G33,х!H33/10,0)</f>
        <v>0</v>
      </c>
      <c r="D18" s="117"/>
      <c r="E18" s="118"/>
      <c r="F18" s="21">
        <v>1</v>
      </c>
      <c r="G18" s="45">
        <f t="shared" si="0"/>
        <v>0</v>
      </c>
      <c r="H18" s="74"/>
      <c r="I18" s="115" t="s">
        <v>77</v>
      </c>
      <c r="J18" s="116"/>
      <c r="K18" s="21">
        <f>IF(х!I33,х!J33/10,0)</f>
        <v>0</v>
      </c>
      <c r="L18" s="117"/>
      <c r="M18" s="118"/>
      <c r="N18" s="21">
        <v>1</v>
      </c>
      <c r="O18" s="45">
        <f t="shared" si="1"/>
        <v>0</v>
      </c>
      <c r="P18" s="74"/>
      <c r="Q18" s="115" t="s">
        <v>77</v>
      </c>
      <c r="R18" s="116"/>
      <c r="S18" s="21">
        <f>IF(х!K33,х!L33/10,0)</f>
        <v>0</v>
      </c>
      <c r="T18" s="117"/>
      <c r="U18" s="118"/>
      <c r="V18" s="21">
        <v>1</v>
      </c>
      <c r="W18" s="45">
        <f t="shared" si="2"/>
        <v>0</v>
      </c>
    </row>
    <row r="19" spans="1:23" ht="17.25" customHeight="1" x14ac:dyDescent="0.25">
      <c r="A19" s="115" t="s">
        <v>78</v>
      </c>
      <c r="B19" s="116"/>
      <c r="C19" s="21">
        <f>IF(х!H34,1.5,0)</f>
        <v>0</v>
      </c>
      <c r="D19" s="117"/>
      <c r="E19" s="118"/>
      <c r="F19" s="21">
        <v>1</v>
      </c>
      <c r="G19" s="45">
        <f t="shared" si="0"/>
        <v>0</v>
      </c>
      <c r="H19" s="74"/>
      <c r="I19" s="115" t="s">
        <v>78</v>
      </c>
      <c r="J19" s="116"/>
      <c r="K19" s="21">
        <f>IF(х!J34,1.5,0)</f>
        <v>0</v>
      </c>
      <c r="L19" s="117"/>
      <c r="M19" s="118"/>
      <c r="N19" s="21">
        <v>1</v>
      </c>
      <c r="O19" s="45">
        <f t="shared" si="1"/>
        <v>0</v>
      </c>
      <c r="P19" s="74"/>
      <c r="Q19" s="115" t="s">
        <v>78</v>
      </c>
      <c r="R19" s="116"/>
      <c r="S19" s="21">
        <f>IF(х!L34,1.5,0)</f>
        <v>0</v>
      </c>
      <c r="T19" s="117"/>
      <c r="U19" s="118"/>
      <c r="V19" s="21">
        <v>1</v>
      </c>
      <c r="W19" s="45">
        <f t="shared" si="2"/>
        <v>0</v>
      </c>
    </row>
    <row r="20" spans="1:23" ht="17.25" customHeight="1" x14ac:dyDescent="0.25">
      <c r="A20" s="115" t="s">
        <v>82</v>
      </c>
      <c r="B20" s="116"/>
      <c r="C20" s="21">
        <f>IF(х!G35,х!H35/10,0)</f>
        <v>0</v>
      </c>
      <c r="D20" s="117"/>
      <c r="E20" s="118"/>
      <c r="F20" s="21" t="s">
        <v>81</v>
      </c>
      <c r="G20" s="45">
        <f>C20</f>
        <v>0</v>
      </c>
      <c r="H20" s="74"/>
      <c r="I20" s="115" t="s">
        <v>82</v>
      </c>
      <c r="J20" s="116"/>
      <c r="K20" s="21">
        <f>IF(х!I35,х!J35/10,0)</f>
        <v>0</v>
      </c>
      <c r="L20" s="117"/>
      <c r="M20" s="118"/>
      <c r="N20" s="21" t="s">
        <v>81</v>
      </c>
      <c r="O20" s="45">
        <f>K20</f>
        <v>0</v>
      </c>
      <c r="P20" s="74"/>
      <c r="Q20" s="115" t="s">
        <v>82</v>
      </c>
      <c r="R20" s="116"/>
      <c r="S20" s="21">
        <f>IF(х!K35,х!L35/10,0)</f>
        <v>0</v>
      </c>
      <c r="T20" s="117"/>
      <c r="U20" s="118"/>
      <c r="V20" s="21" t="s">
        <v>81</v>
      </c>
      <c r="W20" s="45">
        <f>S20</f>
        <v>0</v>
      </c>
    </row>
    <row r="21" spans="1:23" ht="17.25" customHeight="1" thickBot="1" x14ac:dyDescent="0.3">
      <c r="A21" s="119" t="s">
        <v>83</v>
      </c>
      <c r="B21" s="120"/>
      <c r="C21" s="16">
        <f>IF(х!G36,х!H36,0)</f>
        <v>0</v>
      </c>
      <c r="D21" s="121"/>
      <c r="E21" s="122"/>
      <c r="F21" s="16" t="s">
        <v>81</v>
      </c>
      <c r="G21" s="46">
        <f>C21*G4/1000</f>
        <v>0</v>
      </c>
      <c r="H21" s="74"/>
      <c r="I21" s="119" t="s">
        <v>83</v>
      </c>
      <c r="J21" s="120"/>
      <c r="K21" s="16">
        <f>IF(х!I36,х!J36,0)</f>
        <v>0</v>
      </c>
      <c r="L21" s="121"/>
      <c r="M21" s="122"/>
      <c r="N21" s="16" t="s">
        <v>81</v>
      </c>
      <c r="O21" s="46">
        <f>K21*O4/1000</f>
        <v>0</v>
      </c>
      <c r="P21" s="74"/>
      <c r="Q21" s="119" t="s">
        <v>83</v>
      </c>
      <c r="R21" s="120"/>
      <c r="S21" s="16">
        <f>IF(х!K36,х!L36,0)</f>
        <v>0</v>
      </c>
      <c r="T21" s="121"/>
      <c r="U21" s="122"/>
      <c r="V21" s="16" t="s">
        <v>81</v>
      </c>
      <c r="W21" s="46">
        <f>S21*W4/1000</f>
        <v>0</v>
      </c>
    </row>
    <row r="22" spans="1:23" ht="17.25" customHeight="1" x14ac:dyDescent="0.25">
      <c r="A22" s="109" t="s">
        <v>85</v>
      </c>
      <c r="B22" s="110"/>
      <c r="C22" s="110"/>
      <c r="D22" s="110"/>
      <c r="E22" s="110"/>
      <c r="F22" s="110"/>
      <c r="G22" s="53">
        <f>IF(A5="Расчет по установленной мощности",SUM(G9:G21),G3)</f>
        <v>0</v>
      </c>
      <c r="H22" s="74"/>
      <c r="I22" s="109" t="s">
        <v>85</v>
      </c>
      <c r="J22" s="110"/>
      <c r="K22" s="110"/>
      <c r="L22" s="110"/>
      <c r="M22" s="110"/>
      <c r="N22" s="110"/>
      <c r="O22" s="53">
        <f>IF(I5="Расчет по установленной мощности",SUM(O9:O21),O3)</f>
        <v>0</v>
      </c>
      <c r="P22" s="74"/>
      <c r="Q22" s="109" t="s">
        <v>85</v>
      </c>
      <c r="R22" s="110"/>
      <c r="S22" s="110"/>
      <c r="T22" s="110"/>
      <c r="U22" s="110"/>
      <c r="V22" s="110"/>
      <c r="W22" s="53">
        <f>IF(Q5="Расчет по установленной мощности",SUM(W9:W21),W3)</f>
        <v>0</v>
      </c>
    </row>
    <row r="23" spans="1:23" ht="17.25" customHeight="1" thickBot="1" x14ac:dyDescent="0.3">
      <c r="A23" s="111" t="s">
        <v>86</v>
      </c>
      <c r="B23" s="112"/>
      <c r="C23" s="112"/>
      <c r="D23" s="112"/>
      <c r="E23" s="113" t="str">
        <f>IF(G22&gt;=11,"Трехфазный","Однофазный")</f>
        <v>Однофазный</v>
      </c>
      <c r="F23" s="113"/>
      <c r="G23" s="114"/>
      <c r="H23" s="74"/>
      <c r="I23" s="111" t="s">
        <v>86</v>
      </c>
      <c r="J23" s="112"/>
      <c r="K23" s="112"/>
      <c r="L23" s="112"/>
      <c r="M23" s="113" t="str">
        <f>IF(O22&gt;=11,"Трехфазный","Однофазный")</f>
        <v>Однофазный</v>
      </c>
      <c r="N23" s="113"/>
      <c r="O23" s="114"/>
      <c r="P23" s="74"/>
      <c r="Q23" s="111" t="s">
        <v>86</v>
      </c>
      <c r="R23" s="112"/>
      <c r="S23" s="112"/>
      <c r="T23" s="112"/>
      <c r="U23" s="113" t="str">
        <f>IF(W22&gt;=11,"Трехфазный","Однофазный")</f>
        <v>Однофазный</v>
      </c>
      <c r="V23" s="113"/>
      <c r="W23" s="114"/>
    </row>
    <row r="24" spans="1:23" ht="17.25" customHeight="1" thickBot="1" x14ac:dyDescent="0.3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</row>
    <row r="25" spans="1:23" ht="17.25" customHeight="1" thickBot="1" x14ac:dyDescent="0.3">
      <c r="A25" s="137" t="s">
        <v>89</v>
      </c>
      <c r="B25" s="138"/>
      <c r="C25" s="138"/>
      <c r="D25" s="138"/>
      <c r="E25" s="138"/>
      <c r="F25" s="138"/>
      <c r="G25" s="139"/>
      <c r="H25" s="74"/>
      <c r="I25" s="100" t="s">
        <v>90</v>
      </c>
      <c r="J25" s="101"/>
      <c r="K25" s="101"/>
      <c r="L25" s="101"/>
      <c r="M25" s="101"/>
      <c r="N25" s="101"/>
      <c r="O25" s="102"/>
      <c r="P25" s="74"/>
      <c r="Q25" s="100" t="s">
        <v>91</v>
      </c>
      <c r="R25" s="101"/>
      <c r="S25" s="101"/>
      <c r="T25" s="101"/>
      <c r="U25" s="101"/>
      <c r="V25" s="101"/>
      <c r="W25" s="102"/>
    </row>
    <row r="26" spans="1:23" ht="17.25" customHeight="1" x14ac:dyDescent="0.25">
      <c r="A26" s="81" t="s">
        <v>64</v>
      </c>
      <c r="B26" s="82"/>
      <c r="C26" s="82"/>
      <c r="D26" s="82"/>
      <c r="E26" s="82"/>
      <c r="F26" s="82"/>
      <c r="G26" s="45">
        <v>0</v>
      </c>
      <c r="H26" s="74"/>
      <c r="I26" s="123" t="s">
        <v>64</v>
      </c>
      <c r="J26" s="124"/>
      <c r="K26" s="124"/>
      <c r="L26" s="124"/>
      <c r="M26" s="124"/>
      <c r="N26" s="124"/>
      <c r="O26" s="30">
        <v>80</v>
      </c>
      <c r="P26" s="74"/>
      <c r="Q26" s="123" t="s">
        <v>64</v>
      </c>
      <c r="R26" s="124"/>
      <c r="S26" s="124"/>
      <c r="T26" s="124"/>
      <c r="U26" s="124"/>
      <c r="V26" s="124"/>
      <c r="W26" s="30">
        <v>0</v>
      </c>
    </row>
    <row r="27" spans="1:23" ht="17.25" customHeight="1" x14ac:dyDescent="0.25">
      <c r="A27" s="81" t="s">
        <v>70</v>
      </c>
      <c r="B27" s="82"/>
      <c r="C27" s="82"/>
      <c r="D27" s="82"/>
      <c r="E27" s="82"/>
      <c r="F27" s="82"/>
      <c r="G27" s="45">
        <v>0</v>
      </c>
      <c r="H27" s="74"/>
      <c r="I27" s="81" t="s">
        <v>70</v>
      </c>
      <c r="J27" s="82"/>
      <c r="K27" s="82"/>
      <c r="L27" s="82"/>
      <c r="M27" s="82"/>
      <c r="N27" s="82"/>
      <c r="O27" s="45">
        <v>12</v>
      </c>
      <c r="P27" s="74"/>
      <c r="Q27" s="81" t="s">
        <v>70</v>
      </c>
      <c r="R27" s="82"/>
      <c r="S27" s="82"/>
      <c r="T27" s="82"/>
      <c r="U27" s="82"/>
      <c r="V27" s="82"/>
      <c r="W27" s="45">
        <v>0</v>
      </c>
    </row>
    <row r="28" spans="1:23" ht="17.25" customHeight="1" thickBot="1" x14ac:dyDescent="0.3">
      <c r="A28" s="125" t="s">
        <v>84</v>
      </c>
      <c r="B28" s="126"/>
      <c r="C28" s="126"/>
      <c r="D28" s="126"/>
      <c r="E28" s="126"/>
      <c r="F28" s="126"/>
      <c r="G28" s="46">
        <v>0</v>
      </c>
      <c r="H28" s="74"/>
      <c r="I28" s="125" t="s">
        <v>84</v>
      </c>
      <c r="J28" s="126"/>
      <c r="K28" s="126"/>
      <c r="L28" s="126"/>
      <c r="M28" s="126"/>
      <c r="N28" s="126"/>
      <c r="O28" s="46">
        <v>10</v>
      </c>
      <c r="P28" s="74"/>
      <c r="Q28" s="125" t="s">
        <v>84</v>
      </c>
      <c r="R28" s="126"/>
      <c r="S28" s="126"/>
      <c r="T28" s="126"/>
      <c r="U28" s="126"/>
      <c r="V28" s="126"/>
      <c r="W28" s="46">
        <v>0</v>
      </c>
    </row>
    <row r="29" spans="1:23" ht="17.25" customHeight="1" thickBot="1" x14ac:dyDescent="0.3">
      <c r="A29" s="127" t="s">
        <v>65</v>
      </c>
      <c r="B29" s="128"/>
      <c r="C29" s="128"/>
      <c r="D29" s="128"/>
      <c r="E29" s="128"/>
      <c r="F29" s="128"/>
      <c r="G29" s="129"/>
      <c r="H29" s="74"/>
      <c r="I29" s="127" t="s">
        <v>65</v>
      </c>
      <c r="J29" s="128"/>
      <c r="K29" s="128"/>
      <c r="L29" s="128"/>
      <c r="M29" s="128"/>
      <c r="N29" s="128"/>
      <c r="O29" s="129"/>
      <c r="P29" s="74"/>
      <c r="Q29" s="127" t="s">
        <v>65</v>
      </c>
      <c r="R29" s="128"/>
      <c r="S29" s="128"/>
      <c r="T29" s="128"/>
      <c r="U29" s="128"/>
      <c r="V29" s="128"/>
      <c r="W29" s="129"/>
    </row>
    <row r="30" spans="1:23" ht="17.25" customHeight="1" thickBot="1" x14ac:dyDescent="0.3">
      <c r="A30" s="130"/>
      <c r="B30" s="131"/>
      <c r="C30" s="131"/>
      <c r="D30" s="131"/>
      <c r="E30" s="131"/>
      <c r="F30" s="131"/>
      <c r="G30" s="132"/>
      <c r="H30" s="74"/>
      <c r="I30" s="130"/>
      <c r="J30" s="131"/>
      <c r="K30" s="131"/>
      <c r="L30" s="131"/>
      <c r="M30" s="131"/>
      <c r="N30" s="131"/>
      <c r="O30" s="132"/>
      <c r="P30" s="74"/>
      <c r="Q30" s="130"/>
      <c r="R30" s="131"/>
      <c r="S30" s="131"/>
      <c r="T30" s="131"/>
      <c r="U30" s="131"/>
      <c r="V30" s="131"/>
      <c r="W30" s="132"/>
    </row>
    <row r="31" spans="1:23" ht="17.25" customHeight="1" thickBot="1" x14ac:dyDescent="0.3">
      <c r="A31" s="127" t="s">
        <v>66</v>
      </c>
      <c r="B31" s="128"/>
      <c r="C31" s="128"/>
      <c r="D31" s="128"/>
      <c r="E31" s="128"/>
      <c r="F31" s="128"/>
      <c r="G31" s="129"/>
      <c r="H31" s="74"/>
      <c r="I31" s="127" t="s">
        <v>66</v>
      </c>
      <c r="J31" s="128"/>
      <c r="K31" s="128"/>
      <c r="L31" s="128"/>
      <c r="M31" s="128"/>
      <c r="N31" s="128"/>
      <c r="O31" s="129"/>
      <c r="P31" s="74"/>
      <c r="Q31" s="127" t="s">
        <v>66</v>
      </c>
      <c r="R31" s="128"/>
      <c r="S31" s="128"/>
      <c r="T31" s="128"/>
      <c r="U31" s="128"/>
      <c r="V31" s="128"/>
      <c r="W31" s="129"/>
    </row>
    <row r="32" spans="1:23" ht="17.25" customHeight="1" x14ac:dyDescent="0.35">
      <c r="A32" s="133" t="s">
        <v>79</v>
      </c>
      <c r="B32" s="134"/>
      <c r="C32" s="15" t="s">
        <v>108</v>
      </c>
      <c r="D32" s="135"/>
      <c r="E32" s="136"/>
      <c r="F32" s="15" t="s">
        <v>4</v>
      </c>
      <c r="G32" s="47" t="s">
        <v>49</v>
      </c>
      <c r="H32" s="74"/>
      <c r="I32" s="133" t="s">
        <v>79</v>
      </c>
      <c r="J32" s="134"/>
      <c r="K32" s="15" t="s">
        <v>108</v>
      </c>
      <c r="L32" s="135"/>
      <c r="M32" s="136"/>
      <c r="N32" s="15" t="s">
        <v>4</v>
      </c>
      <c r="O32" s="47" t="s">
        <v>49</v>
      </c>
      <c r="P32" s="74"/>
      <c r="Q32" s="133" t="s">
        <v>79</v>
      </c>
      <c r="R32" s="134"/>
      <c r="S32" s="15" t="s">
        <v>108</v>
      </c>
      <c r="T32" s="135"/>
      <c r="U32" s="136"/>
      <c r="V32" s="15" t="s">
        <v>4</v>
      </c>
      <c r="W32" s="47" t="s">
        <v>49</v>
      </c>
    </row>
    <row r="33" spans="1:23" ht="17.25" customHeight="1" x14ac:dyDescent="0.25">
      <c r="A33" s="115" t="s">
        <v>67</v>
      </c>
      <c r="B33" s="116"/>
      <c r="C33" s="21">
        <f>IF(х!M24,х!N24/2,0)</f>
        <v>0</v>
      </c>
      <c r="D33" s="117"/>
      <c r="E33" s="118"/>
      <c r="F33" s="21" t="s">
        <v>81</v>
      </c>
      <c r="G33" s="45">
        <f>C33*$G$26/1000</f>
        <v>0</v>
      </c>
      <c r="H33" s="74"/>
      <c r="I33" s="115" t="s">
        <v>67</v>
      </c>
      <c r="J33" s="116"/>
      <c r="K33" s="21">
        <f>IF(х!O24,х!P24/2,0)</f>
        <v>0</v>
      </c>
      <c r="L33" s="117"/>
      <c r="M33" s="118"/>
      <c r="N33" s="21" t="s">
        <v>81</v>
      </c>
      <c r="O33" s="45">
        <f>K33*$O$26/1000</f>
        <v>0</v>
      </c>
      <c r="P33" s="74"/>
      <c r="Q33" s="115" t="s">
        <v>67</v>
      </c>
      <c r="R33" s="116"/>
      <c r="S33" s="21">
        <f>IF(х!Q24,х!R24/2,0)</f>
        <v>0</v>
      </c>
      <c r="T33" s="117"/>
      <c r="U33" s="118"/>
      <c r="V33" s="21" t="s">
        <v>81</v>
      </c>
      <c r="W33" s="45">
        <f>S33*$W$26/1000</f>
        <v>0</v>
      </c>
    </row>
    <row r="34" spans="1:23" ht="17.25" customHeight="1" x14ac:dyDescent="0.25">
      <c r="A34" s="115" t="s">
        <v>68</v>
      </c>
      <c r="B34" s="116"/>
      <c r="C34" s="21">
        <f>IF(х!M25,х!N25/2,0)</f>
        <v>0</v>
      </c>
      <c r="D34" s="117"/>
      <c r="E34" s="118"/>
      <c r="F34" s="21" t="s">
        <v>81</v>
      </c>
      <c r="G34" s="45">
        <f>C34*$G$26/1000</f>
        <v>0</v>
      </c>
      <c r="H34" s="74"/>
      <c r="I34" s="115" t="s">
        <v>68</v>
      </c>
      <c r="J34" s="116"/>
      <c r="K34" s="21">
        <f>IF(х!O25,х!P25/2,0)</f>
        <v>0</v>
      </c>
      <c r="L34" s="117"/>
      <c r="M34" s="118"/>
      <c r="N34" s="21" t="s">
        <v>81</v>
      </c>
      <c r="O34" s="45">
        <f>K34*$O$26/1000</f>
        <v>0</v>
      </c>
      <c r="P34" s="74"/>
      <c r="Q34" s="115" t="s">
        <v>68</v>
      </c>
      <c r="R34" s="116"/>
      <c r="S34" s="21">
        <f>IF(х!Q25,х!R25/2,0)</f>
        <v>0</v>
      </c>
      <c r="T34" s="117"/>
      <c r="U34" s="118"/>
      <c r="V34" s="21" t="s">
        <v>81</v>
      </c>
      <c r="W34" s="45">
        <f>S34*$W$26/1000</f>
        <v>0</v>
      </c>
    </row>
    <row r="35" spans="1:23" ht="17.25" customHeight="1" x14ac:dyDescent="0.25">
      <c r="A35" s="115" t="s">
        <v>69</v>
      </c>
      <c r="B35" s="116"/>
      <c r="C35" s="21">
        <f>IF(х!M26,х!N26/4,0)</f>
        <v>0</v>
      </c>
      <c r="D35" s="117"/>
      <c r="E35" s="118"/>
      <c r="F35" s="21">
        <v>1</v>
      </c>
      <c r="G35" s="45">
        <f t="shared" ref="G35:G43" si="3">C35*F35</f>
        <v>0</v>
      </c>
      <c r="H35" s="74"/>
      <c r="I35" s="115" t="s">
        <v>69</v>
      </c>
      <c r="J35" s="116"/>
      <c r="K35" s="21">
        <f>IF(х!O26,х!P26/4,0)</f>
        <v>0</v>
      </c>
      <c r="L35" s="117"/>
      <c r="M35" s="118"/>
      <c r="N35" s="21">
        <v>1</v>
      </c>
      <c r="O35" s="45">
        <f t="shared" ref="O35:O43" si="4">K35*N35</f>
        <v>0</v>
      </c>
      <c r="P35" s="74"/>
      <c r="Q35" s="115" t="s">
        <v>69</v>
      </c>
      <c r="R35" s="116"/>
      <c r="S35" s="21">
        <f>IF(х!Q26,х!R26/4,0)</f>
        <v>0</v>
      </c>
      <c r="T35" s="117"/>
      <c r="U35" s="118"/>
      <c r="V35" s="21">
        <v>1</v>
      </c>
      <c r="W35" s="45">
        <f t="shared" ref="W35:W43" si="5">S35*V35</f>
        <v>0</v>
      </c>
    </row>
    <row r="36" spans="1:23" ht="17.25" customHeight="1" x14ac:dyDescent="0.25">
      <c r="A36" s="115" t="s">
        <v>71</v>
      </c>
      <c r="B36" s="116"/>
      <c r="C36" s="21">
        <f>IF(х!N27,2.2,0)</f>
        <v>0</v>
      </c>
      <c r="D36" s="117"/>
      <c r="E36" s="118"/>
      <c r="F36" s="21">
        <v>1</v>
      </c>
      <c r="G36" s="45">
        <f t="shared" si="3"/>
        <v>0</v>
      </c>
      <c r="H36" s="74"/>
      <c r="I36" s="115" t="s">
        <v>71</v>
      </c>
      <c r="J36" s="116"/>
      <c r="K36" s="21">
        <f>IF(х!P27,2.2,0)</f>
        <v>0</v>
      </c>
      <c r="L36" s="117"/>
      <c r="M36" s="118"/>
      <c r="N36" s="21">
        <v>1</v>
      </c>
      <c r="O36" s="45">
        <f t="shared" si="4"/>
        <v>0</v>
      </c>
      <c r="P36" s="74"/>
      <c r="Q36" s="115" t="s">
        <v>71</v>
      </c>
      <c r="R36" s="116"/>
      <c r="S36" s="21">
        <f>IF(х!R27,2.2,0)</f>
        <v>0</v>
      </c>
      <c r="T36" s="117"/>
      <c r="U36" s="118"/>
      <c r="V36" s="21">
        <v>1</v>
      </c>
      <c r="W36" s="45">
        <f t="shared" si="5"/>
        <v>0</v>
      </c>
    </row>
    <row r="37" spans="1:23" ht="17.25" customHeight="1" x14ac:dyDescent="0.25">
      <c r="A37" s="115" t="s">
        <v>72</v>
      </c>
      <c r="B37" s="116"/>
      <c r="C37" s="21">
        <f>IF(х!N28,2.2,0)</f>
        <v>0</v>
      </c>
      <c r="D37" s="117"/>
      <c r="E37" s="118"/>
      <c r="F37" s="21">
        <v>1</v>
      </c>
      <c r="G37" s="45">
        <f t="shared" si="3"/>
        <v>0</v>
      </c>
      <c r="H37" s="74"/>
      <c r="I37" s="115" t="s">
        <v>72</v>
      </c>
      <c r="J37" s="116"/>
      <c r="K37" s="21">
        <f>IF(х!P28,2.2,0)</f>
        <v>0</v>
      </c>
      <c r="L37" s="117"/>
      <c r="M37" s="118"/>
      <c r="N37" s="21">
        <v>1</v>
      </c>
      <c r="O37" s="45">
        <f t="shared" si="4"/>
        <v>0</v>
      </c>
      <c r="P37" s="74"/>
      <c r="Q37" s="115" t="s">
        <v>72</v>
      </c>
      <c r="R37" s="116"/>
      <c r="S37" s="21">
        <f>IF(х!R28,2.2,0)</f>
        <v>0</v>
      </c>
      <c r="T37" s="117"/>
      <c r="U37" s="118"/>
      <c r="V37" s="21">
        <v>1</v>
      </c>
      <c r="W37" s="45">
        <f t="shared" si="5"/>
        <v>0</v>
      </c>
    </row>
    <row r="38" spans="1:23" ht="17.25" customHeight="1" x14ac:dyDescent="0.25">
      <c r="A38" s="115" t="s">
        <v>73</v>
      </c>
      <c r="B38" s="116"/>
      <c r="C38" s="21">
        <f>IF(х!M29,х!N29/2,0)</f>
        <v>0</v>
      </c>
      <c r="D38" s="117"/>
      <c r="E38" s="118"/>
      <c r="F38" s="21">
        <v>1</v>
      </c>
      <c r="G38" s="45">
        <f t="shared" si="3"/>
        <v>0</v>
      </c>
      <c r="H38" s="74"/>
      <c r="I38" s="115" t="s">
        <v>73</v>
      </c>
      <c r="J38" s="116"/>
      <c r="K38" s="21">
        <f>IF(х!O29,х!P29/2,0)</f>
        <v>0</v>
      </c>
      <c r="L38" s="117"/>
      <c r="M38" s="118"/>
      <c r="N38" s="21">
        <v>1</v>
      </c>
      <c r="O38" s="45">
        <f t="shared" si="4"/>
        <v>0</v>
      </c>
      <c r="P38" s="74"/>
      <c r="Q38" s="115" t="s">
        <v>73</v>
      </c>
      <c r="R38" s="116"/>
      <c r="S38" s="21">
        <f>IF(х!Q29,х!R29/2,0)</f>
        <v>0</v>
      </c>
      <c r="T38" s="117"/>
      <c r="U38" s="118"/>
      <c r="V38" s="21">
        <v>1</v>
      </c>
      <c r="W38" s="45">
        <f t="shared" si="5"/>
        <v>0</v>
      </c>
    </row>
    <row r="39" spans="1:23" ht="17.25" customHeight="1" x14ac:dyDescent="0.25">
      <c r="A39" s="115" t="s">
        <v>74</v>
      </c>
      <c r="B39" s="116"/>
      <c r="C39" s="21">
        <f>IF(х!N30,2.5,0)</f>
        <v>0</v>
      </c>
      <c r="D39" s="117"/>
      <c r="E39" s="118"/>
      <c r="F39" s="21">
        <v>1</v>
      </c>
      <c r="G39" s="45">
        <f t="shared" si="3"/>
        <v>0</v>
      </c>
      <c r="H39" s="74"/>
      <c r="I39" s="115" t="s">
        <v>74</v>
      </c>
      <c r="J39" s="116"/>
      <c r="K39" s="21">
        <f>IF(х!P30,2.5,0)</f>
        <v>0</v>
      </c>
      <c r="L39" s="117"/>
      <c r="M39" s="118"/>
      <c r="N39" s="21">
        <v>1</v>
      </c>
      <c r="O39" s="45">
        <f t="shared" si="4"/>
        <v>0</v>
      </c>
      <c r="P39" s="74"/>
      <c r="Q39" s="115" t="s">
        <v>74</v>
      </c>
      <c r="R39" s="116"/>
      <c r="S39" s="21">
        <f>IF(х!R30,2.5,0)</f>
        <v>0</v>
      </c>
      <c r="T39" s="117"/>
      <c r="U39" s="118"/>
      <c r="V39" s="21">
        <v>1</v>
      </c>
      <c r="W39" s="45">
        <f t="shared" si="5"/>
        <v>0</v>
      </c>
    </row>
    <row r="40" spans="1:23" ht="17.25" customHeight="1" x14ac:dyDescent="0.25">
      <c r="A40" s="115" t="s">
        <v>75</v>
      </c>
      <c r="B40" s="116"/>
      <c r="C40" s="21">
        <f>IF(х!N31,3,0)</f>
        <v>0</v>
      </c>
      <c r="D40" s="117"/>
      <c r="E40" s="118"/>
      <c r="F40" s="21">
        <v>1</v>
      </c>
      <c r="G40" s="45">
        <f t="shared" si="3"/>
        <v>0</v>
      </c>
      <c r="H40" s="74"/>
      <c r="I40" s="115" t="s">
        <v>75</v>
      </c>
      <c r="J40" s="116"/>
      <c r="K40" s="21">
        <f>IF(х!P31,3,0)</f>
        <v>0</v>
      </c>
      <c r="L40" s="117"/>
      <c r="M40" s="118"/>
      <c r="N40" s="21">
        <v>1</v>
      </c>
      <c r="O40" s="45">
        <f t="shared" si="4"/>
        <v>0</v>
      </c>
      <c r="P40" s="74"/>
      <c r="Q40" s="115" t="s">
        <v>75</v>
      </c>
      <c r="R40" s="116"/>
      <c r="S40" s="21">
        <f>IF(х!R31,3,0)</f>
        <v>0</v>
      </c>
      <c r="T40" s="117"/>
      <c r="U40" s="118"/>
      <c r="V40" s="21">
        <v>1</v>
      </c>
      <c r="W40" s="45">
        <f t="shared" si="5"/>
        <v>0</v>
      </c>
    </row>
    <row r="41" spans="1:23" ht="17.25" customHeight="1" x14ac:dyDescent="0.25">
      <c r="A41" s="115" t="s">
        <v>76</v>
      </c>
      <c r="B41" s="116"/>
      <c r="C41" s="21">
        <f>IF(х!M32,х!N32/10,0)</f>
        <v>0</v>
      </c>
      <c r="D41" s="117"/>
      <c r="E41" s="118"/>
      <c r="F41" s="21">
        <v>1</v>
      </c>
      <c r="G41" s="45">
        <f t="shared" si="3"/>
        <v>0</v>
      </c>
      <c r="H41" s="74"/>
      <c r="I41" s="115" t="s">
        <v>76</v>
      </c>
      <c r="J41" s="116"/>
      <c r="K41" s="21">
        <f>IF(х!O32,х!P32/10,0)</f>
        <v>0</v>
      </c>
      <c r="L41" s="117"/>
      <c r="M41" s="118"/>
      <c r="N41" s="21">
        <v>1</v>
      </c>
      <c r="O41" s="45">
        <f t="shared" si="4"/>
        <v>0</v>
      </c>
      <c r="P41" s="74"/>
      <c r="Q41" s="115" t="s">
        <v>76</v>
      </c>
      <c r="R41" s="116"/>
      <c r="S41" s="21">
        <f>IF(х!Q32,х!R32/10,0)</f>
        <v>0</v>
      </c>
      <c r="T41" s="117"/>
      <c r="U41" s="118"/>
      <c r="V41" s="21">
        <v>1</v>
      </c>
      <c r="W41" s="45">
        <f t="shared" si="5"/>
        <v>0</v>
      </c>
    </row>
    <row r="42" spans="1:23" ht="17.25" customHeight="1" x14ac:dyDescent="0.25">
      <c r="A42" s="115" t="s">
        <v>77</v>
      </c>
      <c r="B42" s="116"/>
      <c r="C42" s="21">
        <f>IF(х!M33,х!N33/10,0)</f>
        <v>0</v>
      </c>
      <c r="D42" s="117"/>
      <c r="E42" s="118"/>
      <c r="F42" s="21">
        <v>1</v>
      </c>
      <c r="G42" s="45">
        <f t="shared" si="3"/>
        <v>0</v>
      </c>
      <c r="H42" s="74"/>
      <c r="I42" s="115" t="s">
        <v>77</v>
      </c>
      <c r="J42" s="116"/>
      <c r="K42" s="21">
        <f>IF(х!O33,х!P33/10,0)</f>
        <v>0</v>
      </c>
      <c r="L42" s="117"/>
      <c r="M42" s="118"/>
      <c r="N42" s="21">
        <v>1</v>
      </c>
      <c r="O42" s="45">
        <f t="shared" si="4"/>
        <v>0</v>
      </c>
      <c r="P42" s="74"/>
      <c r="Q42" s="115" t="s">
        <v>77</v>
      </c>
      <c r="R42" s="116"/>
      <c r="S42" s="21">
        <f>IF(х!Q33,х!R33/10,0)</f>
        <v>0</v>
      </c>
      <c r="T42" s="117"/>
      <c r="U42" s="118"/>
      <c r="V42" s="21">
        <v>1</v>
      </c>
      <c r="W42" s="45">
        <f t="shared" si="5"/>
        <v>0</v>
      </c>
    </row>
    <row r="43" spans="1:23" ht="17.25" customHeight="1" x14ac:dyDescent="0.25">
      <c r="A43" s="115" t="s">
        <v>78</v>
      </c>
      <c r="B43" s="116"/>
      <c r="C43" s="21">
        <f>IF(х!N34,1.5,0)</f>
        <v>0</v>
      </c>
      <c r="D43" s="117"/>
      <c r="E43" s="118"/>
      <c r="F43" s="21">
        <v>1</v>
      </c>
      <c r="G43" s="45">
        <f t="shared" si="3"/>
        <v>0</v>
      </c>
      <c r="H43" s="74"/>
      <c r="I43" s="115" t="s">
        <v>78</v>
      </c>
      <c r="J43" s="116"/>
      <c r="K43" s="21">
        <f>IF(х!P34,1.5,0)</f>
        <v>0</v>
      </c>
      <c r="L43" s="117"/>
      <c r="M43" s="118"/>
      <c r="N43" s="21">
        <v>1</v>
      </c>
      <c r="O43" s="45">
        <f t="shared" si="4"/>
        <v>0</v>
      </c>
      <c r="P43" s="74"/>
      <c r="Q43" s="115" t="s">
        <v>78</v>
      </c>
      <c r="R43" s="116"/>
      <c r="S43" s="21">
        <f>IF(х!R34,1.5,0)</f>
        <v>0</v>
      </c>
      <c r="T43" s="117"/>
      <c r="U43" s="118"/>
      <c r="V43" s="21">
        <v>1</v>
      </c>
      <c r="W43" s="45">
        <f t="shared" si="5"/>
        <v>0</v>
      </c>
    </row>
    <row r="44" spans="1:23" ht="17.25" customHeight="1" x14ac:dyDescent="0.25">
      <c r="A44" s="115" t="s">
        <v>82</v>
      </c>
      <c r="B44" s="116"/>
      <c r="C44" s="21">
        <f>IF(х!M35,х!N35/10,0)</f>
        <v>0</v>
      </c>
      <c r="D44" s="117"/>
      <c r="E44" s="118"/>
      <c r="F44" s="21" t="s">
        <v>81</v>
      </c>
      <c r="G44" s="45">
        <f>C44</f>
        <v>0</v>
      </c>
      <c r="H44" s="74"/>
      <c r="I44" s="115" t="s">
        <v>82</v>
      </c>
      <c r="J44" s="116"/>
      <c r="K44" s="21">
        <f>IF(х!O35,х!P35/10,0)</f>
        <v>0</v>
      </c>
      <c r="L44" s="117"/>
      <c r="M44" s="118"/>
      <c r="N44" s="21" t="s">
        <v>81</v>
      </c>
      <c r="O44" s="45">
        <f>K44</f>
        <v>0</v>
      </c>
      <c r="P44" s="74"/>
      <c r="Q44" s="115" t="s">
        <v>82</v>
      </c>
      <c r="R44" s="116"/>
      <c r="S44" s="21">
        <f>IF(х!Q35,х!R35/10,0)</f>
        <v>0</v>
      </c>
      <c r="T44" s="117"/>
      <c r="U44" s="118"/>
      <c r="V44" s="21" t="s">
        <v>81</v>
      </c>
      <c r="W44" s="45">
        <f>S44</f>
        <v>0</v>
      </c>
    </row>
    <row r="45" spans="1:23" ht="17.25" customHeight="1" thickBot="1" x14ac:dyDescent="0.3">
      <c r="A45" s="119" t="s">
        <v>83</v>
      </c>
      <c r="B45" s="120"/>
      <c r="C45" s="16">
        <f>IF(х!M36,х!N36,0)</f>
        <v>0</v>
      </c>
      <c r="D45" s="121"/>
      <c r="E45" s="122"/>
      <c r="F45" s="16" t="s">
        <v>81</v>
      </c>
      <c r="G45" s="46">
        <f>C45*G28/1000</f>
        <v>0</v>
      </c>
      <c r="H45" s="74"/>
      <c r="I45" s="119" t="s">
        <v>83</v>
      </c>
      <c r="J45" s="120"/>
      <c r="K45" s="16">
        <f>IF(х!O36,х!P36,0)</f>
        <v>0</v>
      </c>
      <c r="L45" s="121"/>
      <c r="M45" s="122"/>
      <c r="N45" s="16" t="s">
        <v>81</v>
      </c>
      <c r="O45" s="46">
        <f>K45*O28/1000</f>
        <v>0</v>
      </c>
      <c r="P45" s="74"/>
      <c r="Q45" s="119" t="s">
        <v>83</v>
      </c>
      <c r="R45" s="120"/>
      <c r="S45" s="16">
        <f>IF(х!Q36,х!R36,0)</f>
        <v>0</v>
      </c>
      <c r="T45" s="121"/>
      <c r="U45" s="122"/>
      <c r="V45" s="16" t="s">
        <v>81</v>
      </c>
      <c r="W45" s="46">
        <f>S45*W28/1000</f>
        <v>0</v>
      </c>
    </row>
    <row r="46" spans="1:23" ht="17.25" customHeight="1" x14ac:dyDescent="0.25">
      <c r="A46" s="109" t="s">
        <v>85</v>
      </c>
      <c r="B46" s="110"/>
      <c r="C46" s="110"/>
      <c r="D46" s="110"/>
      <c r="E46" s="110"/>
      <c r="F46" s="110"/>
      <c r="G46" s="53">
        <f>IF(A29="Расчет по установленной мощности",SUM(G33:G45),G27)</f>
        <v>0</v>
      </c>
      <c r="H46" s="74"/>
      <c r="I46" s="109" t="s">
        <v>85</v>
      </c>
      <c r="J46" s="110"/>
      <c r="K46" s="110"/>
      <c r="L46" s="110"/>
      <c r="M46" s="110"/>
      <c r="N46" s="110"/>
      <c r="O46" s="53">
        <f>IF(I29="Расчет по установленной мощности",SUM(O33:O45),O27)</f>
        <v>0</v>
      </c>
      <c r="P46" s="74"/>
      <c r="Q46" s="109" t="s">
        <v>85</v>
      </c>
      <c r="R46" s="110"/>
      <c r="S46" s="110"/>
      <c r="T46" s="110"/>
      <c r="U46" s="110"/>
      <c r="V46" s="110"/>
      <c r="W46" s="53">
        <f>IF(Q29="Расчет по установленной мощности",SUM(W33:W45),W27)</f>
        <v>0</v>
      </c>
    </row>
    <row r="47" spans="1:23" ht="17.25" customHeight="1" thickBot="1" x14ac:dyDescent="0.3">
      <c r="A47" s="111" t="s">
        <v>86</v>
      </c>
      <c r="B47" s="112"/>
      <c r="C47" s="112"/>
      <c r="D47" s="112"/>
      <c r="E47" s="113" t="str">
        <f>IF(G46&gt;=11,"Трехфазный","Однофазный")</f>
        <v>Однофазный</v>
      </c>
      <c r="F47" s="113"/>
      <c r="G47" s="114"/>
      <c r="H47" s="74"/>
      <c r="I47" s="111" t="s">
        <v>86</v>
      </c>
      <c r="J47" s="112"/>
      <c r="K47" s="112"/>
      <c r="L47" s="112"/>
      <c r="M47" s="113" t="str">
        <f>IF(O46&gt;=11,"Трехфазный","Однофазный")</f>
        <v>Однофазный</v>
      </c>
      <c r="N47" s="113"/>
      <c r="O47" s="114"/>
      <c r="P47" s="74"/>
      <c r="Q47" s="111" t="s">
        <v>86</v>
      </c>
      <c r="R47" s="112"/>
      <c r="S47" s="112"/>
      <c r="T47" s="112"/>
      <c r="U47" s="113" t="str">
        <f>IF(W46&gt;=11,"Трехфазный","Однофазный")</f>
        <v>Однофазный</v>
      </c>
      <c r="V47" s="113"/>
      <c r="W47" s="114"/>
    </row>
    <row r="50" spans="1:13" x14ac:dyDescent="0.25">
      <c r="A50" s="70" t="s">
        <v>128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</row>
    <row r="51" spans="1:13" ht="18" x14ac:dyDescent="0.35">
      <c r="A51" s="48" t="s">
        <v>122</v>
      </c>
      <c r="B51" s="15" t="s">
        <v>116</v>
      </c>
      <c r="C51" s="15" t="s">
        <v>117</v>
      </c>
      <c r="D51" s="15" t="s">
        <v>118</v>
      </c>
      <c r="E51" s="15" t="s">
        <v>119</v>
      </c>
      <c r="F51" s="15" t="s">
        <v>120</v>
      </c>
      <c r="G51" s="15" t="s">
        <v>121</v>
      </c>
      <c r="H51" s="49" t="s">
        <v>123</v>
      </c>
      <c r="I51" s="15" t="s">
        <v>126</v>
      </c>
      <c r="J51" s="15" t="s">
        <v>124</v>
      </c>
      <c r="K51" s="15" t="s">
        <v>125</v>
      </c>
      <c r="L51" s="15" t="s">
        <v>52</v>
      </c>
      <c r="M51" s="15" t="s">
        <v>127</v>
      </c>
    </row>
    <row r="52" spans="1:13" x14ac:dyDescent="0.25">
      <c r="A52" s="22" t="s">
        <v>110</v>
      </c>
      <c r="B52" s="21">
        <v>0</v>
      </c>
      <c r="C52" s="21">
        <v>0</v>
      </c>
      <c r="D52" s="21"/>
      <c r="E52" s="21"/>
      <c r="F52" s="21"/>
      <c r="G52" s="21"/>
      <c r="H52" s="18">
        <f>SUM(Таблица7[[#This Row],[Тип 1]:[Тип 6]])</f>
        <v>0</v>
      </c>
      <c r="I52" s="43">
        <f>Таблица7[[#This Row],[Тип 1]]*х!$O$40+Таблица7[[#This Row],[Тип 2]]*х!$P$40+Таблица7[[#This Row],[Тип 3]]*х!$Q$40+Таблица7[[#This Row],[Тип 4]]*х!$R$40+Таблица7[[#This Row],[Тип 5]]*х!$S$40+Таблица7[[#This Row],[Тип 6]]*х!$T$40</f>
        <v>0</v>
      </c>
      <c r="J52" s="55">
        <f>IFERROR(IF(OR('Расчет нагрузок'!$I$2=х!$E$14,'Расчет нагрузок'!$I$2=х!$E$15,'Расчет нагрузок'!$I$2=х!$E$17),FORECAST(Таблица7[[#This Row],[Σ]],INDEX(х!$F$43:$S$43,MATCH(Таблица7[[#This Row],[Σ]],х!$F$42:$S$42)):INDEX(х!$G$43:$T$43,MATCH(Таблица7[[#This Row],[Σ]],х!$F$42:$S$42)),INDEX(х!$F$42:$S$42,MATCH(Таблица7[[#This Row],[Σ]],х!$F$42:$S$42)):INDEX(х!$G$42:$U$42,MATCH(Таблица7[[#This Row],[Σ]],х!$F$42:$S$42))),FORECAST(Таблица7[[#This Row],[Σ]],INDEX(х!$F$44:$S$44,MATCH(Таблица7[[#This Row],[Σ]],х!$F$42:$S$42)):INDEX(х!$G$44:$T$44,MATCH(Таблица7[[#This Row],[Σ]],х!$F$42:$S$42)),INDEX(х!$F$42:$S$42,MATCH(Таблица7[[#This Row],[Σ]],х!$F$42:$S$42)):INDEX(х!$G$42:$U$42,MATCH(Таблица7[[#This Row],[Σ]],х!$F$42:$S$42)))),0)</f>
        <v>0</v>
      </c>
      <c r="K52" s="43">
        <f>Таблица7[[#This Row],[Ркв, кВт]]*Таблица7[[#This Row],[К0]]</f>
        <v>0</v>
      </c>
      <c r="L52" s="43">
        <f>Таблица7[[#This Row],[Рр.кв, кВт]]/IF('Расчет нагрузок'!$I$3="Без дополнительных электроприемников",INDEX(х!$V$14:$V$19,MATCH('Расчет нагрузок'!$I$2,tipKV,0)),IF(INDEX(х!$V$14:$V$19,MATCH('Расчет нагрузок'!$I$2,tipKV,0))=0.98,0.93,0.92))</f>
        <v>0</v>
      </c>
      <c r="M52" s="52">
        <f>Таблица7[[#This Row],[Sр, кВА]]/(SQRT(3)*0.4)</f>
        <v>0</v>
      </c>
    </row>
    <row r="53" spans="1:13" x14ac:dyDescent="0.25">
      <c r="A53" s="22" t="s">
        <v>111</v>
      </c>
      <c r="B53" s="21"/>
      <c r="C53" s="21"/>
      <c r="D53" s="21"/>
      <c r="E53" s="21"/>
      <c r="F53" s="21"/>
      <c r="G53" s="21"/>
      <c r="H53" s="18">
        <f>SUM(Таблица7[[#This Row],[Тип 1]:[Тип 6]])</f>
        <v>0</v>
      </c>
      <c r="I53" s="43">
        <f>Таблица7[[#This Row],[Тип 1]]*х!$O$40+Таблица7[[#This Row],[Тип 2]]*х!$P$40+Таблица7[[#This Row],[Тип 3]]*х!$Q$40+Таблица7[[#This Row],[Тип 4]]*х!$R$40+Таблица7[[#This Row],[Тип 5]]*х!$S$40+Таблица7[[#This Row],[Тип 6]]*х!$T$40</f>
        <v>0</v>
      </c>
      <c r="J53" s="55">
        <f>IFERROR(IF(OR('Расчет нагрузок'!$I$2=х!$E$14,'Расчет нагрузок'!$I$2=х!$E$15,'Расчет нагрузок'!$I$2=х!$E$17),FORECAST(Таблица7[[#This Row],[Σ]],INDEX(х!$F$43:$S$43,MATCH(Таблица7[[#This Row],[Σ]],х!$F$42:$S$42)):INDEX(х!$G$43:$T$43,MATCH(Таблица7[[#This Row],[Σ]],х!$F$42:$S$42)),INDEX(х!$F$42:$S$42,MATCH(Таблица7[[#This Row],[Σ]],х!$F$42:$S$42)):INDEX(х!$G$42:$U$42,MATCH(Таблица7[[#This Row],[Σ]],х!$F$42:$S$42))),FORECAST(Таблица7[[#This Row],[Σ]],INDEX(х!$F$44:$S$44,MATCH(Таблица7[[#This Row],[Σ]],х!$F$42:$S$42)):INDEX(х!$G$44:$T$44,MATCH(Таблица7[[#This Row],[Σ]],х!$F$42:$S$42)),INDEX(х!$F$42:$S$42,MATCH(Таблица7[[#This Row],[Σ]],х!$F$42:$S$42)):INDEX(х!$G$42:$U$42,MATCH(Таблица7[[#This Row],[Σ]],х!$F$42:$S$42)))),0)</f>
        <v>0</v>
      </c>
      <c r="K53" s="43">
        <f>Таблица7[[#This Row],[Ркв, кВт]]*Таблица7[[#This Row],[К0]]</f>
        <v>0</v>
      </c>
      <c r="L53" s="43">
        <f>Таблица7[[#This Row],[Рр.кв, кВт]]/IF('Расчет нагрузок'!$I$3="Без дополнительных электроприемников",INDEX(х!$V$14:$V$19,MATCH('Расчет нагрузок'!$I$2,tipKV,0)),IF(INDEX(х!$V$14:$V$19,MATCH('Расчет нагрузок'!$I$2,tipKV,0))=0.98,0.93,0.92))</f>
        <v>0</v>
      </c>
      <c r="M53" s="43">
        <f>Таблица7[[#This Row],[Sр, кВА]]/(SQRT(3)*0.4)</f>
        <v>0</v>
      </c>
    </row>
    <row r="54" spans="1:13" x14ac:dyDescent="0.25">
      <c r="A54" s="22" t="s">
        <v>112</v>
      </c>
      <c r="B54" s="21"/>
      <c r="C54" s="21"/>
      <c r="D54" s="21"/>
      <c r="E54" s="21"/>
      <c r="F54" s="21"/>
      <c r="G54" s="21"/>
      <c r="H54" s="18">
        <f>SUM(Таблица7[[#This Row],[Тип 1]:[Тип 6]])</f>
        <v>0</v>
      </c>
      <c r="I54" s="43">
        <f>Таблица7[[#This Row],[Тип 1]]*х!$O$40+Таблица7[[#This Row],[Тип 2]]*х!$P$40+Таблица7[[#This Row],[Тип 3]]*х!$Q$40+Таблица7[[#This Row],[Тип 4]]*х!$R$40+Таблица7[[#This Row],[Тип 5]]*х!$S$40+Таблица7[[#This Row],[Тип 6]]*х!$T$40</f>
        <v>0</v>
      </c>
      <c r="J54" s="55">
        <f>IFERROR(IF(OR('Расчет нагрузок'!$I$2=х!$E$14,'Расчет нагрузок'!$I$2=х!$E$15,'Расчет нагрузок'!$I$2=х!$E$17),FORECAST(Таблица7[[#This Row],[Σ]],INDEX(х!$F$43:$S$43,MATCH(Таблица7[[#This Row],[Σ]],х!$F$42:$S$42)):INDEX(х!$G$43:$T$43,MATCH(Таблица7[[#This Row],[Σ]],х!$F$42:$S$42)),INDEX(х!$F$42:$S$42,MATCH(Таблица7[[#This Row],[Σ]],х!$F$42:$S$42)):INDEX(х!$G$42:$U$42,MATCH(Таблица7[[#This Row],[Σ]],х!$F$42:$S$42))),FORECAST(Таблица7[[#This Row],[Σ]],INDEX(х!$F$44:$S$44,MATCH(Таблица7[[#This Row],[Σ]],х!$F$42:$S$42)):INDEX(х!$G$44:$T$44,MATCH(Таблица7[[#This Row],[Σ]],х!$F$42:$S$42)),INDEX(х!$F$42:$S$42,MATCH(Таблица7[[#This Row],[Σ]],х!$F$42:$S$42)):INDEX(х!$G$42:$U$42,MATCH(Таблица7[[#This Row],[Σ]],х!$F$42:$S$42)))),0)</f>
        <v>0</v>
      </c>
      <c r="K54" s="43">
        <f>Таблица7[[#This Row],[Ркв, кВт]]*Таблица7[[#This Row],[К0]]</f>
        <v>0</v>
      </c>
      <c r="L54" s="43">
        <f>Таблица7[[#This Row],[Рр.кв, кВт]]/IF('Расчет нагрузок'!$I$3="Без дополнительных электроприемников",INDEX(х!$V$14:$V$19,MATCH('Расчет нагрузок'!$I$2,tipKV,0)),IF(INDEX(х!$V$14:$V$19,MATCH('Расчет нагрузок'!$I$2,tipKV,0))=0.98,0.93,0.92))</f>
        <v>0</v>
      </c>
      <c r="M54" s="43">
        <f>Таблица7[[#This Row],[Sр, кВА]]/(SQRT(3)*0.4)</f>
        <v>0</v>
      </c>
    </row>
    <row r="55" spans="1:13" x14ac:dyDescent="0.25">
      <c r="A55" s="22" t="s">
        <v>113</v>
      </c>
      <c r="B55" s="21"/>
      <c r="C55" s="21"/>
      <c r="D55" s="21"/>
      <c r="E55" s="21"/>
      <c r="F55" s="21"/>
      <c r="G55" s="21"/>
      <c r="H55" s="18">
        <f>SUM(Таблица7[[#This Row],[Тип 1]:[Тип 6]])</f>
        <v>0</v>
      </c>
      <c r="I55" s="43">
        <f>Таблица7[[#This Row],[Тип 1]]*х!$O$40+Таблица7[[#This Row],[Тип 2]]*х!$P$40+Таблица7[[#This Row],[Тип 3]]*х!$Q$40+Таблица7[[#This Row],[Тип 4]]*х!$R$40+Таблица7[[#This Row],[Тип 5]]*х!$S$40+Таблица7[[#This Row],[Тип 6]]*х!$T$40</f>
        <v>0</v>
      </c>
      <c r="J55" s="55">
        <f>IFERROR(IF(OR('Расчет нагрузок'!$I$2=х!$E$14,'Расчет нагрузок'!$I$2=х!$E$15,'Расчет нагрузок'!$I$2=х!$E$17),FORECAST(Таблица7[[#This Row],[Σ]],INDEX(х!$F$43:$S$43,MATCH(Таблица7[[#This Row],[Σ]],х!$F$42:$S$42)):INDEX(х!$G$43:$T$43,MATCH(Таблица7[[#This Row],[Σ]],х!$F$42:$S$42)),INDEX(х!$F$42:$S$42,MATCH(Таблица7[[#This Row],[Σ]],х!$F$42:$S$42)):INDEX(х!$G$42:$U$42,MATCH(Таблица7[[#This Row],[Σ]],х!$F$42:$S$42))),FORECAST(Таблица7[[#This Row],[Σ]],INDEX(х!$F$44:$S$44,MATCH(Таблица7[[#This Row],[Σ]],х!$F$42:$S$42)):INDEX(х!$G$44:$T$44,MATCH(Таблица7[[#This Row],[Σ]],х!$F$42:$S$42)),INDEX(х!$F$42:$S$42,MATCH(Таблица7[[#This Row],[Σ]],х!$F$42:$S$42)):INDEX(х!$G$42:$U$42,MATCH(Таблица7[[#This Row],[Σ]],х!$F$42:$S$42)))),0)</f>
        <v>0</v>
      </c>
      <c r="K55" s="43">
        <f>Таблица7[[#This Row],[Ркв, кВт]]*Таблица7[[#This Row],[К0]]</f>
        <v>0</v>
      </c>
      <c r="L55" s="43">
        <f>Таблица7[[#This Row],[Рр.кв, кВт]]/IF('Расчет нагрузок'!$I$3="Без дополнительных электроприемников",INDEX(х!$V$14:$V$19,MATCH('Расчет нагрузок'!$I$2,tipKV,0)),IF(INDEX(х!$V$14:$V$19,MATCH('Расчет нагрузок'!$I$2,tipKV,0))=0.98,0.93,0.92))</f>
        <v>0</v>
      </c>
      <c r="M55" s="43">
        <f>Таблица7[[#This Row],[Sр, кВА]]/(SQRT(3)*0.4)</f>
        <v>0</v>
      </c>
    </row>
    <row r="56" spans="1:13" x14ac:dyDescent="0.25">
      <c r="A56" s="22" t="s">
        <v>114</v>
      </c>
      <c r="B56" s="21"/>
      <c r="C56" s="21"/>
      <c r="D56" s="21"/>
      <c r="E56" s="21"/>
      <c r="F56" s="21"/>
      <c r="G56" s="21"/>
      <c r="H56" s="18">
        <f>SUM(Таблица7[[#This Row],[Тип 1]:[Тип 6]])</f>
        <v>0</v>
      </c>
      <c r="I56" s="43">
        <f>Таблица7[[#This Row],[Тип 1]]*х!$O$40+Таблица7[[#This Row],[Тип 2]]*х!$P$40+Таблица7[[#This Row],[Тип 3]]*х!$Q$40+Таблица7[[#This Row],[Тип 4]]*х!$R$40+Таблица7[[#This Row],[Тип 5]]*х!$S$40+Таблица7[[#This Row],[Тип 6]]*х!$T$40</f>
        <v>0</v>
      </c>
      <c r="J56" s="55">
        <f>IFERROR(IF(OR('Расчет нагрузок'!$I$2=х!$E$14,'Расчет нагрузок'!$I$2=х!$E$15,'Расчет нагрузок'!$I$2=х!$E$17),FORECAST(Таблица7[[#This Row],[Σ]],INDEX(х!$F$43:$S$43,MATCH(Таблица7[[#This Row],[Σ]],х!$F$42:$S$42)):INDEX(х!$G$43:$T$43,MATCH(Таблица7[[#This Row],[Σ]],х!$F$42:$S$42)),INDEX(х!$F$42:$S$42,MATCH(Таблица7[[#This Row],[Σ]],х!$F$42:$S$42)):INDEX(х!$G$42:$U$42,MATCH(Таблица7[[#This Row],[Σ]],х!$F$42:$S$42))),FORECAST(Таблица7[[#This Row],[Σ]],INDEX(х!$F$44:$S$44,MATCH(Таблица7[[#This Row],[Σ]],х!$F$42:$S$42)):INDEX(х!$G$44:$T$44,MATCH(Таблица7[[#This Row],[Σ]],х!$F$42:$S$42)),INDEX(х!$F$42:$S$42,MATCH(Таблица7[[#This Row],[Σ]],х!$F$42:$S$42)):INDEX(х!$G$42:$U$42,MATCH(Таблица7[[#This Row],[Σ]],х!$F$42:$S$42)))),0)</f>
        <v>0</v>
      </c>
      <c r="K56" s="43">
        <f>Таблица7[[#This Row],[Ркв, кВт]]*Таблица7[[#This Row],[К0]]</f>
        <v>0</v>
      </c>
      <c r="L56" s="43">
        <f>Таблица7[[#This Row],[Рр.кв, кВт]]/IF('Расчет нагрузок'!$I$3="Без дополнительных электроприемников",INDEX(х!$V$14:$V$19,MATCH('Расчет нагрузок'!$I$2,tipKV,0)),IF(INDEX(х!$V$14:$V$19,MATCH('Расчет нагрузок'!$I$2,tipKV,0))=0.98,0.93,0.92))</f>
        <v>0</v>
      </c>
      <c r="M56" s="43">
        <f>Таблица7[[#This Row],[Sр, кВА]]/(SQRT(3)*0.4)</f>
        <v>0</v>
      </c>
    </row>
    <row r="57" spans="1:13" x14ac:dyDescent="0.25">
      <c r="A57" s="22" t="s">
        <v>115</v>
      </c>
      <c r="B57" s="21"/>
      <c r="C57" s="21"/>
      <c r="D57" s="21"/>
      <c r="E57" s="21"/>
      <c r="F57" s="21"/>
      <c r="G57" s="21"/>
      <c r="H57" s="18">
        <f>SUM(Таблица7[[#This Row],[Тип 1]:[Тип 6]])</f>
        <v>0</v>
      </c>
      <c r="I57" s="43">
        <f>Таблица7[[#This Row],[Тип 1]]*х!$O$40+Таблица7[[#This Row],[Тип 2]]*х!$P$40+Таблица7[[#This Row],[Тип 3]]*х!$Q$40+Таблица7[[#This Row],[Тип 4]]*х!$R$40+Таблица7[[#This Row],[Тип 5]]*х!$S$40+Таблица7[[#This Row],[Тип 6]]*х!$T$40</f>
        <v>0</v>
      </c>
      <c r="J57" s="55">
        <f>IFERROR(IF(OR('Расчет нагрузок'!$I$2=х!$E$14,'Расчет нагрузок'!$I$2=х!$E$15,'Расчет нагрузок'!$I$2=х!$E$17),FORECAST(Таблица7[[#This Row],[Σ]],INDEX(х!$F$43:$S$43,MATCH(Таблица7[[#This Row],[Σ]],х!$F$42:$S$42)):INDEX(х!$G$43:$T$43,MATCH(Таблица7[[#This Row],[Σ]],х!$F$42:$S$42)),INDEX(х!$F$42:$S$42,MATCH(Таблица7[[#This Row],[Σ]],х!$F$42:$S$42)):INDEX(х!$G$42:$U$42,MATCH(Таблица7[[#This Row],[Σ]],х!$F$42:$S$42))),FORECAST(Таблица7[[#This Row],[Σ]],INDEX(х!$F$44:$S$44,MATCH(Таблица7[[#This Row],[Σ]],х!$F$42:$S$42)):INDEX(х!$G$44:$T$44,MATCH(Таблица7[[#This Row],[Σ]],х!$F$42:$S$42)),INDEX(х!$F$42:$S$42,MATCH(Таблица7[[#This Row],[Σ]],х!$F$42:$S$42)):INDEX(х!$G$42:$U$42,MATCH(Таблица7[[#This Row],[Σ]],х!$F$42:$S$42)))),0)</f>
        <v>0</v>
      </c>
      <c r="K57" s="43">
        <f>Таблица7[[#This Row],[Ркв, кВт]]*Таблица7[[#This Row],[К0]]</f>
        <v>0</v>
      </c>
      <c r="L57" s="43">
        <f>Таблица7[[#This Row],[Рр.кв, кВт]]/IF('Расчет нагрузок'!$I$3="Без дополнительных электроприемников",INDEX(х!$V$14:$V$19,MATCH('Расчет нагрузок'!$I$2,tipKV,0)),IF(INDEX(х!$V$14:$V$19,MATCH('Расчет нагрузок'!$I$2,tipKV,0))=0.98,0.93,0.92))</f>
        <v>0</v>
      </c>
      <c r="M57" s="51">
        <f>Таблица7[[#This Row],[Sр, кВА]]/(SQRT(3)*0.4)</f>
        <v>0</v>
      </c>
    </row>
    <row r="58" spans="1:13" x14ac:dyDescent="0.25">
      <c r="A58" s="33" t="s">
        <v>12</v>
      </c>
      <c r="B58" s="16"/>
      <c r="C58" s="16"/>
      <c r="D58" s="16"/>
      <c r="E58" s="16"/>
      <c r="F58" s="16"/>
      <c r="G58" s="16"/>
      <c r="H58" s="16">
        <f>SUBTOTAL(109,Таблица7[Σ])</f>
        <v>0</v>
      </c>
      <c r="I58" s="51">
        <f>SUBTOTAL(109,Таблица7[Ркв, кВт])</f>
        <v>0</v>
      </c>
      <c r="J58" s="55">
        <f>IFERROR(IF(OR('Расчет нагрузок'!$I$2=х!$E$14,'Расчет нагрузок'!$I$2=х!$E$15,'Расчет нагрузок'!$I$2=х!$E$17),FORECAST(Таблица7[[#Totals],[Σ]],INDEX(х!$F$43:$S$43,MATCH(Таблица7[[#Totals],[Σ]],х!$F$42:$S$42)):INDEX(х!$G$43:$T$43,MATCH(Таблица7[[#Totals],[Σ]],х!$F$42:$S$42)),INDEX(х!$F$42:$S$42,MATCH(Таблица7[[#Totals],[Σ]],х!$F$42:$S$42)):INDEX(х!$G$42:$U$42,MATCH(Таблица7[[#Totals],[Σ]],х!$F$42:$S$42))),FORECAST(Таблица7[[#Totals],[Σ]],INDEX(х!$F$44:$S$44,MATCH(Таблица7[[#Totals],[Σ]],х!$F$42:$S$42)):INDEX(х!$G$44:$T$44,MATCH(Таблица7[[#Totals],[Σ]],х!$F$42:$S$42)),INDEX(х!$F$42:$S$42,MATCH(Таблица7[[#Totals],[Σ]],х!$F$42:$S$42)):INDEX(х!$G$42:$U$42,MATCH(Таблица7[[#Totals],[Σ]],х!$F$42:$S$42)))),0)</f>
        <v>0</v>
      </c>
      <c r="K58" s="43">
        <f>Таблица7[[#Totals],[Ркв, кВт]]*Таблица7[[#Totals],[К0]]</f>
        <v>0</v>
      </c>
      <c r="L58" s="43">
        <f>Таблица7[[#Totals],[Рр.кв, кВт]]/IF('Расчет нагрузок'!$I$3="Без дополнительных электроприемников",INDEX(х!$V$14:$V$19,MATCH('Расчет нагрузок'!$I$2,tipKV,0)),IF(INDEX(х!$V$14:$V$19,MATCH('Расчет нагрузок'!$I$2,tipKV,0))=0.98,0.93,0.92))</f>
        <v>0</v>
      </c>
      <c r="M58" s="51">
        <f>Таблица7[[#Totals],[Sр, кВА]]/(SQRT(3)*0.4)</f>
        <v>0</v>
      </c>
    </row>
  </sheetData>
  <mergeCells count="234">
    <mergeCell ref="L17:M17"/>
    <mergeCell ref="I18:J18"/>
    <mergeCell ref="L18:M18"/>
    <mergeCell ref="I19:J19"/>
    <mergeCell ref="L19:M19"/>
    <mergeCell ref="I20:J20"/>
    <mergeCell ref="L20:M20"/>
    <mergeCell ref="I21:J21"/>
    <mergeCell ref="L21:M21"/>
    <mergeCell ref="D18:E18"/>
    <mergeCell ref="D20:E20"/>
    <mergeCell ref="D21:E21"/>
    <mergeCell ref="D14:E14"/>
    <mergeCell ref="A14:B14"/>
    <mergeCell ref="A8:B8"/>
    <mergeCell ref="L8:M8"/>
    <mergeCell ref="I9:J9"/>
    <mergeCell ref="L9:M9"/>
    <mergeCell ref="I10:J10"/>
    <mergeCell ref="L10:M10"/>
    <mergeCell ref="I11:J11"/>
    <mergeCell ref="L11:M11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A5:G5"/>
    <mergeCell ref="A7:G7"/>
    <mergeCell ref="A9:B9"/>
    <mergeCell ref="A10:B10"/>
    <mergeCell ref="A11:B11"/>
    <mergeCell ref="A12:B12"/>
    <mergeCell ref="A13:B13"/>
    <mergeCell ref="A21:B21"/>
    <mergeCell ref="D8:E8"/>
    <mergeCell ref="D9:E9"/>
    <mergeCell ref="D10:E10"/>
    <mergeCell ref="D11:E11"/>
    <mergeCell ref="D12:E12"/>
    <mergeCell ref="D13:E13"/>
    <mergeCell ref="D15:E15"/>
    <mergeCell ref="D16:E16"/>
    <mergeCell ref="D19:E19"/>
    <mergeCell ref="A15:B15"/>
    <mergeCell ref="A16:B16"/>
    <mergeCell ref="A17:B17"/>
    <mergeCell ref="A18:B18"/>
    <mergeCell ref="A19:B19"/>
    <mergeCell ref="A20:B20"/>
    <mergeCell ref="D17:E17"/>
    <mergeCell ref="Q7:W7"/>
    <mergeCell ref="Q8:R8"/>
    <mergeCell ref="T8:U8"/>
    <mergeCell ref="Q9:R9"/>
    <mergeCell ref="T9:U9"/>
    <mergeCell ref="A1:G1"/>
    <mergeCell ref="A6:G6"/>
    <mergeCell ref="A4:F4"/>
    <mergeCell ref="Q1:W1"/>
    <mergeCell ref="Q2:V2"/>
    <mergeCell ref="Q3:V3"/>
    <mergeCell ref="Q4:V4"/>
    <mergeCell ref="Q5:W5"/>
    <mergeCell ref="Q6:W6"/>
    <mergeCell ref="I1:O1"/>
    <mergeCell ref="I2:N2"/>
    <mergeCell ref="I3:N3"/>
    <mergeCell ref="I4:N4"/>
    <mergeCell ref="I5:O5"/>
    <mergeCell ref="I6:O6"/>
    <mergeCell ref="I7:O7"/>
    <mergeCell ref="I8:J8"/>
    <mergeCell ref="A2:F2"/>
    <mergeCell ref="A3:F3"/>
    <mergeCell ref="Q13:R13"/>
    <mergeCell ref="T13:U13"/>
    <mergeCell ref="Q14:R14"/>
    <mergeCell ref="T14:U14"/>
    <mergeCell ref="Q15:R15"/>
    <mergeCell ref="T15:U15"/>
    <mergeCell ref="Q10:R10"/>
    <mergeCell ref="T10:U10"/>
    <mergeCell ref="Q11:R11"/>
    <mergeCell ref="T11:U11"/>
    <mergeCell ref="Q12:R12"/>
    <mergeCell ref="T12:U12"/>
    <mergeCell ref="Q19:R19"/>
    <mergeCell ref="T19:U19"/>
    <mergeCell ref="Q20:R20"/>
    <mergeCell ref="T20:U20"/>
    <mergeCell ref="Q21:R21"/>
    <mergeCell ref="T21:U21"/>
    <mergeCell ref="Q16:R16"/>
    <mergeCell ref="T16:U16"/>
    <mergeCell ref="Q17:R17"/>
    <mergeCell ref="T17:U17"/>
    <mergeCell ref="Q18:R18"/>
    <mergeCell ref="T18:U18"/>
    <mergeCell ref="A27:F27"/>
    <mergeCell ref="A28:F28"/>
    <mergeCell ref="A29:G29"/>
    <mergeCell ref="A30:G30"/>
    <mergeCell ref="Q22:V22"/>
    <mergeCell ref="Q23:T23"/>
    <mergeCell ref="U23:W23"/>
    <mergeCell ref="A25:G25"/>
    <mergeCell ref="A26:F26"/>
    <mergeCell ref="A23:D23"/>
    <mergeCell ref="E23:G23"/>
    <mergeCell ref="A22:F22"/>
    <mergeCell ref="I23:L23"/>
    <mergeCell ref="M23:O23"/>
    <mergeCell ref="I22:N22"/>
    <mergeCell ref="A34:B34"/>
    <mergeCell ref="D34:E34"/>
    <mergeCell ref="A35:B35"/>
    <mergeCell ref="D35:E35"/>
    <mergeCell ref="A36:B36"/>
    <mergeCell ref="D36:E36"/>
    <mergeCell ref="A31:G31"/>
    <mergeCell ref="A32:B32"/>
    <mergeCell ref="D32:E32"/>
    <mergeCell ref="A33:B33"/>
    <mergeCell ref="D33:E33"/>
    <mergeCell ref="A41:B41"/>
    <mergeCell ref="D41:E41"/>
    <mergeCell ref="A42:B42"/>
    <mergeCell ref="D42:E42"/>
    <mergeCell ref="A37:B37"/>
    <mergeCell ref="D37:E37"/>
    <mergeCell ref="A38:B38"/>
    <mergeCell ref="D38:E38"/>
    <mergeCell ref="A39:B39"/>
    <mergeCell ref="D39:E39"/>
    <mergeCell ref="A46:F46"/>
    <mergeCell ref="A47:D47"/>
    <mergeCell ref="E47:G47"/>
    <mergeCell ref="I25:O25"/>
    <mergeCell ref="I26:N26"/>
    <mergeCell ref="I27:N27"/>
    <mergeCell ref="I28:N28"/>
    <mergeCell ref="I29:O29"/>
    <mergeCell ref="I30:O30"/>
    <mergeCell ref="I31:O31"/>
    <mergeCell ref="I32:J32"/>
    <mergeCell ref="L32:M32"/>
    <mergeCell ref="I33:J33"/>
    <mergeCell ref="L33:M33"/>
    <mergeCell ref="I34:J34"/>
    <mergeCell ref="A43:B43"/>
    <mergeCell ref="D43:E43"/>
    <mergeCell ref="A44:B44"/>
    <mergeCell ref="D44:E44"/>
    <mergeCell ref="A45:B45"/>
    <mergeCell ref="D45:E45"/>
    <mergeCell ref="A40:B40"/>
    <mergeCell ref="D40:E40"/>
    <mergeCell ref="I47:L47"/>
    <mergeCell ref="M47:O47"/>
    <mergeCell ref="Q25:W25"/>
    <mergeCell ref="Q26:V26"/>
    <mergeCell ref="Q27:V27"/>
    <mergeCell ref="Q28:V28"/>
    <mergeCell ref="Q29:W29"/>
    <mergeCell ref="Q30:W30"/>
    <mergeCell ref="Q31:W31"/>
    <mergeCell ref="Q32:R32"/>
    <mergeCell ref="T32:U32"/>
    <mergeCell ref="Q33:R33"/>
    <mergeCell ref="T33:U33"/>
    <mergeCell ref="Q34:R34"/>
    <mergeCell ref="T38:U38"/>
    <mergeCell ref="Q39:R39"/>
    <mergeCell ref="T39:U39"/>
    <mergeCell ref="T34:U34"/>
    <mergeCell ref="Q35:R35"/>
    <mergeCell ref="T35:U35"/>
    <mergeCell ref="Q36:R36"/>
    <mergeCell ref="T36:U36"/>
    <mergeCell ref="I46:N46"/>
    <mergeCell ref="I37:J37"/>
    <mergeCell ref="L37:M37"/>
    <mergeCell ref="I43:J43"/>
    <mergeCell ref="L43:M43"/>
    <mergeCell ref="I44:J44"/>
    <mergeCell ref="L44:M44"/>
    <mergeCell ref="I45:J45"/>
    <mergeCell ref="L45:M45"/>
    <mergeCell ref="I40:J40"/>
    <mergeCell ref="L40:M40"/>
    <mergeCell ref="I41:J41"/>
    <mergeCell ref="L41:M41"/>
    <mergeCell ref="I42:J42"/>
    <mergeCell ref="L42:M42"/>
    <mergeCell ref="I38:J38"/>
    <mergeCell ref="L38:M38"/>
    <mergeCell ref="I39:J39"/>
    <mergeCell ref="L39:M39"/>
    <mergeCell ref="L34:M34"/>
    <mergeCell ref="I35:J35"/>
    <mergeCell ref="L35:M35"/>
    <mergeCell ref="I36:J36"/>
    <mergeCell ref="L36:M36"/>
    <mergeCell ref="A50:M50"/>
    <mergeCell ref="Q46:V46"/>
    <mergeCell ref="Q47:T47"/>
    <mergeCell ref="U47:W47"/>
    <mergeCell ref="A24:W24"/>
    <mergeCell ref="H25:H47"/>
    <mergeCell ref="P25:P47"/>
    <mergeCell ref="H1:H23"/>
    <mergeCell ref="P1:P23"/>
    <mergeCell ref="Q43:R43"/>
    <mergeCell ref="T43:U43"/>
    <mergeCell ref="Q44:R44"/>
    <mergeCell ref="T44:U44"/>
    <mergeCell ref="Q45:R45"/>
    <mergeCell ref="T45:U45"/>
    <mergeCell ref="Q40:R40"/>
    <mergeCell ref="T40:U40"/>
    <mergeCell ref="Q41:R41"/>
    <mergeCell ref="T41:U41"/>
    <mergeCell ref="Q42:R42"/>
    <mergeCell ref="T42:U42"/>
    <mergeCell ref="Q37:R37"/>
    <mergeCell ref="T37:U37"/>
    <mergeCell ref="Q38:R38"/>
  </mergeCells>
  <dataValidations count="1">
    <dataValidation type="list" allowBlank="1" showInputMessage="1" showErrorMessage="1" sqref="A29 I29 Q29 Q5 I5 A5" xr:uid="{00000000-0002-0000-0100-000000000000}">
      <formula1>"Расчет по заявленной мощности, Расчет по установленной мощности"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3</xdr:col>
                    <xdr:colOff>47625</xdr:colOff>
                    <xdr:row>8</xdr:row>
                    <xdr:rowOff>9525</xdr:rowOff>
                  </from>
                  <to>
                    <xdr:col>4</xdr:col>
                    <xdr:colOff>552450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Scroll Bar 5">
              <controlPr defaultSize="0" autoPict="0">
                <anchor moveWithCells="1">
                  <from>
                    <xdr:col>3</xdr:col>
                    <xdr:colOff>47625</xdr:colOff>
                    <xdr:row>9</xdr:row>
                    <xdr:rowOff>19050</xdr:rowOff>
                  </from>
                  <to>
                    <xdr:col>4</xdr:col>
                    <xdr:colOff>552450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Scroll Bar 6">
              <controlPr defaultSize="0" autoPict="0">
                <anchor moveWithCells="1">
                  <from>
                    <xdr:col>3</xdr:col>
                    <xdr:colOff>47625</xdr:colOff>
                    <xdr:row>10</xdr:row>
                    <xdr:rowOff>19050</xdr:rowOff>
                  </from>
                  <to>
                    <xdr:col>4</xdr:col>
                    <xdr:colOff>552450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7" name="Check Box 12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10</xdr:row>
                    <xdr:rowOff>200025</xdr:rowOff>
                  </from>
                  <to>
                    <xdr:col>2</xdr:col>
                    <xdr:colOff>38100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8" name="Check Box 14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9</xdr:row>
                    <xdr:rowOff>200025</xdr:rowOff>
                  </from>
                  <to>
                    <xdr:col>2</xdr:col>
                    <xdr:colOff>38100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9" name="Check Box 15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8</xdr:row>
                    <xdr:rowOff>209550</xdr:rowOff>
                  </from>
                  <to>
                    <xdr:col>2</xdr:col>
                    <xdr:colOff>38100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0" name="Check Box 16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7</xdr:row>
                    <xdr:rowOff>200025</xdr:rowOff>
                  </from>
                  <to>
                    <xdr:col>2</xdr:col>
                    <xdr:colOff>38100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1" name="Check Box 17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11</xdr:row>
                    <xdr:rowOff>200025</xdr:rowOff>
                  </from>
                  <to>
                    <xdr:col>2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2" name="Check Box 19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12</xdr:row>
                    <xdr:rowOff>200025</xdr:rowOff>
                  </from>
                  <to>
                    <xdr:col>2</xdr:col>
                    <xdr:colOff>38100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3" name="Scroll Bar 20">
              <controlPr defaultSize="0" autoPict="0">
                <anchor moveWithCells="1">
                  <from>
                    <xdr:col>3</xdr:col>
                    <xdr:colOff>47625</xdr:colOff>
                    <xdr:row>13</xdr:row>
                    <xdr:rowOff>9525</xdr:rowOff>
                  </from>
                  <to>
                    <xdr:col>4</xdr:col>
                    <xdr:colOff>552450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4" name="Check Box 22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13</xdr:row>
                    <xdr:rowOff>200025</xdr:rowOff>
                  </from>
                  <to>
                    <xdr:col>2</xdr:col>
                    <xdr:colOff>38100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5" name="Check Box 24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14</xdr:row>
                    <xdr:rowOff>209550</xdr:rowOff>
                  </from>
                  <to>
                    <xdr:col>2</xdr:col>
                    <xdr:colOff>38100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6" name="Check Box 26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15</xdr:row>
                    <xdr:rowOff>200025</xdr:rowOff>
                  </from>
                  <to>
                    <xdr:col>2</xdr:col>
                    <xdr:colOff>38100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7" name="Scroll Bar 29">
              <controlPr defaultSize="0" autoPict="0">
                <anchor moveWithCells="1">
                  <from>
                    <xdr:col>3</xdr:col>
                    <xdr:colOff>47625</xdr:colOff>
                    <xdr:row>16</xdr:row>
                    <xdr:rowOff>9525</xdr:rowOff>
                  </from>
                  <to>
                    <xdr:col>4</xdr:col>
                    <xdr:colOff>552450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8" name="Check Box 30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16</xdr:row>
                    <xdr:rowOff>200025</xdr:rowOff>
                  </from>
                  <to>
                    <xdr:col>2</xdr:col>
                    <xdr:colOff>38100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9" name="Scroll Bar 31">
              <controlPr defaultSize="0" autoPict="0">
                <anchor moveWithCells="1">
                  <from>
                    <xdr:col>3</xdr:col>
                    <xdr:colOff>47625</xdr:colOff>
                    <xdr:row>17</xdr:row>
                    <xdr:rowOff>9525</xdr:rowOff>
                  </from>
                  <to>
                    <xdr:col>4</xdr:col>
                    <xdr:colOff>552450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20" name="Check Box 40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17</xdr:row>
                    <xdr:rowOff>200025</xdr:rowOff>
                  </from>
                  <to>
                    <xdr:col>2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1" name="Check Box 42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18</xdr:row>
                    <xdr:rowOff>200025</xdr:rowOff>
                  </from>
                  <to>
                    <xdr:col>2</xdr:col>
                    <xdr:colOff>38100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22" name="Scroll Bar 43">
              <controlPr defaultSize="0" autoPict="0">
                <anchor moveWithCells="1">
                  <from>
                    <xdr:col>3</xdr:col>
                    <xdr:colOff>47625</xdr:colOff>
                    <xdr:row>19</xdr:row>
                    <xdr:rowOff>9525</xdr:rowOff>
                  </from>
                  <to>
                    <xdr:col>4</xdr:col>
                    <xdr:colOff>552450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3" name="Check Box 45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19</xdr:row>
                    <xdr:rowOff>200025</xdr:rowOff>
                  </from>
                  <to>
                    <xdr:col>2</xdr:col>
                    <xdr:colOff>38100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4" name="Scroll Bar 46">
              <controlPr defaultSize="0" autoPict="0">
                <anchor moveWithCells="1">
                  <from>
                    <xdr:col>3</xdr:col>
                    <xdr:colOff>47625</xdr:colOff>
                    <xdr:row>20</xdr:row>
                    <xdr:rowOff>9525</xdr:rowOff>
                  </from>
                  <to>
                    <xdr:col>4</xdr:col>
                    <xdr:colOff>552450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25" name="Scroll Bar 70">
              <controlPr defaultSize="0" autoPict="0">
                <anchor moveWithCells="1">
                  <from>
                    <xdr:col>11</xdr:col>
                    <xdr:colOff>47625</xdr:colOff>
                    <xdr:row>8</xdr:row>
                    <xdr:rowOff>9525</xdr:rowOff>
                  </from>
                  <to>
                    <xdr:col>12</xdr:col>
                    <xdr:colOff>552450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26" name="Scroll Bar 71">
              <controlPr defaultSize="0" autoPict="0">
                <anchor moveWithCells="1">
                  <from>
                    <xdr:col>11</xdr:col>
                    <xdr:colOff>47625</xdr:colOff>
                    <xdr:row>9</xdr:row>
                    <xdr:rowOff>19050</xdr:rowOff>
                  </from>
                  <to>
                    <xdr:col>12</xdr:col>
                    <xdr:colOff>552450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27" name="Scroll Bar 72">
              <controlPr defaultSize="0" autoPict="0">
                <anchor moveWithCells="1">
                  <from>
                    <xdr:col>11</xdr:col>
                    <xdr:colOff>47625</xdr:colOff>
                    <xdr:row>10</xdr:row>
                    <xdr:rowOff>19050</xdr:rowOff>
                  </from>
                  <to>
                    <xdr:col>12</xdr:col>
                    <xdr:colOff>552450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28" name="Check Box 73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10</xdr:row>
                    <xdr:rowOff>200025</xdr:rowOff>
                  </from>
                  <to>
                    <xdr:col>10</xdr:col>
                    <xdr:colOff>38100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29" name="Check Box 74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9</xdr:row>
                    <xdr:rowOff>200025</xdr:rowOff>
                  </from>
                  <to>
                    <xdr:col>10</xdr:col>
                    <xdr:colOff>38100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30" name="Check Box 75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8</xdr:row>
                    <xdr:rowOff>209550</xdr:rowOff>
                  </from>
                  <to>
                    <xdr:col>10</xdr:col>
                    <xdr:colOff>38100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31" name="Check Box 76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7</xdr:row>
                    <xdr:rowOff>200025</xdr:rowOff>
                  </from>
                  <to>
                    <xdr:col>10</xdr:col>
                    <xdr:colOff>38100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32" name="Check Box 77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11</xdr:row>
                    <xdr:rowOff>200025</xdr:rowOff>
                  </from>
                  <to>
                    <xdr:col>10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33" name="Check Box 78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12</xdr:row>
                    <xdr:rowOff>200025</xdr:rowOff>
                  </from>
                  <to>
                    <xdr:col>10</xdr:col>
                    <xdr:colOff>38100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34" name="Scroll Bar 79">
              <controlPr defaultSize="0" autoPict="0">
                <anchor moveWithCells="1">
                  <from>
                    <xdr:col>11</xdr:col>
                    <xdr:colOff>47625</xdr:colOff>
                    <xdr:row>13</xdr:row>
                    <xdr:rowOff>9525</xdr:rowOff>
                  </from>
                  <to>
                    <xdr:col>12</xdr:col>
                    <xdr:colOff>552450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35" name="Check Box 80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13</xdr:row>
                    <xdr:rowOff>200025</xdr:rowOff>
                  </from>
                  <to>
                    <xdr:col>10</xdr:col>
                    <xdr:colOff>38100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36" name="Check Box 81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14</xdr:row>
                    <xdr:rowOff>209550</xdr:rowOff>
                  </from>
                  <to>
                    <xdr:col>10</xdr:col>
                    <xdr:colOff>38100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7" name="Check Box 82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15</xdr:row>
                    <xdr:rowOff>200025</xdr:rowOff>
                  </from>
                  <to>
                    <xdr:col>10</xdr:col>
                    <xdr:colOff>38100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8" name="Scroll Bar 83">
              <controlPr defaultSize="0" autoPict="0">
                <anchor moveWithCells="1">
                  <from>
                    <xdr:col>11</xdr:col>
                    <xdr:colOff>47625</xdr:colOff>
                    <xdr:row>16</xdr:row>
                    <xdr:rowOff>9525</xdr:rowOff>
                  </from>
                  <to>
                    <xdr:col>12</xdr:col>
                    <xdr:colOff>552450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9" name="Check Box 84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16</xdr:row>
                    <xdr:rowOff>200025</xdr:rowOff>
                  </from>
                  <to>
                    <xdr:col>10</xdr:col>
                    <xdr:colOff>38100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40" name="Scroll Bar 85">
              <controlPr defaultSize="0" autoPict="0">
                <anchor moveWithCells="1">
                  <from>
                    <xdr:col>11</xdr:col>
                    <xdr:colOff>47625</xdr:colOff>
                    <xdr:row>17</xdr:row>
                    <xdr:rowOff>9525</xdr:rowOff>
                  </from>
                  <to>
                    <xdr:col>12</xdr:col>
                    <xdr:colOff>552450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41" name="Check Box 86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17</xdr:row>
                    <xdr:rowOff>200025</xdr:rowOff>
                  </from>
                  <to>
                    <xdr:col>10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42" name="Check Box 87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18</xdr:row>
                    <xdr:rowOff>200025</xdr:rowOff>
                  </from>
                  <to>
                    <xdr:col>10</xdr:col>
                    <xdr:colOff>38100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43" name="Scroll Bar 88">
              <controlPr defaultSize="0" autoPict="0">
                <anchor moveWithCells="1">
                  <from>
                    <xdr:col>11</xdr:col>
                    <xdr:colOff>47625</xdr:colOff>
                    <xdr:row>19</xdr:row>
                    <xdr:rowOff>9525</xdr:rowOff>
                  </from>
                  <to>
                    <xdr:col>12</xdr:col>
                    <xdr:colOff>552450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44" name="Check Box 89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19</xdr:row>
                    <xdr:rowOff>200025</xdr:rowOff>
                  </from>
                  <to>
                    <xdr:col>10</xdr:col>
                    <xdr:colOff>38100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45" name="Scroll Bar 90">
              <controlPr defaultSize="0" autoPict="0">
                <anchor moveWithCells="1">
                  <from>
                    <xdr:col>11</xdr:col>
                    <xdr:colOff>47625</xdr:colOff>
                    <xdr:row>20</xdr:row>
                    <xdr:rowOff>9525</xdr:rowOff>
                  </from>
                  <to>
                    <xdr:col>12</xdr:col>
                    <xdr:colOff>552450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46" name="Scroll Bar 91">
              <controlPr defaultSize="0" autoPict="0">
                <anchor moveWithCells="1">
                  <from>
                    <xdr:col>19</xdr:col>
                    <xdr:colOff>47625</xdr:colOff>
                    <xdr:row>8</xdr:row>
                    <xdr:rowOff>9525</xdr:rowOff>
                  </from>
                  <to>
                    <xdr:col>20</xdr:col>
                    <xdr:colOff>552450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47" name="Scroll Bar 92">
              <controlPr defaultSize="0" autoPict="0">
                <anchor moveWithCells="1">
                  <from>
                    <xdr:col>19</xdr:col>
                    <xdr:colOff>47625</xdr:colOff>
                    <xdr:row>9</xdr:row>
                    <xdr:rowOff>19050</xdr:rowOff>
                  </from>
                  <to>
                    <xdr:col>20</xdr:col>
                    <xdr:colOff>552450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8" name="Scroll Bar 93">
              <controlPr defaultSize="0" autoPict="0">
                <anchor moveWithCells="1">
                  <from>
                    <xdr:col>19</xdr:col>
                    <xdr:colOff>47625</xdr:colOff>
                    <xdr:row>10</xdr:row>
                    <xdr:rowOff>19050</xdr:rowOff>
                  </from>
                  <to>
                    <xdr:col>20</xdr:col>
                    <xdr:colOff>552450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49" name="Check Box 94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10</xdr:row>
                    <xdr:rowOff>200025</xdr:rowOff>
                  </from>
                  <to>
                    <xdr:col>18</xdr:col>
                    <xdr:colOff>57150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50" name="Check Box 95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9</xdr:row>
                    <xdr:rowOff>200025</xdr:rowOff>
                  </from>
                  <to>
                    <xdr:col>18</xdr:col>
                    <xdr:colOff>57150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51" name="Check Box 96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8</xdr:row>
                    <xdr:rowOff>209550</xdr:rowOff>
                  </from>
                  <to>
                    <xdr:col>18</xdr:col>
                    <xdr:colOff>57150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52" name="Check Box 97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7</xdr:row>
                    <xdr:rowOff>200025</xdr:rowOff>
                  </from>
                  <to>
                    <xdr:col>18</xdr:col>
                    <xdr:colOff>57150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53" name="Check Box 98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11</xdr:row>
                    <xdr:rowOff>200025</xdr:rowOff>
                  </from>
                  <to>
                    <xdr:col>18</xdr:col>
                    <xdr:colOff>57150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54" name="Check Box 99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12</xdr:row>
                    <xdr:rowOff>200025</xdr:rowOff>
                  </from>
                  <to>
                    <xdr:col>18</xdr:col>
                    <xdr:colOff>57150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55" name="Scroll Bar 100">
              <controlPr defaultSize="0" autoPict="0">
                <anchor moveWithCells="1">
                  <from>
                    <xdr:col>19</xdr:col>
                    <xdr:colOff>47625</xdr:colOff>
                    <xdr:row>13</xdr:row>
                    <xdr:rowOff>9525</xdr:rowOff>
                  </from>
                  <to>
                    <xdr:col>20</xdr:col>
                    <xdr:colOff>552450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56" name="Check Box 101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13</xdr:row>
                    <xdr:rowOff>200025</xdr:rowOff>
                  </from>
                  <to>
                    <xdr:col>18</xdr:col>
                    <xdr:colOff>57150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57" name="Check Box 102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14</xdr:row>
                    <xdr:rowOff>209550</xdr:rowOff>
                  </from>
                  <to>
                    <xdr:col>18</xdr:col>
                    <xdr:colOff>57150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58" name="Check Box 103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15</xdr:row>
                    <xdr:rowOff>200025</xdr:rowOff>
                  </from>
                  <to>
                    <xdr:col>18</xdr:col>
                    <xdr:colOff>57150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59" name="Scroll Bar 104">
              <controlPr defaultSize="0" autoPict="0">
                <anchor moveWithCells="1">
                  <from>
                    <xdr:col>19</xdr:col>
                    <xdr:colOff>47625</xdr:colOff>
                    <xdr:row>16</xdr:row>
                    <xdr:rowOff>9525</xdr:rowOff>
                  </from>
                  <to>
                    <xdr:col>20</xdr:col>
                    <xdr:colOff>552450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60" name="Check Box 105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16</xdr:row>
                    <xdr:rowOff>200025</xdr:rowOff>
                  </from>
                  <to>
                    <xdr:col>18</xdr:col>
                    <xdr:colOff>57150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61" name="Scroll Bar 106">
              <controlPr defaultSize="0" autoPict="0">
                <anchor moveWithCells="1">
                  <from>
                    <xdr:col>19</xdr:col>
                    <xdr:colOff>47625</xdr:colOff>
                    <xdr:row>17</xdr:row>
                    <xdr:rowOff>9525</xdr:rowOff>
                  </from>
                  <to>
                    <xdr:col>20</xdr:col>
                    <xdr:colOff>552450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62" name="Check Box 107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17</xdr:row>
                    <xdr:rowOff>200025</xdr:rowOff>
                  </from>
                  <to>
                    <xdr:col>18</xdr:col>
                    <xdr:colOff>57150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63" name="Check Box 108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18</xdr:row>
                    <xdr:rowOff>200025</xdr:rowOff>
                  </from>
                  <to>
                    <xdr:col>18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64" name="Scroll Bar 109">
              <controlPr defaultSize="0" autoPict="0">
                <anchor moveWithCells="1">
                  <from>
                    <xdr:col>19</xdr:col>
                    <xdr:colOff>47625</xdr:colOff>
                    <xdr:row>19</xdr:row>
                    <xdr:rowOff>9525</xdr:rowOff>
                  </from>
                  <to>
                    <xdr:col>20</xdr:col>
                    <xdr:colOff>552450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65" name="Check Box 110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19</xdr:row>
                    <xdr:rowOff>200025</xdr:rowOff>
                  </from>
                  <to>
                    <xdr:col>18</xdr:col>
                    <xdr:colOff>57150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66" name="Scroll Bar 111">
              <controlPr defaultSize="0" autoPict="0">
                <anchor moveWithCells="1">
                  <from>
                    <xdr:col>19</xdr:col>
                    <xdr:colOff>47625</xdr:colOff>
                    <xdr:row>20</xdr:row>
                    <xdr:rowOff>9525</xdr:rowOff>
                  </from>
                  <to>
                    <xdr:col>20</xdr:col>
                    <xdr:colOff>552450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67" name="Scroll Bar 113">
              <controlPr defaultSize="0" autoPict="0">
                <anchor moveWithCells="1">
                  <from>
                    <xdr:col>3</xdr:col>
                    <xdr:colOff>47625</xdr:colOff>
                    <xdr:row>32</xdr:row>
                    <xdr:rowOff>9525</xdr:rowOff>
                  </from>
                  <to>
                    <xdr:col>4</xdr:col>
                    <xdr:colOff>552450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68" name="Scroll Bar 114">
              <controlPr defaultSize="0" autoPict="0">
                <anchor moveWithCells="1">
                  <from>
                    <xdr:col>3</xdr:col>
                    <xdr:colOff>47625</xdr:colOff>
                    <xdr:row>33</xdr:row>
                    <xdr:rowOff>19050</xdr:rowOff>
                  </from>
                  <to>
                    <xdr:col>4</xdr:col>
                    <xdr:colOff>552450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69" name="Scroll Bar 115">
              <controlPr defaultSize="0" autoPict="0">
                <anchor moveWithCells="1">
                  <from>
                    <xdr:col>3</xdr:col>
                    <xdr:colOff>47625</xdr:colOff>
                    <xdr:row>34</xdr:row>
                    <xdr:rowOff>19050</xdr:rowOff>
                  </from>
                  <to>
                    <xdr:col>4</xdr:col>
                    <xdr:colOff>552450</xdr:colOff>
                    <xdr:row>34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70" name="Check Box 116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34</xdr:row>
                    <xdr:rowOff>200025</xdr:rowOff>
                  </from>
                  <to>
                    <xdr:col>2</xdr:col>
                    <xdr:colOff>38100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71" name="Check Box 117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33</xdr:row>
                    <xdr:rowOff>200025</xdr:rowOff>
                  </from>
                  <to>
                    <xdr:col>2</xdr:col>
                    <xdr:colOff>38100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72" name="Check Box 118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32</xdr:row>
                    <xdr:rowOff>209550</xdr:rowOff>
                  </from>
                  <to>
                    <xdr:col>2</xdr:col>
                    <xdr:colOff>38100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73" name="Check Box 119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31</xdr:row>
                    <xdr:rowOff>200025</xdr:rowOff>
                  </from>
                  <to>
                    <xdr:col>2</xdr:col>
                    <xdr:colOff>38100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74" name="Check Box 120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35</xdr:row>
                    <xdr:rowOff>200025</xdr:rowOff>
                  </from>
                  <to>
                    <xdr:col>2</xdr:col>
                    <xdr:colOff>38100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75" name="Check Box 121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36</xdr:row>
                    <xdr:rowOff>200025</xdr:rowOff>
                  </from>
                  <to>
                    <xdr:col>2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76" name="Scroll Bar 122">
              <controlPr defaultSize="0" autoPict="0">
                <anchor moveWithCells="1">
                  <from>
                    <xdr:col>3</xdr:col>
                    <xdr:colOff>47625</xdr:colOff>
                    <xdr:row>37</xdr:row>
                    <xdr:rowOff>9525</xdr:rowOff>
                  </from>
                  <to>
                    <xdr:col>4</xdr:col>
                    <xdr:colOff>552450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77" name="Check Box 123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37</xdr:row>
                    <xdr:rowOff>200025</xdr:rowOff>
                  </from>
                  <to>
                    <xdr:col>2</xdr:col>
                    <xdr:colOff>38100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78" name="Check Box 124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38</xdr:row>
                    <xdr:rowOff>209550</xdr:rowOff>
                  </from>
                  <to>
                    <xdr:col>2</xdr:col>
                    <xdr:colOff>38100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79" name="Check Box 125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39</xdr:row>
                    <xdr:rowOff>200025</xdr:rowOff>
                  </from>
                  <to>
                    <xdr:col>2</xdr:col>
                    <xdr:colOff>38100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80" name="Scroll Bar 126">
              <controlPr defaultSize="0" autoPict="0">
                <anchor moveWithCells="1">
                  <from>
                    <xdr:col>3</xdr:col>
                    <xdr:colOff>47625</xdr:colOff>
                    <xdr:row>40</xdr:row>
                    <xdr:rowOff>9525</xdr:rowOff>
                  </from>
                  <to>
                    <xdr:col>4</xdr:col>
                    <xdr:colOff>552450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81" name="Check Box 127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40</xdr:row>
                    <xdr:rowOff>200025</xdr:rowOff>
                  </from>
                  <to>
                    <xdr:col>2</xdr:col>
                    <xdr:colOff>38100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82" name="Scroll Bar 128">
              <controlPr defaultSize="0" autoPict="0">
                <anchor moveWithCells="1">
                  <from>
                    <xdr:col>3</xdr:col>
                    <xdr:colOff>47625</xdr:colOff>
                    <xdr:row>41</xdr:row>
                    <xdr:rowOff>9525</xdr:rowOff>
                  </from>
                  <to>
                    <xdr:col>4</xdr:col>
                    <xdr:colOff>552450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83" name="Check Box 129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41</xdr:row>
                    <xdr:rowOff>200025</xdr:rowOff>
                  </from>
                  <to>
                    <xdr:col>2</xdr:col>
                    <xdr:colOff>38100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84" name="Check Box 130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42</xdr:row>
                    <xdr:rowOff>200025</xdr:rowOff>
                  </from>
                  <to>
                    <xdr:col>2</xdr:col>
                    <xdr:colOff>38100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85" name="Scroll Bar 131">
              <controlPr defaultSize="0" autoPict="0">
                <anchor moveWithCells="1">
                  <from>
                    <xdr:col>3</xdr:col>
                    <xdr:colOff>47625</xdr:colOff>
                    <xdr:row>43</xdr:row>
                    <xdr:rowOff>9525</xdr:rowOff>
                  </from>
                  <to>
                    <xdr:col>4</xdr:col>
                    <xdr:colOff>552450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86" name="Check Box 132">
              <controlPr defaultSize="0" autoFill="0" autoLine="0" autoPict="0" altText="">
                <anchor moveWithCells="1">
                  <from>
                    <xdr:col>1</xdr:col>
                    <xdr:colOff>1419225</xdr:colOff>
                    <xdr:row>43</xdr:row>
                    <xdr:rowOff>200025</xdr:rowOff>
                  </from>
                  <to>
                    <xdr:col>2</xdr:col>
                    <xdr:colOff>38100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87" name="Scroll Bar 133">
              <controlPr defaultSize="0" autoPict="0">
                <anchor moveWithCells="1">
                  <from>
                    <xdr:col>3</xdr:col>
                    <xdr:colOff>47625</xdr:colOff>
                    <xdr:row>44</xdr:row>
                    <xdr:rowOff>9525</xdr:rowOff>
                  </from>
                  <to>
                    <xdr:col>4</xdr:col>
                    <xdr:colOff>552450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88" name="Scroll Bar 134">
              <controlPr defaultSize="0" autoPict="0">
                <anchor moveWithCells="1">
                  <from>
                    <xdr:col>11</xdr:col>
                    <xdr:colOff>47625</xdr:colOff>
                    <xdr:row>32</xdr:row>
                    <xdr:rowOff>9525</xdr:rowOff>
                  </from>
                  <to>
                    <xdr:col>12</xdr:col>
                    <xdr:colOff>552450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89" name="Scroll Bar 135">
              <controlPr defaultSize="0" autoPict="0">
                <anchor moveWithCells="1">
                  <from>
                    <xdr:col>11</xdr:col>
                    <xdr:colOff>47625</xdr:colOff>
                    <xdr:row>33</xdr:row>
                    <xdr:rowOff>19050</xdr:rowOff>
                  </from>
                  <to>
                    <xdr:col>12</xdr:col>
                    <xdr:colOff>552450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90" name="Scroll Bar 136">
              <controlPr defaultSize="0" autoPict="0">
                <anchor moveWithCells="1">
                  <from>
                    <xdr:col>11</xdr:col>
                    <xdr:colOff>47625</xdr:colOff>
                    <xdr:row>34</xdr:row>
                    <xdr:rowOff>19050</xdr:rowOff>
                  </from>
                  <to>
                    <xdr:col>12</xdr:col>
                    <xdr:colOff>552450</xdr:colOff>
                    <xdr:row>34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91" name="Check Box 137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34</xdr:row>
                    <xdr:rowOff>200025</xdr:rowOff>
                  </from>
                  <to>
                    <xdr:col>10</xdr:col>
                    <xdr:colOff>38100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92" name="Check Box 138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33</xdr:row>
                    <xdr:rowOff>200025</xdr:rowOff>
                  </from>
                  <to>
                    <xdr:col>10</xdr:col>
                    <xdr:colOff>38100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93" name="Check Box 139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32</xdr:row>
                    <xdr:rowOff>209550</xdr:rowOff>
                  </from>
                  <to>
                    <xdr:col>10</xdr:col>
                    <xdr:colOff>38100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94" name="Check Box 140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31</xdr:row>
                    <xdr:rowOff>200025</xdr:rowOff>
                  </from>
                  <to>
                    <xdr:col>10</xdr:col>
                    <xdr:colOff>38100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95" name="Check Box 141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35</xdr:row>
                    <xdr:rowOff>200025</xdr:rowOff>
                  </from>
                  <to>
                    <xdr:col>10</xdr:col>
                    <xdr:colOff>38100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96" name="Check Box 142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36</xdr:row>
                    <xdr:rowOff>200025</xdr:rowOff>
                  </from>
                  <to>
                    <xdr:col>10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97" name="Scroll Bar 143">
              <controlPr defaultSize="0" autoPict="0">
                <anchor moveWithCells="1">
                  <from>
                    <xdr:col>11</xdr:col>
                    <xdr:colOff>47625</xdr:colOff>
                    <xdr:row>37</xdr:row>
                    <xdr:rowOff>9525</xdr:rowOff>
                  </from>
                  <to>
                    <xdr:col>12</xdr:col>
                    <xdr:colOff>552450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98" name="Check Box 144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37</xdr:row>
                    <xdr:rowOff>200025</xdr:rowOff>
                  </from>
                  <to>
                    <xdr:col>10</xdr:col>
                    <xdr:colOff>38100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99" name="Check Box 145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38</xdr:row>
                    <xdr:rowOff>209550</xdr:rowOff>
                  </from>
                  <to>
                    <xdr:col>10</xdr:col>
                    <xdr:colOff>38100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00" name="Check Box 146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39</xdr:row>
                    <xdr:rowOff>200025</xdr:rowOff>
                  </from>
                  <to>
                    <xdr:col>10</xdr:col>
                    <xdr:colOff>38100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01" name="Scroll Bar 147">
              <controlPr defaultSize="0" autoPict="0">
                <anchor moveWithCells="1">
                  <from>
                    <xdr:col>11</xdr:col>
                    <xdr:colOff>47625</xdr:colOff>
                    <xdr:row>40</xdr:row>
                    <xdr:rowOff>9525</xdr:rowOff>
                  </from>
                  <to>
                    <xdr:col>12</xdr:col>
                    <xdr:colOff>552450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02" name="Check Box 148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40</xdr:row>
                    <xdr:rowOff>200025</xdr:rowOff>
                  </from>
                  <to>
                    <xdr:col>10</xdr:col>
                    <xdr:colOff>38100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03" name="Scroll Bar 149">
              <controlPr defaultSize="0" autoPict="0">
                <anchor moveWithCells="1">
                  <from>
                    <xdr:col>11</xdr:col>
                    <xdr:colOff>47625</xdr:colOff>
                    <xdr:row>41</xdr:row>
                    <xdr:rowOff>9525</xdr:rowOff>
                  </from>
                  <to>
                    <xdr:col>12</xdr:col>
                    <xdr:colOff>552450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04" name="Check Box 150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41</xdr:row>
                    <xdr:rowOff>200025</xdr:rowOff>
                  </from>
                  <to>
                    <xdr:col>10</xdr:col>
                    <xdr:colOff>38100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05" name="Check Box 151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42</xdr:row>
                    <xdr:rowOff>200025</xdr:rowOff>
                  </from>
                  <to>
                    <xdr:col>10</xdr:col>
                    <xdr:colOff>38100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06" name="Scroll Bar 152">
              <controlPr defaultSize="0" autoPict="0">
                <anchor moveWithCells="1">
                  <from>
                    <xdr:col>11</xdr:col>
                    <xdr:colOff>47625</xdr:colOff>
                    <xdr:row>43</xdr:row>
                    <xdr:rowOff>9525</xdr:rowOff>
                  </from>
                  <to>
                    <xdr:col>12</xdr:col>
                    <xdr:colOff>552450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07" name="Check Box 153">
              <controlPr defaultSize="0" autoFill="0" autoLine="0" autoPict="0" altText="">
                <anchor moveWithCells="1">
                  <from>
                    <xdr:col>9</xdr:col>
                    <xdr:colOff>1419225</xdr:colOff>
                    <xdr:row>43</xdr:row>
                    <xdr:rowOff>200025</xdr:rowOff>
                  </from>
                  <to>
                    <xdr:col>10</xdr:col>
                    <xdr:colOff>38100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08" name="Scroll Bar 154">
              <controlPr defaultSize="0" autoPict="0">
                <anchor moveWithCells="1">
                  <from>
                    <xdr:col>11</xdr:col>
                    <xdr:colOff>47625</xdr:colOff>
                    <xdr:row>44</xdr:row>
                    <xdr:rowOff>9525</xdr:rowOff>
                  </from>
                  <to>
                    <xdr:col>12</xdr:col>
                    <xdr:colOff>552450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09" name="Scroll Bar 155">
              <controlPr defaultSize="0" autoPict="0">
                <anchor moveWithCells="1">
                  <from>
                    <xdr:col>19</xdr:col>
                    <xdr:colOff>47625</xdr:colOff>
                    <xdr:row>32</xdr:row>
                    <xdr:rowOff>9525</xdr:rowOff>
                  </from>
                  <to>
                    <xdr:col>20</xdr:col>
                    <xdr:colOff>552450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10" name="Scroll Bar 156">
              <controlPr defaultSize="0" autoPict="0">
                <anchor moveWithCells="1">
                  <from>
                    <xdr:col>19</xdr:col>
                    <xdr:colOff>47625</xdr:colOff>
                    <xdr:row>33</xdr:row>
                    <xdr:rowOff>19050</xdr:rowOff>
                  </from>
                  <to>
                    <xdr:col>20</xdr:col>
                    <xdr:colOff>552450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11" name="Scroll Bar 157">
              <controlPr defaultSize="0" autoPict="0">
                <anchor moveWithCells="1">
                  <from>
                    <xdr:col>19</xdr:col>
                    <xdr:colOff>47625</xdr:colOff>
                    <xdr:row>34</xdr:row>
                    <xdr:rowOff>19050</xdr:rowOff>
                  </from>
                  <to>
                    <xdr:col>20</xdr:col>
                    <xdr:colOff>552450</xdr:colOff>
                    <xdr:row>34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12" name="Check Box 158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34</xdr:row>
                    <xdr:rowOff>200025</xdr:rowOff>
                  </from>
                  <to>
                    <xdr:col>18</xdr:col>
                    <xdr:colOff>57150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13" name="Check Box 159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33</xdr:row>
                    <xdr:rowOff>200025</xdr:rowOff>
                  </from>
                  <to>
                    <xdr:col>18</xdr:col>
                    <xdr:colOff>57150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14" name="Check Box 160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32</xdr:row>
                    <xdr:rowOff>209550</xdr:rowOff>
                  </from>
                  <to>
                    <xdr:col>18</xdr:col>
                    <xdr:colOff>57150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15" name="Check Box 161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31</xdr:row>
                    <xdr:rowOff>200025</xdr:rowOff>
                  </from>
                  <to>
                    <xdr:col>18</xdr:col>
                    <xdr:colOff>57150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16" name="Check Box 162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35</xdr:row>
                    <xdr:rowOff>200025</xdr:rowOff>
                  </from>
                  <to>
                    <xdr:col>18</xdr:col>
                    <xdr:colOff>57150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17" name="Check Box 163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36</xdr:row>
                    <xdr:rowOff>200025</xdr:rowOff>
                  </from>
                  <to>
                    <xdr:col>18</xdr:col>
                    <xdr:colOff>57150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18" name="Scroll Bar 164">
              <controlPr defaultSize="0" autoPict="0">
                <anchor moveWithCells="1">
                  <from>
                    <xdr:col>19</xdr:col>
                    <xdr:colOff>47625</xdr:colOff>
                    <xdr:row>37</xdr:row>
                    <xdr:rowOff>9525</xdr:rowOff>
                  </from>
                  <to>
                    <xdr:col>20</xdr:col>
                    <xdr:colOff>552450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19" name="Check Box 165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37</xdr:row>
                    <xdr:rowOff>200025</xdr:rowOff>
                  </from>
                  <to>
                    <xdr:col>18</xdr:col>
                    <xdr:colOff>57150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20" name="Check Box 166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38</xdr:row>
                    <xdr:rowOff>209550</xdr:rowOff>
                  </from>
                  <to>
                    <xdr:col>18</xdr:col>
                    <xdr:colOff>57150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21" name="Check Box 167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39</xdr:row>
                    <xdr:rowOff>200025</xdr:rowOff>
                  </from>
                  <to>
                    <xdr:col>18</xdr:col>
                    <xdr:colOff>57150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22" name="Scroll Bar 168">
              <controlPr defaultSize="0" autoPict="0">
                <anchor moveWithCells="1">
                  <from>
                    <xdr:col>19</xdr:col>
                    <xdr:colOff>47625</xdr:colOff>
                    <xdr:row>40</xdr:row>
                    <xdr:rowOff>9525</xdr:rowOff>
                  </from>
                  <to>
                    <xdr:col>20</xdr:col>
                    <xdr:colOff>552450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23" name="Check Box 169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40</xdr:row>
                    <xdr:rowOff>200025</xdr:rowOff>
                  </from>
                  <to>
                    <xdr:col>18</xdr:col>
                    <xdr:colOff>57150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24" name="Scroll Bar 170">
              <controlPr defaultSize="0" autoPict="0">
                <anchor moveWithCells="1">
                  <from>
                    <xdr:col>19</xdr:col>
                    <xdr:colOff>47625</xdr:colOff>
                    <xdr:row>41</xdr:row>
                    <xdr:rowOff>9525</xdr:rowOff>
                  </from>
                  <to>
                    <xdr:col>20</xdr:col>
                    <xdr:colOff>552450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25" name="Check Box 171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41</xdr:row>
                    <xdr:rowOff>200025</xdr:rowOff>
                  </from>
                  <to>
                    <xdr:col>18</xdr:col>
                    <xdr:colOff>57150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26" name="Check Box 172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42</xdr:row>
                    <xdr:rowOff>200025</xdr:rowOff>
                  </from>
                  <to>
                    <xdr:col>18</xdr:col>
                    <xdr:colOff>57150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27" name="Scroll Bar 173">
              <controlPr defaultSize="0" autoPict="0">
                <anchor moveWithCells="1">
                  <from>
                    <xdr:col>19</xdr:col>
                    <xdr:colOff>47625</xdr:colOff>
                    <xdr:row>43</xdr:row>
                    <xdr:rowOff>9525</xdr:rowOff>
                  </from>
                  <to>
                    <xdr:col>20</xdr:col>
                    <xdr:colOff>552450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28" name="Check Box 174">
              <controlPr defaultSize="0" autoFill="0" autoLine="0" autoPict="0" altText="">
                <anchor moveWithCells="1">
                  <from>
                    <xdr:col>17</xdr:col>
                    <xdr:colOff>1419225</xdr:colOff>
                    <xdr:row>43</xdr:row>
                    <xdr:rowOff>200025</xdr:rowOff>
                  </from>
                  <to>
                    <xdr:col>18</xdr:col>
                    <xdr:colOff>57150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29" name="Scroll Bar 175">
              <controlPr defaultSize="0" autoPict="0">
                <anchor moveWithCells="1">
                  <from>
                    <xdr:col>19</xdr:col>
                    <xdr:colOff>47625</xdr:colOff>
                    <xdr:row>44</xdr:row>
                    <xdr:rowOff>9525</xdr:rowOff>
                  </from>
                  <to>
                    <xdr:col>20</xdr:col>
                    <xdr:colOff>552450</xdr:colOff>
                    <xdr:row>44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tableParts count="1">
    <tablePart r:id="rId1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X51"/>
  <sheetViews>
    <sheetView topLeftCell="A25" workbookViewId="0">
      <selection activeCell="E51" sqref="E51"/>
    </sheetView>
  </sheetViews>
  <sheetFormatPr defaultRowHeight="15" x14ac:dyDescent="0.25"/>
  <cols>
    <col min="1" max="1" width="12.28515625" customWidth="1"/>
    <col min="3" max="3" width="14.5703125" customWidth="1"/>
    <col min="5" max="5" width="50.42578125" customWidth="1"/>
    <col min="6" max="6" width="12.28515625" customWidth="1"/>
    <col min="21" max="21" width="0" hidden="1" customWidth="1"/>
  </cols>
  <sheetData>
    <row r="1" spans="1:24" ht="35.25" customHeight="1" x14ac:dyDescent="0.25">
      <c r="A1" s="141" t="s">
        <v>7</v>
      </c>
      <c r="B1" s="141" t="s">
        <v>8</v>
      </c>
      <c r="C1" s="141"/>
      <c r="E1" s="141" t="s">
        <v>13</v>
      </c>
      <c r="F1" s="3"/>
      <c r="G1" s="141" t="s">
        <v>19</v>
      </c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42"/>
    </row>
    <row r="2" spans="1:24" x14ac:dyDescent="0.25">
      <c r="A2" s="141"/>
      <c r="B2" s="3" t="s">
        <v>9</v>
      </c>
      <c r="C2" s="3" t="s">
        <v>43</v>
      </c>
      <c r="E2" s="141"/>
      <c r="F2" s="3">
        <v>1</v>
      </c>
      <c r="G2" s="3">
        <v>2</v>
      </c>
      <c r="H2" s="3">
        <v>3</v>
      </c>
      <c r="I2" s="3">
        <v>5</v>
      </c>
      <c r="J2" s="3">
        <v>8</v>
      </c>
      <c r="K2" s="3">
        <v>10</v>
      </c>
      <c r="L2" s="3">
        <v>15</v>
      </c>
      <c r="M2" s="3">
        <v>20</v>
      </c>
      <c r="N2" s="3">
        <v>30</v>
      </c>
      <c r="O2" s="3">
        <v>50</v>
      </c>
      <c r="P2" s="3">
        <v>100</v>
      </c>
      <c r="Q2" s="3">
        <v>200</v>
      </c>
      <c r="R2" s="14">
        <v>201</v>
      </c>
      <c r="S2" s="3">
        <f>Таблица2[[#Totals],[Кол-во]]</f>
        <v>0</v>
      </c>
    </row>
    <row r="3" spans="1:24" x14ac:dyDescent="0.25">
      <c r="A3" s="4">
        <v>1</v>
      </c>
      <c r="B3" s="4">
        <v>1</v>
      </c>
      <c r="C3" s="4">
        <v>1</v>
      </c>
      <c r="E3" s="3" t="s">
        <v>14</v>
      </c>
      <c r="F3" s="5">
        <v>1</v>
      </c>
      <c r="G3" s="5">
        <v>1</v>
      </c>
      <c r="H3" s="5">
        <v>0.9</v>
      </c>
      <c r="I3" s="5">
        <v>0.8</v>
      </c>
      <c r="J3" s="5">
        <v>0.75</v>
      </c>
      <c r="K3" s="5">
        <v>0.7</v>
      </c>
      <c r="L3" s="5">
        <v>0.65</v>
      </c>
      <c r="M3" s="5">
        <v>0.65</v>
      </c>
      <c r="N3" s="5">
        <v>0.6</v>
      </c>
      <c r="O3" s="5">
        <v>0.55000000000000004</v>
      </c>
      <c r="P3" s="5">
        <v>0.55000000000000004</v>
      </c>
      <c r="Q3" s="5">
        <v>0.5</v>
      </c>
      <c r="R3" s="5">
        <v>0.5</v>
      </c>
      <c r="S3" s="3">
        <f>IFERROR(FORECAST($S$2,INDEX(F3:Q3,MATCH($S$2,$F$2:$Q$2)):INDEX(G3:R3,MATCH($S$2,$F$2:$Q$2)),INDEX($F$2:$Q$2,MATCH($S$2,$F$2:$Q$2)):INDEX($G$2:$R$2,MATCH($S$2,$F$2:$Q$2))),0)</f>
        <v>0</v>
      </c>
    </row>
    <row r="4" spans="1:24" x14ac:dyDescent="0.25">
      <c r="A4" s="4">
        <v>2</v>
      </c>
      <c r="B4" s="5">
        <v>0.8</v>
      </c>
      <c r="C4" s="5">
        <v>0.9</v>
      </c>
      <c r="E4" s="3" t="s">
        <v>15</v>
      </c>
      <c r="F4" s="3">
        <v>1</v>
      </c>
      <c r="G4" s="3">
        <v>1</v>
      </c>
      <c r="H4" s="3">
        <v>0.9</v>
      </c>
      <c r="I4" s="5">
        <v>0.75</v>
      </c>
      <c r="J4" s="5">
        <v>0.7</v>
      </c>
      <c r="K4" s="5">
        <v>0.65</v>
      </c>
      <c r="L4" s="5">
        <v>0.6</v>
      </c>
      <c r="M4" s="5">
        <v>0.6</v>
      </c>
      <c r="N4" s="5">
        <v>0.6</v>
      </c>
      <c r="O4" s="5">
        <v>0.55000000000000004</v>
      </c>
      <c r="P4" s="5">
        <v>0.55000000000000004</v>
      </c>
      <c r="Q4" s="5">
        <v>0.5</v>
      </c>
      <c r="R4" s="5">
        <v>0.5</v>
      </c>
      <c r="S4" s="3">
        <f>IFERROR(FORECAST($S$2,INDEX(F4:Q4,MATCH($S$2,$F$2:$Q$2)):INDEX(G4:R4,MATCH($S$2,$F$2:$Q$2)),INDEX($F$2:$Q$2,MATCH($S$2,$F$2:$Q$2)):INDEX($G$2:$R$2,MATCH($S$2,$F$2:$Q$2))),0)</f>
        <v>0</v>
      </c>
    </row>
    <row r="5" spans="1:24" x14ac:dyDescent="0.25">
      <c r="A5" s="4">
        <v>3</v>
      </c>
      <c r="B5" s="5">
        <v>0.8</v>
      </c>
      <c r="C5" s="5">
        <v>0.9</v>
      </c>
      <c r="E5" s="3" t="s">
        <v>16</v>
      </c>
      <c r="F5" s="3">
        <v>1</v>
      </c>
      <c r="G5" s="3">
        <v>1</v>
      </c>
      <c r="H5" s="3">
        <v>0.9</v>
      </c>
      <c r="I5" s="5">
        <v>0.7</v>
      </c>
      <c r="J5" s="5">
        <v>0.65</v>
      </c>
      <c r="K5" s="5">
        <v>0.65</v>
      </c>
      <c r="L5" s="5">
        <v>0.6</v>
      </c>
      <c r="M5" s="5">
        <v>0.6</v>
      </c>
      <c r="N5" s="5">
        <v>0.55000000000000004</v>
      </c>
      <c r="O5" s="5">
        <v>0.5</v>
      </c>
      <c r="P5" s="5">
        <v>0.5</v>
      </c>
      <c r="Q5" s="5">
        <v>0.45</v>
      </c>
      <c r="R5" s="5">
        <v>0.45</v>
      </c>
      <c r="S5" s="3">
        <f>IFERROR(FORECAST($S$2,INDEX(F5:Q5,MATCH($S$2,$F$2:$Q$2)):INDEX(G5:R5,MATCH($S$2,$F$2:$Q$2)),INDEX($F$2:$Q$2,MATCH($S$2,$F$2:$Q$2)):INDEX($G$2:$R$2,MATCH($S$2,$F$2:$Q$2))),0)</f>
        <v>0</v>
      </c>
    </row>
    <row r="6" spans="1:24" x14ac:dyDescent="0.25">
      <c r="A6" s="4">
        <v>4</v>
      </c>
      <c r="B6" s="5">
        <v>0.7</v>
      </c>
      <c r="C6" s="5">
        <v>0.8</v>
      </c>
      <c r="E6" s="3" t="s">
        <v>17</v>
      </c>
      <c r="F6" s="3">
        <v>1</v>
      </c>
      <c r="G6" s="3">
        <v>1</v>
      </c>
      <c r="H6" s="3">
        <v>0.9</v>
      </c>
      <c r="I6" s="5">
        <v>0.65</v>
      </c>
      <c r="J6" s="5">
        <v>0.6</v>
      </c>
      <c r="K6" s="5">
        <v>0.6</v>
      </c>
      <c r="L6" s="5">
        <v>0.55000000000000004</v>
      </c>
      <c r="M6" s="5">
        <v>0.5</v>
      </c>
      <c r="N6" s="5">
        <v>0.5</v>
      </c>
      <c r="O6" s="5">
        <v>0.5</v>
      </c>
      <c r="P6" s="5">
        <v>0.45</v>
      </c>
      <c r="Q6" s="5">
        <v>0.45</v>
      </c>
      <c r="R6" s="5">
        <v>0.45</v>
      </c>
      <c r="S6" s="3">
        <f>IFERROR(FORECAST($S$2,INDEX(F6:Q6,MATCH($S$2,$F$2:$Q$2)):INDEX(G6:R6,MATCH($S$2,$F$2:$Q$2)),INDEX($F$2:$Q$2,MATCH($S$2,$F$2:$Q$2)):INDEX($G$2:$R$2,MATCH($S$2,$F$2:$Q$2))),0)</f>
        <v>0</v>
      </c>
    </row>
    <row r="7" spans="1:24" x14ac:dyDescent="0.25">
      <c r="A7" s="4">
        <v>5</v>
      </c>
      <c r="B7" s="5">
        <v>0.7</v>
      </c>
      <c r="C7" s="5">
        <v>0.8</v>
      </c>
      <c r="E7" s="3" t="s">
        <v>18</v>
      </c>
      <c r="F7" s="3">
        <v>1</v>
      </c>
      <c r="G7" s="3">
        <v>1</v>
      </c>
      <c r="H7" s="3">
        <v>0.9</v>
      </c>
      <c r="I7" s="5">
        <v>0.6</v>
      </c>
      <c r="J7" s="5">
        <v>0.6</v>
      </c>
      <c r="K7" s="5">
        <v>0.55000000000000004</v>
      </c>
      <c r="L7" s="5">
        <v>0.5</v>
      </c>
      <c r="M7" s="5">
        <v>0.5</v>
      </c>
      <c r="N7" s="5">
        <v>0.5</v>
      </c>
      <c r="O7" s="5">
        <v>0.45</v>
      </c>
      <c r="P7" s="5">
        <v>0.45</v>
      </c>
      <c r="Q7" s="5">
        <v>0.4</v>
      </c>
      <c r="R7" s="5">
        <v>0.4</v>
      </c>
      <c r="S7" s="3">
        <f>IFERROR(FORECAST($S$2,INDEX(F7:Q7,MATCH($S$2,$F$2:$Q$2)):INDEX(G7:R7,MATCH($S$2,$F$2:$Q$2)),INDEX($F$2:$Q$2,MATCH($S$2,$F$2:$Q$2)):INDEX($G$2:$R$2,MATCH($S$2,$F$2:$Q$2))),0)</f>
        <v>0</v>
      </c>
    </row>
    <row r="8" spans="1:24" x14ac:dyDescent="0.25">
      <c r="A8" s="4">
        <v>6</v>
      </c>
      <c r="B8" s="5">
        <v>0.65</v>
      </c>
      <c r="C8" s="5">
        <v>0.75</v>
      </c>
      <c r="E8" s="3" t="s">
        <v>20</v>
      </c>
      <c r="F8" s="5">
        <v>1</v>
      </c>
      <c r="G8" s="5">
        <v>0.8</v>
      </c>
      <c r="H8" s="5">
        <v>0.75</v>
      </c>
      <c r="I8" s="5">
        <v>0.7</v>
      </c>
      <c r="J8" s="5">
        <v>0.75</v>
      </c>
      <c r="K8" s="5">
        <v>0.7</v>
      </c>
      <c r="L8" s="5">
        <v>0.65</v>
      </c>
      <c r="M8" s="5">
        <v>0.65</v>
      </c>
      <c r="N8" s="5">
        <v>0.6</v>
      </c>
      <c r="O8" s="5">
        <v>0.55000000000000004</v>
      </c>
      <c r="P8" s="5">
        <v>0.55000000000000004</v>
      </c>
      <c r="Q8" s="5">
        <v>0.5</v>
      </c>
      <c r="R8" s="5">
        <v>0.5</v>
      </c>
      <c r="S8" s="3">
        <f>IFERROR(FORECAST($S$2,INDEX(F8:Q8,MATCH($S$2,$F$2:$Q$2)):INDEX(G8:R8,MATCH($S$2,$F$2:$Q$2)),INDEX($F$2:$Q$2,MATCH($S$2,$F$2:$Q$2)):INDEX($G$2:$R$2,MATCH($S$2,$F$2:$Q$2))),0)</f>
        <v>0</v>
      </c>
    </row>
    <row r="9" spans="1:24" x14ac:dyDescent="0.25">
      <c r="A9" s="4">
        <v>7</v>
      </c>
      <c r="B9" s="12">
        <f>FORECAST(A9,B4:B8,A4:A8)</f>
        <v>0.60999999999999988</v>
      </c>
      <c r="C9" s="12">
        <f>FORECAST(A9,C4:C8,A4:A8)</f>
        <v>0.71000000000000008</v>
      </c>
    </row>
    <row r="10" spans="1:24" x14ac:dyDescent="0.25">
      <c r="A10" s="4">
        <v>8</v>
      </c>
      <c r="B10" s="12">
        <f t="shared" ref="B10:B11" si="0">FORECAST(A10,B5:B9,A5:A9)</f>
        <v>0.56299999999999983</v>
      </c>
      <c r="C10" s="12">
        <f t="shared" ref="C10:C11" si="1">FORECAST(A10,C5:C9,A5:A9)</f>
        <v>0.66300000000000014</v>
      </c>
    </row>
    <row r="11" spans="1:24" x14ac:dyDescent="0.25">
      <c r="A11" s="4">
        <v>9</v>
      </c>
      <c r="B11" s="12">
        <f t="shared" si="0"/>
        <v>0.53539999999999965</v>
      </c>
      <c r="C11" s="12">
        <f t="shared" si="1"/>
        <v>0.63540000000000008</v>
      </c>
    </row>
    <row r="12" spans="1:24" ht="15" customHeight="1" x14ac:dyDescent="0.25">
      <c r="A12" s="4">
        <v>10</v>
      </c>
      <c r="B12" s="5">
        <v>0.5</v>
      </c>
      <c r="C12" s="5">
        <v>0.6</v>
      </c>
      <c r="D12" s="11"/>
      <c r="E12" s="3" t="s">
        <v>30</v>
      </c>
      <c r="F12" s="141" t="s">
        <v>32</v>
      </c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</row>
    <row r="13" spans="1:24" x14ac:dyDescent="0.25">
      <c r="A13" s="4">
        <v>20</v>
      </c>
      <c r="B13" s="5">
        <v>0.4</v>
      </c>
      <c r="C13" s="5">
        <v>0.5</v>
      </c>
      <c r="D13" s="11"/>
      <c r="E13" s="3" t="s">
        <v>31</v>
      </c>
      <c r="F13" s="5">
        <v>1</v>
      </c>
      <c r="G13" s="5">
        <v>3</v>
      </c>
      <c r="H13" s="5">
        <v>6</v>
      </c>
      <c r="I13" s="5">
        <v>9</v>
      </c>
      <c r="J13" s="5">
        <v>12</v>
      </c>
      <c r="K13" s="5">
        <v>15</v>
      </c>
      <c r="L13" s="5">
        <v>18</v>
      </c>
      <c r="M13" s="5">
        <v>24</v>
      </c>
      <c r="N13" s="5">
        <v>40</v>
      </c>
      <c r="O13" s="5">
        <v>60</v>
      </c>
      <c r="P13" s="5">
        <v>100</v>
      </c>
      <c r="Q13" s="5">
        <v>200</v>
      </c>
      <c r="R13" s="5">
        <v>400</v>
      </c>
      <c r="S13" s="5">
        <v>600</v>
      </c>
      <c r="T13" s="5">
        <v>1000</v>
      </c>
      <c r="U13" s="5">
        <v>1001</v>
      </c>
      <c r="V13" s="2"/>
      <c r="W13" s="5">
        <f>'Расчет нагрузок'!B2</f>
        <v>0</v>
      </c>
      <c r="X13" s="10"/>
    </row>
    <row r="14" spans="1:24" x14ac:dyDescent="0.25">
      <c r="A14" s="4">
        <v>25</v>
      </c>
      <c r="B14" s="5">
        <v>0.35</v>
      </c>
      <c r="C14" s="5">
        <v>0.4</v>
      </c>
      <c r="D14" s="144" t="s">
        <v>35</v>
      </c>
      <c r="E14" s="7" t="s">
        <v>34</v>
      </c>
      <c r="F14" s="5">
        <v>4.5</v>
      </c>
      <c r="G14" s="5">
        <v>4.5</v>
      </c>
      <c r="H14" s="5">
        <v>2.8</v>
      </c>
      <c r="I14" s="5">
        <v>2.2999999999999998</v>
      </c>
      <c r="J14" s="5">
        <v>2</v>
      </c>
      <c r="K14" s="5">
        <v>1.8</v>
      </c>
      <c r="L14" s="5">
        <v>1.65</v>
      </c>
      <c r="M14" s="5">
        <v>1.4</v>
      </c>
      <c r="N14" s="5">
        <v>1.2</v>
      </c>
      <c r="O14" s="5">
        <v>1.05</v>
      </c>
      <c r="P14" s="5">
        <v>0.85</v>
      </c>
      <c r="Q14" s="5">
        <v>0.77</v>
      </c>
      <c r="R14" s="5">
        <v>0.71</v>
      </c>
      <c r="S14" s="5">
        <v>0.69</v>
      </c>
      <c r="T14" s="5">
        <v>0.67</v>
      </c>
      <c r="U14" s="5">
        <v>0.67</v>
      </c>
      <c r="V14" s="8">
        <v>0.96</v>
      </c>
      <c r="W14" s="58" t="e">
        <f>FORECAST($W$13,INDEX(F14:T14,MATCH($W$13,$F$13:$T$13)):INDEX(G14:U14,MATCH($W$13,$F$13:$T$13)),INDEX($F$13:$T$13,MATCH($W$13,$F$13:$T$13)):INDEX($G$13:$U$13,MATCH($W$13,$F$13:$T$13)))</f>
        <v>#N/A</v>
      </c>
    </row>
    <row r="15" spans="1:24" ht="25.5" x14ac:dyDescent="0.25">
      <c r="A15" s="4">
        <v>11</v>
      </c>
      <c r="B15" s="12">
        <f t="shared" ref="B15:B23" si="2">FORECAST(A15,$B$12:$B$13,$A$12:$A$13)</f>
        <v>0.49</v>
      </c>
      <c r="C15" s="12">
        <f t="shared" ref="C15:C23" si="3">FORECAST(A15,$C$12:$C$13,$A$12:$A$13)</f>
        <v>0.59</v>
      </c>
      <c r="D15" s="145"/>
      <c r="E15" s="7" t="s">
        <v>45</v>
      </c>
      <c r="F15" s="5">
        <v>6</v>
      </c>
      <c r="G15" s="5">
        <v>6</v>
      </c>
      <c r="H15" s="5">
        <v>3.4</v>
      </c>
      <c r="I15" s="5">
        <v>2.9</v>
      </c>
      <c r="J15" s="5">
        <v>2.5</v>
      </c>
      <c r="K15" s="5">
        <v>2.2000000000000002</v>
      </c>
      <c r="L15" s="5">
        <v>2</v>
      </c>
      <c r="M15" s="5">
        <v>1.8</v>
      </c>
      <c r="N15" s="5">
        <v>1.4</v>
      </c>
      <c r="O15" s="5">
        <v>1.3</v>
      </c>
      <c r="P15" s="5">
        <v>1.08</v>
      </c>
      <c r="Q15" s="5">
        <v>1</v>
      </c>
      <c r="R15" s="5">
        <v>0.92</v>
      </c>
      <c r="S15" s="5">
        <v>0.84</v>
      </c>
      <c r="T15" s="5">
        <v>0.76</v>
      </c>
      <c r="U15" s="5">
        <v>0.76</v>
      </c>
      <c r="V15" s="8">
        <v>0.96</v>
      </c>
      <c r="W15" s="58" t="e">
        <f>FORECAST($W$13,INDEX(F15:T15,MATCH($W$13,$F$13:$T$13)):INDEX(G15:U15,MATCH($W$13,$F$13:$T$13)),INDEX($F$13:$T$13,MATCH($W$13,$F$13:$T$13)):INDEX($G$13:$U$13,MATCH($W$13,$F$13:$T$13)))</f>
        <v>#N/A</v>
      </c>
    </row>
    <row r="16" spans="1:24" x14ac:dyDescent="0.25">
      <c r="A16" s="4">
        <v>12</v>
      </c>
      <c r="B16" s="12">
        <f t="shared" si="2"/>
        <v>0.48</v>
      </c>
      <c r="C16" s="12">
        <f t="shared" si="3"/>
        <v>0.57999999999999996</v>
      </c>
      <c r="D16" s="145"/>
      <c r="E16" s="7" t="s">
        <v>46</v>
      </c>
      <c r="F16" s="5">
        <v>10</v>
      </c>
      <c r="G16" s="5">
        <v>10</v>
      </c>
      <c r="H16" s="5">
        <v>5.0999999999999996</v>
      </c>
      <c r="I16" s="5">
        <v>3.8</v>
      </c>
      <c r="J16" s="5">
        <v>3.2</v>
      </c>
      <c r="K16" s="5">
        <v>2.8</v>
      </c>
      <c r="L16" s="5">
        <v>2.6</v>
      </c>
      <c r="M16" s="5">
        <v>2.2000000000000002</v>
      </c>
      <c r="N16" s="5">
        <v>1.95</v>
      </c>
      <c r="O16" s="5">
        <v>1.7</v>
      </c>
      <c r="P16" s="5">
        <v>1.5</v>
      </c>
      <c r="Q16" s="5">
        <v>1.36</v>
      </c>
      <c r="R16" s="5">
        <v>1.27</v>
      </c>
      <c r="S16" s="5">
        <v>1.23</v>
      </c>
      <c r="T16" s="5">
        <v>1.19</v>
      </c>
      <c r="U16" s="5">
        <v>1.19</v>
      </c>
      <c r="V16" s="8">
        <v>0.98</v>
      </c>
      <c r="W16" s="58" t="e">
        <f>FORECAST($W$13,INDEX(F16:T16,MATCH($W$13,$F$13:$T$13)):INDEX(G16:U16,MATCH($W$13,$F$13:$T$13)),INDEX($F$13:$T$13,MATCH($W$13,$F$13:$T$13)):INDEX($G$13:$U$13,MATCH($W$13,$F$13:$T$13)))</f>
        <v>#N/A</v>
      </c>
    </row>
    <row r="17" spans="1:23" x14ac:dyDescent="0.25">
      <c r="A17" s="4">
        <v>13</v>
      </c>
      <c r="B17" s="12">
        <f t="shared" si="2"/>
        <v>0.47</v>
      </c>
      <c r="C17" s="12">
        <f t="shared" si="3"/>
        <v>0.56999999999999995</v>
      </c>
      <c r="D17" s="146"/>
      <c r="E17" s="7" t="s">
        <v>33</v>
      </c>
      <c r="F17" s="5">
        <v>4</v>
      </c>
      <c r="G17" s="5">
        <v>4</v>
      </c>
      <c r="H17" s="5">
        <v>2.2999999999999998</v>
      </c>
      <c r="I17" s="5">
        <v>1.7</v>
      </c>
      <c r="J17" s="5">
        <v>1.4</v>
      </c>
      <c r="K17" s="5">
        <v>1.2</v>
      </c>
      <c r="L17" s="5">
        <v>1.1000000000000001</v>
      </c>
      <c r="M17" s="5">
        <v>0.9</v>
      </c>
      <c r="N17" s="5">
        <v>0.76</v>
      </c>
      <c r="O17" s="5">
        <v>0.69</v>
      </c>
      <c r="P17" s="5">
        <v>0.61</v>
      </c>
      <c r="Q17" s="5">
        <v>0.57999999999999996</v>
      </c>
      <c r="R17" s="5">
        <v>0.54</v>
      </c>
      <c r="S17" s="5">
        <v>0.51</v>
      </c>
      <c r="T17" s="5">
        <v>0.46</v>
      </c>
      <c r="U17" s="5">
        <v>0.46</v>
      </c>
      <c r="V17" s="8">
        <v>0.96</v>
      </c>
      <c r="W17" s="58" t="e">
        <f>FORECAST($W$13,INDEX(F17:T17,MATCH($W$13,$F$13:$T$13)):INDEX(G17:U17,MATCH($W$13,$F$13:$T$13)),INDEX($F$13:$T$13,MATCH($W$13,$F$13:$T$13)):INDEX($G$13:$U$13,MATCH($W$13,$F$13:$T$13)))</f>
        <v>#N/A</v>
      </c>
    </row>
    <row r="18" spans="1:23" x14ac:dyDescent="0.25">
      <c r="A18" s="4">
        <v>14</v>
      </c>
      <c r="B18" s="12">
        <f t="shared" si="2"/>
        <v>0.45999999999999996</v>
      </c>
      <c r="C18" s="12">
        <f t="shared" si="3"/>
        <v>0.55999999999999994</v>
      </c>
      <c r="D18" s="144" t="s">
        <v>36</v>
      </c>
      <c r="E18" s="7" t="s">
        <v>47</v>
      </c>
      <c r="F18" s="3">
        <v>10</v>
      </c>
      <c r="G18" s="3">
        <v>10</v>
      </c>
      <c r="H18" s="3">
        <v>5.9</v>
      </c>
      <c r="I18" s="3">
        <v>4.9000000000000004</v>
      </c>
      <c r="J18" s="3">
        <v>4.3</v>
      </c>
      <c r="K18" s="3">
        <v>3.9</v>
      </c>
      <c r="L18" s="3">
        <v>3.7</v>
      </c>
      <c r="M18" s="3">
        <v>3.1</v>
      </c>
      <c r="N18" s="3">
        <v>2.6</v>
      </c>
      <c r="O18" s="3">
        <v>2.1</v>
      </c>
      <c r="P18" s="3">
        <v>1.5</v>
      </c>
      <c r="Q18" s="3">
        <v>1.36</v>
      </c>
      <c r="R18" s="3">
        <v>1.27</v>
      </c>
      <c r="S18" s="3">
        <v>1.23</v>
      </c>
      <c r="T18" s="3">
        <v>1.19</v>
      </c>
      <c r="U18" s="3">
        <v>1.19</v>
      </c>
      <c r="V18" s="8">
        <v>0.98</v>
      </c>
      <c r="W18" s="58" t="e">
        <f>FORECAST($W$13,INDEX(F18:T18,MATCH($W$13,$F$13:$T$13)):INDEX(G18:U18,MATCH($W$13,$F$13:$T$13)),INDEX($F$13:$T$13,MATCH($W$13,$F$13:$T$13)):INDEX($G$13:$U$13,MATCH($W$13,$F$13:$T$13)))</f>
        <v>#N/A</v>
      </c>
    </row>
    <row r="19" spans="1:23" ht="25.5" x14ac:dyDescent="0.25">
      <c r="A19" s="4">
        <v>15</v>
      </c>
      <c r="B19" s="12">
        <f t="shared" si="2"/>
        <v>0.45</v>
      </c>
      <c r="C19" s="12">
        <f t="shared" si="3"/>
        <v>0.55000000000000004</v>
      </c>
      <c r="D19" s="146"/>
      <c r="E19" s="6" t="s">
        <v>37</v>
      </c>
      <c r="F19" s="3">
        <v>14</v>
      </c>
      <c r="G19" s="3">
        <v>14</v>
      </c>
      <c r="H19" s="3">
        <v>8.1</v>
      </c>
      <c r="I19" s="3">
        <v>6.7</v>
      </c>
      <c r="J19" s="3">
        <v>5.9</v>
      </c>
      <c r="K19" s="3">
        <v>5.3</v>
      </c>
      <c r="L19" s="3">
        <v>4.9000000000000004</v>
      </c>
      <c r="M19" s="3">
        <v>4.2</v>
      </c>
      <c r="N19" s="3">
        <v>3.3</v>
      </c>
      <c r="O19" s="3">
        <v>2.8</v>
      </c>
      <c r="P19" s="3">
        <v>1.95</v>
      </c>
      <c r="Q19" s="3">
        <v>1.83</v>
      </c>
      <c r="R19" s="3">
        <v>1.72</v>
      </c>
      <c r="S19" s="3">
        <v>1.67</v>
      </c>
      <c r="T19" s="3">
        <v>1.62</v>
      </c>
      <c r="U19" s="3">
        <v>1.62</v>
      </c>
      <c r="V19" s="8">
        <v>0.98</v>
      </c>
      <c r="W19" s="58" t="e">
        <f>FORECAST($W$13,INDEX(F19:T19,MATCH($W$13,$F$13:$T$13)):INDEX(G19:U19,MATCH($W$13,$F$13:$T$13)),INDEX($F$13:$T$13,MATCH($W$13,$F$13:$T$13)):INDEX($G$13:$U$13,MATCH($W$13,$F$13:$T$13)))</f>
        <v>#N/A</v>
      </c>
    </row>
    <row r="20" spans="1:23" x14ac:dyDescent="0.25">
      <c r="A20" s="4">
        <v>16</v>
      </c>
      <c r="B20" s="12">
        <f t="shared" si="2"/>
        <v>0.44</v>
      </c>
      <c r="C20" s="12">
        <f t="shared" si="3"/>
        <v>0.54</v>
      </c>
    </row>
    <row r="21" spans="1:23" x14ac:dyDescent="0.25">
      <c r="A21" s="4">
        <v>17</v>
      </c>
      <c r="B21" s="12">
        <f t="shared" si="2"/>
        <v>0.43</v>
      </c>
      <c r="C21" s="12">
        <f t="shared" si="3"/>
        <v>0.53</v>
      </c>
      <c r="E21" s="35"/>
      <c r="F21" s="64"/>
    </row>
    <row r="22" spans="1:23" x14ac:dyDescent="0.25">
      <c r="A22" s="4">
        <v>18</v>
      </c>
      <c r="B22" s="12">
        <f t="shared" si="2"/>
        <v>0.42000000000000004</v>
      </c>
      <c r="C22" s="12">
        <f t="shared" si="3"/>
        <v>0.52</v>
      </c>
      <c r="E22" s="35" t="s">
        <v>62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23" x14ac:dyDescent="0.25">
      <c r="A23" s="4">
        <v>19</v>
      </c>
      <c r="B23" s="12">
        <f t="shared" si="2"/>
        <v>0.41000000000000003</v>
      </c>
      <c r="C23" s="12">
        <f t="shared" si="3"/>
        <v>0.51</v>
      </c>
      <c r="E23" s="35" t="s">
        <v>61</v>
      </c>
      <c r="G23" s="140" t="s">
        <v>92</v>
      </c>
      <c r="H23" s="140"/>
      <c r="I23" s="140" t="s">
        <v>93</v>
      </c>
      <c r="J23" s="140"/>
      <c r="K23" s="140" t="s">
        <v>94</v>
      </c>
      <c r="L23" s="140"/>
      <c r="M23" s="140" t="s">
        <v>95</v>
      </c>
      <c r="N23" s="140"/>
      <c r="O23" s="140" t="s">
        <v>96</v>
      </c>
      <c r="P23" s="140"/>
      <c r="Q23" s="140" t="s">
        <v>97</v>
      </c>
      <c r="R23" s="140"/>
    </row>
    <row r="24" spans="1:23" x14ac:dyDescent="0.25">
      <c r="A24" s="4">
        <v>21</v>
      </c>
      <c r="B24" s="12">
        <f>FORECAST(A24,$B$13:$B$14,$A$13:$A$14)</f>
        <v>0.39</v>
      </c>
      <c r="C24" s="12">
        <f>FORECAST(A24,$C$13:$C$14,$A$13:$A$14)</f>
        <v>0.48</v>
      </c>
      <c r="F24" s="1"/>
      <c r="G24" s="21" t="b">
        <v>0</v>
      </c>
      <c r="H24" s="21">
        <v>50</v>
      </c>
      <c r="I24" s="21" t="b">
        <v>0</v>
      </c>
      <c r="J24" s="21">
        <v>53</v>
      </c>
      <c r="K24" s="21" t="b">
        <v>0</v>
      </c>
      <c r="L24" s="21">
        <v>51</v>
      </c>
      <c r="M24" s="21" t="b">
        <v>0</v>
      </c>
      <c r="N24" s="21">
        <v>52</v>
      </c>
      <c r="O24" s="21" t="b">
        <v>0</v>
      </c>
      <c r="P24" s="21">
        <v>57</v>
      </c>
      <c r="Q24" s="21" t="b">
        <v>0</v>
      </c>
      <c r="R24" s="21">
        <v>50</v>
      </c>
    </row>
    <row r="25" spans="1:23" x14ac:dyDescent="0.25">
      <c r="A25" s="4">
        <v>22</v>
      </c>
      <c r="B25" s="12">
        <f>FORECAST(A25,$B$13:$B$14,$A$13:$A$14)</f>
        <v>0.38</v>
      </c>
      <c r="C25" s="12">
        <f>FORECAST(A25,$C$13:$C$14,$A$13:$A$14)</f>
        <v>0.45999999999999996</v>
      </c>
      <c r="F25" s="1"/>
      <c r="G25" s="21" t="b">
        <v>0</v>
      </c>
      <c r="H25" s="21">
        <v>53</v>
      </c>
      <c r="I25" s="21" t="b">
        <v>0</v>
      </c>
      <c r="J25" s="21">
        <v>53</v>
      </c>
      <c r="K25" s="21" t="b">
        <v>0</v>
      </c>
      <c r="L25" s="21">
        <v>53</v>
      </c>
      <c r="M25" s="21" t="b">
        <v>0</v>
      </c>
      <c r="N25" s="21">
        <v>52</v>
      </c>
      <c r="O25" s="21" t="b">
        <v>0</v>
      </c>
      <c r="P25" s="21">
        <v>50</v>
      </c>
      <c r="Q25" s="21" t="b">
        <v>0</v>
      </c>
      <c r="R25" s="21">
        <v>50</v>
      </c>
    </row>
    <row r="26" spans="1:23" x14ac:dyDescent="0.25">
      <c r="A26" s="4">
        <v>23</v>
      </c>
      <c r="B26" s="12">
        <f>FORECAST(A26,$B$13:$B$14,$A$13:$A$14)</f>
        <v>0.37</v>
      </c>
      <c r="C26" s="12">
        <f>FORECAST(A26,$C$13:$C$14,$A$13:$A$14)</f>
        <v>0.44</v>
      </c>
      <c r="F26" s="1"/>
      <c r="G26" s="21" t="b">
        <v>0</v>
      </c>
      <c r="H26" s="21">
        <v>34</v>
      </c>
      <c r="I26" s="21" t="b">
        <v>0</v>
      </c>
      <c r="J26" s="21">
        <v>35</v>
      </c>
      <c r="K26" s="21" t="b">
        <v>0</v>
      </c>
      <c r="L26" s="21">
        <v>34</v>
      </c>
      <c r="M26" s="21" t="b">
        <v>0</v>
      </c>
      <c r="N26" s="21">
        <v>35</v>
      </c>
      <c r="O26" s="21" t="b">
        <v>0</v>
      </c>
      <c r="P26" s="21">
        <v>32</v>
      </c>
      <c r="Q26" s="21" t="b">
        <v>0</v>
      </c>
      <c r="R26" s="21">
        <v>35</v>
      </c>
    </row>
    <row r="27" spans="1:23" x14ac:dyDescent="0.25">
      <c r="A27" s="4">
        <v>24</v>
      </c>
      <c r="B27" s="12">
        <f>FORECAST(A27,$B$13:$B$14,$A$13:$A$14)</f>
        <v>0.36</v>
      </c>
      <c r="C27" s="12">
        <f>FORECAST(A27,$C$13:$C$14,$A$13:$A$14)</f>
        <v>0.42</v>
      </c>
      <c r="F27" s="1"/>
      <c r="G27" s="21"/>
      <c r="H27" s="21" t="b">
        <v>0</v>
      </c>
      <c r="I27" s="21"/>
      <c r="J27" s="21" t="b">
        <v>0</v>
      </c>
      <c r="K27" s="21"/>
      <c r="L27" s="21" t="b">
        <v>0</v>
      </c>
      <c r="M27" s="21"/>
      <c r="N27" s="21" t="b">
        <v>0</v>
      </c>
      <c r="O27" s="21"/>
      <c r="P27" s="21" t="b">
        <v>0</v>
      </c>
      <c r="Q27" s="21"/>
      <c r="R27" s="21" t="b">
        <v>0</v>
      </c>
    </row>
    <row r="28" spans="1:23" x14ac:dyDescent="0.25">
      <c r="F28" s="1"/>
      <c r="G28" s="21"/>
      <c r="H28" s="21" t="b">
        <v>0</v>
      </c>
      <c r="I28" s="21"/>
      <c r="J28" s="21" t="b">
        <v>0</v>
      </c>
      <c r="K28" s="21"/>
      <c r="L28" s="21" t="b">
        <v>0</v>
      </c>
      <c r="M28" s="21"/>
      <c r="N28" s="21" t="b">
        <v>0</v>
      </c>
      <c r="O28" s="21"/>
      <c r="P28" s="21" t="b">
        <v>0</v>
      </c>
      <c r="Q28" s="21"/>
      <c r="R28" s="21" t="b">
        <v>0</v>
      </c>
    </row>
    <row r="29" spans="1:23" x14ac:dyDescent="0.25">
      <c r="F29" s="1"/>
      <c r="G29" s="21" t="b">
        <v>0</v>
      </c>
      <c r="H29" s="21">
        <v>13</v>
      </c>
      <c r="I29" s="21" t="b">
        <v>0</v>
      </c>
      <c r="J29" s="21">
        <v>13</v>
      </c>
      <c r="K29" s="21" t="b">
        <v>0</v>
      </c>
      <c r="L29" s="21">
        <v>12</v>
      </c>
      <c r="M29" s="21" t="b">
        <v>0</v>
      </c>
      <c r="N29" s="21">
        <v>12</v>
      </c>
      <c r="O29" s="21" t="b">
        <v>0</v>
      </c>
      <c r="P29" s="21">
        <v>11</v>
      </c>
      <c r="Q29" s="21" t="b">
        <v>0</v>
      </c>
      <c r="R29" s="21">
        <v>8</v>
      </c>
    </row>
    <row r="30" spans="1:23" x14ac:dyDescent="0.25">
      <c r="F30" s="1"/>
      <c r="G30" s="21"/>
      <c r="H30" s="21" t="b">
        <v>0</v>
      </c>
      <c r="I30" s="21"/>
      <c r="J30" s="21" t="b">
        <v>0</v>
      </c>
      <c r="K30" s="21"/>
      <c r="L30" s="21" t="b">
        <v>0</v>
      </c>
      <c r="M30" s="21"/>
      <c r="N30" s="21" t="b">
        <v>0</v>
      </c>
      <c r="O30" s="21"/>
      <c r="P30" s="21" t="b">
        <v>0</v>
      </c>
      <c r="Q30" s="21"/>
      <c r="R30" s="21" t="b">
        <v>0</v>
      </c>
    </row>
    <row r="31" spans="1:23" x14ac:dyDescent="0.25">
      <c r="F31" s="1"/>
      <c r="G31" s="21"/>
      <c r="H31" s="21" t="b">
        <v>0</v>
      </c>
      <c r="I31" s="21"/>
      <c r="J31" s="21" t="b">
        <v>0</v>
      </c>
      <c r="K31" s="21"/>
      <c r="L31" s="21" t="b">
        <v>0</v>
      </c>
      <c r="M31" s="21"/>
      <c r="N31" s="21" t="b">
        <v>0</v>
      </c>
      <c r="O31" s="21"/>
      <c r="P31" s="21" t="b">
        <v>0</v>
      </c>
      <c r="Q31" s="21"/>
      <c r="R31" s="21" t="b">
        <v>0</v>
      </c>
    </row>
    <row r="32" spans="1:23" x14ac:dyDescent="0.25">
      <c r="F32" s="1"/>
      <c r="G32" s="21" t="b">
        <v>0</v>
      </c>
      <c r="H32" s="21">
        <v>16</v>
      </c>
      <c r="I32" s="21" t="b">
        <v>0</v>
      </c>
      <c r="J32" s="21">
        <v>16</v>
      </c>
      <c r="K32" s="21" t="b">
        <v>0</v>
      </c>
      <c r="L32" s="21">
        <v>16</v>
      </c>
      <c r="M32" s="21" t="b">
        <v>0</v>
      </c>
      <c r="N32" s="21">
        <v>16</v>
      </c>
      <c r="O32" s="21" t="b">
        <v>0</v>
      </c>
      <c r="P32" s="21">
        <v>16</v>
      </c>
      <c r="Q32" s="21" t="b">
        <v>0</v>
      </c>
      <c r="R32" s="21">
        <v>15</v>
      </c>
    </row>
    <row r="33" spans="5:22" x14ac:dyDescent="0.25">
      <c r="F33" s="1"/>
      <c r="G33" s="21" t="b">
        <v>0</v>
      </c>
      <c r="H33" s="21">
        <v>106</v>
      </c>
      <c r="I33" s="21" t="b">
        <v>0</v>
      </c>
      <c r="J33" s="21">
        <v>82</v>
      </c>
      <c r="K33" s="21" t="b">
        <v>0</v>
      </c>
      <c r="L33" s="21">
        <v>50</v>
      </c>
      <c r="M33" s="21" t="b">
        <v>0</v>
      </c>
      <c r="N33" s="21">
        <v>86</v>
      </c>
      <c r="O33" s="21" t="b">
        <v>0</v>
      </c>
      <c r="P33" s="21">
        <v>74</v>
      </c>
      <c r="Q33" s="21" t="b">
        <v>0</v>
      </c>
      <c r="R33" s="21">
        <v>74</v>
      </c>
    </row>
    <row r="34" spans="5:22" x14ac:dyDescent="0.25">
      <c r="F34" s="1"/>
      <c r="G34" s="21"/>
      <c r="H34" s="21" t="b">
        <v>0</v>
      </c>
      <c r="I34" s="21"/>
      <c r="J34" s="21" t="b">
        <v>0</v>
      </c>
      <c r="K34" s="21"/>
      <c r="L34" s="21" t="b">
        <v>0</v>
      </c>
      <c r="M34" s="21"/>
      <c r="N34" s="21" t="b">
        <v>0</v>
      </c>
      <c r="O34" s="21"/>
      <c r="P34" s="21" t="b">
        <v>0</v>
      </c>
      <c r="Q34" s="21"/>
      <c r="R34" s="21" t="b">
        <v>0</v>
      </c>
    </row>
    <row r="35" spans="5:22" x14ac:dyDescent="0.25">
      <c r="F35" s="1"/>
      <c r="G35" s="21" t="b">
        <v>0</v>
      </c>
      <c r="H35" s="21">
        <v>45</v>
      </c>
      <c r="I35" s="21" t="b">
        <v>0</v>
      </c>
      <c r="J35" s="21">
        <v>45</v>
      </c>
      <c r="K35" s="21" t="b">
        <v>0</v>
      </c>
      <c r="L35" s="21">
        <v>47</v>
      </c>
      <c r="M35" s="21" t="b">
        <v>0</v>
      </c>
      <c r="N35" s="21">
        <v>43</v>
      </c>
      <c r="O35" s="21" t="b">
        <v>0</v>
      </c>
      <c r="P35" s="21">
        <v>41</v>
      </c>
      <c r="Q35" s="21" t="b">
        <v>0</v>
      </c>
      <c r="R35" s="21">
        <v>40</v>
      </c>
    </row>
    <row r="36" spans="5:22" x14ac:dyDescent="0.25">
      <c r="F36" s="1"/>
      <c r="G36" s="21" t="b">
        <v>0</v>
      </c>
      <c r="H36" s="21">
        <v>72</v>
      </c>
      <c r="I36" s="21" t="b">
        <v>0</v>
      </c>
      <c r="J36" s="21">
        <v>74</v>
      </c>
      <c r="K36" s="21" t="b">
        <v>0</v>
      </c>
      <c r="L36" s="21">
        <v>65</v>
      </c>
      <c r="M36" s="21" t="b">
        <v>0</v>
      </c>
      <c r="N36" s="21">
        <v>65</v>
      </c>
      <c r="O36" s="21" t="b">
        <v>0</v>
      </c>
      <c r="P36" s="21">
        <v>62</v>
      </c>
      <c r="Q36" s="21" t="b">
        <v>0</v>
      </c>
      <c r="R36" s="21">
        <v>60</v>
      </c>
    </row>
    <row r="38" spans="5:22" x14ac:dyDescent="0.25">
      <c r="E38" s="9" t="s">
        <v>98</v>
      </c>
      <c r="F38" s="9" t="s">
        <v>99</v>
      </c>
      <c r="G38" s="9">
        <v>14</v>
      </c>
      <c r="H38" s="9">
        <v>20</v>
      </c>
      <c r="I38" s="9">
        <v>30</v>
      </c>
      <c r="J38" s="9">
        <v>40</v>
      </c>
      <c r="K38" s="9">
        <v>50</v>
      </c>
      <c r="L38" s="9">
        <v>60</v>
      </c>
      <c r="M38" s="9">
        <v>70</v>
      </c>
      <c r="N38" s="9" t="s">
        <v>100</v>
      </c>
      <c r="O38" s="9">
        <f>'Квартиры I категории'!G22</f>
        <v>0</v>
      </c>
      <c r="P38" s="9">
        <f>'Квартиры I категории'!O22</f>
        <v>0</v>
      </c>
      <c r="Q38" s="9">
        <f>'Квартиры I категории'!W22</f>
        <v>0</v>
      </c>
      <c r="R38" s="9">
        <f>'Квартиры I категории'!G46</f>
        <v>0</v>
      </c>
      <c r="S38" s="9">
        <f>'Квартиры I категории'!O46</f>
        <v>0</v>
      </c>
      <c r="T38" s="9">
        <f>'Квартиры I категории'!W46</f>
        <v>0</v>
      </c>
      <c r="U38" s="41"/>
      <c r="V38" s="44"/>
    </row>
    <row r="39" spans="5:22" x14ac:dyDescent="0.25">
      <c r="E39" s="9" t="s">
        <v>101</v>
      </c>
      <c r="F39" s="9">
        <v>0.8</v>
      </c>
      <c r="G39" s="9">
        <v>0.8</v>
      </c>
      <c r="H39" s="9">
        <v>0.65</v>
      </c>
      <c r="I39" s="9">
        <v>0.6</v>
      </c>
      <c r="J39" s="9">
        <v>0.55000000000000004</v>
      </c>
      <c r="K39" s="9">
        <v>0.5</v>
      </c>
      <c r="L39" s="9">
        <v>0.48</v>
      </c>
      <c r="M39" s="9">
        <v>0.45</v>
      </c>
      <c r="N39" s="9">
        <v>0.45</v>
      </c>
      <c r="O39" s="9">
        <f>IF(O38&lt;14,0.8,IF(O38&gt;=70,0.45,FORECAST(O38,INDEX($G$39:$L$39,MATCH(O38,$G$38:$L$38)):INDEX($H$39:$M$39,MATCH(O38,$G$38:$L$38)),INDEX($G$38:$L$38,MATCH(O38,$G$38:$L$38)):INDEX($H$38:$M$38,MATCH(O38,$G$38:$L$38)))))</f>
        <v>0.8</v>
      </c>
      <c r="P39" s="9">
        <f>IF(P38&lt;14,0.8,IF(P38&gt;=70,0.45,FORECAST(P38,INDEX($G$39:$L$39,MATCH(P38,$G$38:$L$38)):INDEX($H$39:$M$39,MATCH(P38,$G$38:$L$38)),INDEX($G$38:$L$38,MATCH(P38,$G$38:$L$38)):INDEX($H$38:$M$38,MATCH(P38,$G$38:$L$38)))))</f>
        <v>0.8</v>
      </c>
      <c r="Q39" s="9">
        <f>IF(Q38&lt;14,0.8,IF(Q38&gt;=70,0.45,FORECAST(Q38,INDEX($G$39:$L$39,MATCH(Q38,$G$38:$L$38)):INDEX($H$39:$M$39,MATCH(Q38,$G$38:$L$38)),INDEX($G$38:$L$38,MATCH(Q38,$G$38:$L$38)):INDEX($H$38:$M$38,MATCH(Q38,$G$38:$L$38)))))</f>
        <v>0.8</v>
      </c>
      <c r="R39" s="9">
        <f>IF(R38&lt;14,0.8,IF(R38&gt;=70,0.45,FORECAST(R38,INDEX($G$39:$L$39,MATCH(R38,$G$38:$L$38)):INDEX($H$39:$M$39,MATCH(R38,$G$38:$L$38)),INDEX($G$38:$L$38,MATCH(R38,$G$38:$L$38)):INDEX($H$38:$M$38,MATCH(R38,$G$38:$L$38)))))</f>
        <v>0.8</v>
      </c>
      <c r="S39" s="9">
        <f>IF(S38&lt;14,0.8,IF(S38&gt;=70,0.45,FORECAST(S38,INDEX($G$39:$L$39,MATCH(S38,$G$38:$L$38)):INDEX($H$39:$M$39,MATCH(S38,$G$38:$L$38)),INDEX($G$38:$L$38,MATCH(S38,$G$38:$L$38)):INDEX($H$38:$M$38,MATCH(S38,$G$38:$L$38)))))</f>
        <v>0.8</v>
      </c>
      <c r="T39" s="9">
        <f>IF(T38&lt;14,0.8,IF(T38&gt;=70,0.45,FORECAST(T38,INDEX($G$39:$L$39,MATCH(T38,$G$38:$L$38)):INDEX($H$39:$M$39,MATCH(T38,$G$38:$L$38)),INDEX($G$38:$L$38,MATCH(T38,$G$38:$L$38)):INDEX($H$38:$M$38,MATCH(T38,$G$38:$L$38)))))</f>
        <v>0.8</v>
      </c>
      <c r="U39" s="41"/>
      <c r="V39" s="44"/>
    </row>
    <row r="40" spans="5:22" x14ac:dyDescent="0.25">
      <c r="N40" s="20" t="s">
        <v>107</v>
      </c>
      <c r="O40" s="43">
        <f>O38*O39</f>
        <v>0</v>
      </c>
      <c r="P40" s="43">
        <f t="shared" ref="P40:T40" si="4">P38*P39</f>
        <v>0</v>
      </c>
      <c r="Q40" s="43">
        <f t="shared" si="4"/>
        <v>0</v>
      </c>
      <c r="R40" s="43">
        <f t="shared" si="4"/>
        <v>0</v>
      </c>
      <c r="S40" s="43">
        <f t="shared" si="4"/>
        <v>0</v>
      </c>
      <c r="T40" s="43">
        <f t="shared" si="4"/>
        <v>0</v>
      </c>
    </row>
    <row r="41" spans="5:22" x14ac:dyDescent="0.25">
      <c r="E41" s="9" t="s">
        <v>102</v>
      </c>
      <c r="F41" s="142" t="s">
        <v>103</v>
      </c>
      <c r="G41" s="142"/>
      <c r="H41" s="142"/>
      <c r="I41" s="142"/>
      <c r="J41" s="142"/>
      <c r="K41" s="142"/>
      <c r="L41" s="142"/>
      <c r="M41" s="142"/>
      <c r="N41" s="142"/>
      <c r="O41" s="143"/>
      <c r="P41" s="143"/>
      <c r="Q41" s="143"/>
      <c r="R41" s="143"/>
      <c r="S41" s="143"/>
    </row>
    <row r="42" spans="5:22" x14ac:dyDescent="0.25">
      <c r="E42" s="9" t="s">
        <v>104</v>
      </c>
      <c r="F42" s="9">
        <v>1</v>
      </c>
      <c r="G42" s="9">
        <v>3</v>
      </c>
      <c r="H42" s="9">
        <v>6</v>
      </c>
      <c r="I42" s="9">
        <v>9</v>
      </c>
      <c r="J42" s="9">
        <v>12</v>
      </c>
      <c r="K42" s="9">
        <v>15</v>
      </c>
      <c r="L42" s="9">
        <v>18</v>
      </c>
      <c r="M42" s="9">
        <v>24</v>
      </c>
      <c r="N42" s="9">
        <v>40</v>
      </c>
      <c r="O42" s="9">
        <v>60</v>
      </c>
      <c r="P42" s="9">
        <v>100</v>
      </c>
      <c r="Q42" s="9">
        <v>200</v>
      </c>
      <c r="R42" s="9">
        <v>400</v>
      </c>
      <c r="S42" s="9">
        <v>600</v>
      </c>
      <c r="T42" s="9">
        <v>601</v>
      </c>
      <c r="V42" s="50"/>
    </row>
    <row r="43" spans="5:22" x14ac:dyDescent="0.25">
      <c r="E43" s="6" t="s">
        <v>105</v>
      </c>
      <c r="F43" s="9">
        <v>1</v>
      </c>
      <c r="G43" s="9">
        <v>0.65</v>
      </c>
      <c r="H43" s="9">
        <v>0.51</v>
      </c>
      <c r="I43" s="9">
        <v>0.38</v>
      </c>
      <c r="J43" s="9">
        <v>0.32</v>
      </c>
      <c r="K43" s="9">
        <v>0.28000000000000003</v>
      </c>
      <c r="L43" s="9">
        <v>0.26</v>
      </c>
      <c r="M43" s="9">
        <v>0.22</v>
      </c>
      <c r="N43" s="9">
        <v>0.18</v>
      </c>
      <c r="O43" s="9">
        <v>0.16</v>
      </c>
      <c r="P43" s="9">
        <v>0.13</v>
      </c>
      <c r="Q43" s="9">
        <v>0.11</v>
      </c>
      <c r="R43" s="9">
        <v>0.1</v>
      </c>
      <c r="S43" s="9">
        <v>0.1</v>
      </c>
      <c r="T43" s="9">
        <v>0.1</v>
      </c>
      <c r="V43" s="1"/>
    </row>
    <row r="44" spans="5:22" x14ac:dyDescent="0.25">
      <c r="E44" s="6" t="s">
        <v>106</v>
      </c>
      <c r="F44" s="9">
        <v>1</v>
      </c>
      <c r="G44" s="9">
        <v>0.8</v>
      </c>
      <c r="H44" s="9">
        <v>0.51</v>
      </c>
      <c r="I44" s="9">
        <v>0.38</v>
      </c>
      <c r="J44" s="9">
        <v>0.32</v>
      </c>
      <c r="K44" s="9">
        <v>0.28999999999999998</v>
      </c>
      <c r="L44" s="9">
        <v>0.26</v>
      </c>
      <c r="M44" s="9">
        <v>0.24</v>
      </c>
      <c r="N44" s="9">
        <v>0.2</v>
      </c>
      <c r="O44" s="9">
        <v>0.18</v>
      </c>
      <c r="P44" s="9">
        <v>0.16</v>
      </c>
      <c r="Q44" s="9">
        <v>0.14000000000000001</v>
      </c>
      <c r="R44" s="9">
        <v>0.13</v>
      </c>
      <c r="S44" s="9">
        <v>0.11</v>
      </c>
      <c r="T44" s="9">
        <v>0.11</v>
      </c>
      <c r="V44" s="1"/>
    </row>
    <row r="47" spans="5:22" x14ac:dyDescent="0.25">
      <c r="E47" s="42" t="s">
        <v>148</v>
      </c>
      <c r="F47" s="63">
        <v>1.3</v>
      </c>
    </row>
    <row r="48" spans="5:22" x14ac:dyDescent="0.25">
      <c r="E48" s="42" t="s">
        <v>149</v>
      </c>
      <c r="F48" s="63">
        <v>1.4</v>
      </c>
    </row>
    <row r="49" spans="5:6" x14ac:dyDescent="0.25">
      <c r="E49" s="42" t="s">
        <v>150</v>
      </c>
      <c r="F49" s="63">
        <v>1.1000000000000001</v>
      </c>
    </row>
    <row r="50" spans="5:6" x14ac:dyDescent="0.25">
      <c r="E50" s="42" t="s">
        <v>153</v>
      </c>
      <c r="F50" s="63">
        <v>1.2</v>
      </c>
    </row>
    <row r="51" spans="5:6" x14ac:dyDescent="0.25">
      <c r="E51" s="65" t="s">
        <v>151</v>
      </c>
      <c r="F51" s="66">
        <v>1</v>
      </c>
    </row>
  </sheetData>
  <mergeCells count="14">
    <mergeCell ref="G1:R1"/>
    <mergeCell ref="D14:D17"/>
    <mergeCell ref="D18:D19"/>
    <mergeCell ref="A1:A2"/>
    <mergeCell ref="B1:C1"/>
    <mergeCell ref="E1:E2"/>
    <mergeCell ref="Q23:R23"/>
    <mergeCell ref="F12:W12"/>
    <mergeCell ref="F41:S41"/>
    <mergeCell ref="G23:H23"/>
    <mergeCell ref="I23:J23"/>
    <mergeCell ref="K23:L23"/>
    <mergeCell ref="M23:N23"/>
    <mergeCell ref="O23:P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Расчет нагрузок</vt:lpstr>
      <vt:lpstr>Квартиры I категории</vt:lpstr>
      <vt:lpstr>DopEl</vt:lpstr>
      <vt:lpstr>KolKV</vt:lpstr>
      <vt:lpstr>LetMAX</vt:lpstr>
      <vt:lpstr>LetMAXEq</vt:lpstr>
      <vt:lpstr>tipKV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Дмитрий Коробкин</cp:lastModifiedBy>
  <dcterms:created xsi:type="dcterms:W3CDTF">2014-02-20T06:45:20Z</dcterms:created>
  <dcterms:modified xsi:type="dcterms:W3CDTF">2021-03-22T17:06:08Z</dcterms:modified>
</cp:coreProperties>
</file>