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CD4D3E1-8555-466C-BAE4-A5696E3DBB83}" xr6:coauthVersionLast="45" xr6:coauthVersionMax="45" xr10:uidLastSave="{00000000-0000-0000-0000-000000000000}"/>
  <bookViews>
    <workbookView xWindow="-98" yWindow="-98" windowWidth="20715" windowHeight="13276" activeTab="5" xr2:uid="{00000000-000D-0000-FFFF-FFFF00000000}"/>
  </bookViews>
  <sheets>
    <sheet name="Income Statement" sheetId="6" r:id="rId1"/>
    <sheet name="Balance Sheet" sheetId="1" r:id="rId2"/>
    <sheet name="Precentage of Sales" sheetId="7" r:id="rId3"/>
    <sheet name="Forcast on Sales" sheetId="9" r:id="rId4"/>
    <sheet name="Impact Analysis" sheetId="8" r:id="rId5"/>
    <sheet name="Budget" sheetId="10" r:id="rId6"/>
    <sheet name="Sheet1" sheetId="11" r:id="rId7"/>
  </sheets>
  <definedNames>
    <definedName name="COGS">Budget!$I$9</definedName>
    <definedName name="Inventory">Budget!$I$5</definedName>
    <definedName name="Purchase">Budget!$I$6</definedName>
    <definedName name="Sales_Distribution">Budget!$K$1:$N$1</definedName>
    <definedName name="Sales_Projected">Budget!$J$1</definedName>
    <definedName name="Sales_Quarter">Budget!$K$3:$N$3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0" l="1" a="1"/>
  <c r="K9" i="10" a="1"/>
  <c r="K9" i="10" s="1"/>
  <c r="K7" i="10" a="1"/>
  <c r="K7" i="10" s="1"/>
  <c r="K5" i="10"/>
  <c r="K6" i="10" a="1"/>
  <c r="M6" i="10" s="1"/>
  <c r="I6" i="10"/>
  <c r="K3" i="10" a="1"/>
  <c r="M3" i="10" s="1"/>
  <c r="J2" i="7"/>
  <c r="I15" i="7" s="1"/>
  <c r="I7" i="7"/>
  <c r="G5" i="7"/>
  <c r="G6" i="7"/>
  <c r="G7" i="7"/>
  <c r="G8" i="7"/>
  <c r="G9" i="7"/>
  <c r="G10" i="7"/>
  <c r="G13" i="7"/>
  <c r="G14" i="7"/>
  <c r="G15" i="7"/>
  <c r="G16" i="7"/>
  <c r="G17" i="7"/>
  <c r="G18" i="7"/>
  <c r="G19" i="7"/>
  <c r="G20" i="7"/>
  <c r="G21" i="7"/>
  <c r="G22" i="7"/>
  <c r="G23" i="7"/>
  <c r="G24" i="7"/>
  <c r="G3" i="7"/>
  <c r="F5" i="7"/>
  <c r="F6" i="7"/>
  <c r="F7" i="7"/>
  <c r="F8" i="7"/>
  <c r="F9" i="7"/>
  <c r="F10" i="7"/>
  <c r="F13" i="7"/>
  <c r="F14" i="7"/>
  <c r="F15" i="7"/>
  <c r="F16" i="7"/>
  <c r="F17" i="7"/>
  <c r="F18" i="7"/>
  <c r="F19" i="7"/>
  <c r="F20" i="7"/>
  <c r="F21" i="7"/>
  <c r="F22" i="7"/>
  <c r="F23" i="7"/>
  <c r="F24" i="7"/>
  <c r="F3" i="7"/>
  <c r="K8" i="10" l="1"/>
  <c r="L5" i="10" s="1"/>
  <c r="L7" i="10" s="1"/>
  <c r="L8" i="10" s="1"/>
  <c r="M5" i="10" s="1"/>
  <c r="N9" i="10"/>
  <c r="M9" i="10"/>
  <c r="L9" i="10"/>
  <c r="M7" i="10"/>
  <c r="M8" i="10" s="1"/>
  <c r="N5" i="10" s="1"/>
  <c r="N7" i="10" s="1"/>
  <c r="N8" i="10" s="1"/>
  <c r="L6" i="10"/>
  <c r="K6" i="10"/>
  <c r="N6" i="10"/>
  <c r="L3" i="10"/>
  <c r="K3" i="10"/>
  <c r="N3" i="10"/>
  <c r="I3" i="7"/>
  <c r="I20" i="7"/>
  <c r="I13" i="7"/>
  <c r="I8" i="7"/>
  <c r="I9" i="7" s="1"/>
  <c r="I19" i="7"/>
  <c r="I18" i="7"/>
  <c r="I17" i="7"/>
  <c r="I16" i="7"/>
  <c r="I10" i="7" l="1"/>
  <c r="I21" i="7"/>
  <c r="I22" i="7" s="1"/>
  <c r="I23" i="7" s="1"/>
  <c r="I3" i="9"/>
  <c r="I23" i="11"/>
  <c r="D21" i="11"/>
  <c r="G21" i="11" s="1"/>
  <c r="C21" i="11"/>
  <c r="B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8" i="11"/>
  <c r="F8" i="11"/>
  <c r="I7" i="11"/>
  <c r="D7" i="11"/>
  <c r="D9" i="11" s="1"/>
  <c r="C7" i="11"/>
  <c r="C9" i="11" s="1"/>
  <c r="C10" i="11" s="1"/>
  <c r="C22" i="11" s="1"/>
  <c r="B7" i="11"/>
  <c r="B9" i="11" s="1"/>
  <c r="B10" i="11" s="1"/>
  <c r="G6" i="11"/>
  <c r="F6" i="11"/>
  <c r="G5" i="11"/>
  <c r="F5" i="11"/>
  <c r="G3" i="11"/>
  <c r="F3" i="11"/>
  <c r="J1" i="11"/>
  <c r="I17" i="11" s="1"/>
  <c r="K1" i="9"/>
  <c r="B7" i="10"/>
  <c r="B9" i="10" s="1"/>
  <c r="B10" i="10" s="1"/>
  <c r="B22" i="10" s="1"/>
  <c r="C7" i="10"/>
  <c r="C9" i="10" s="1"/>
  <c r="C10" i="10" s="1"/>
  <c r="D7" i="10"/>
  <c r="D9" i="10" s="1"/>
  <c r="D10" i="10" s="1"/>
  <c r="D22" i="10" s="1"/>
  <c r="B21" i="10"/>
  <c r="C21" i="10"/>
  <c r="F21" i="10" s="1"/>
  <c r="D21" i="10"/>
  <c r="F3" i="10"/>
  <c r="G3" i="10"/>
  <c r="I3" i="10" s="1"/>
  <c r="F5" i="10"/>
  <c r="G5" i="10"/>
  <c r="I5" i="10" s="1"/>
  <c r="F6" i="10"/>
  <c r="G6" i="10"/>
  <c r="F8" i="10"/>
  <c r="G8" i="10"/>
  <c r="F13" i="10"/>
  <c r="G13" i="10"/>
  <c r="I13" i="10" s="1"/>
  <c r="N13" i="10" s="1"/>
  <c r="F14" i="10"/>
  <c r="G14" i="10"/>
  <c r="I14" i="10" s="1"/>
  <c r="M14" i="10" s="1"/>
  <c r="F15" i="10"/>
  <c r="G15" i="10"/>
  <c r="I15" i="10" s="1"/>
  <c r="M15" i="10" s="1"/>
  <c r="F16" i="10"/>
  <c r="G16" i="10"/>
  <c r="F17" i="10"/>
  <c r="G17" i="10"/>
  <c r="I17" i="10" s="1"/>
  <c r="M17" i="10" s="1"/>
  <c r="F18" i="10"/>
  <c r="G18" i="10"/>
  <c r="I18" i="10" s="1"/>
  <c r="M18" i="10" s="1"/>
  <c r="F19" i="10"/>
  <c r="G19" i="10"/>
  <c r="I19" i="10" s="1"/>
  <c r="M19" i="10" s="1"/>
  <c r="F20" i="10"/>
  <c r="G20" i="10"/>
  <c r="G21" i="10"/>
  <c r="I21" i="10" s="1"/>
  <c r="I20" i="10"/>
  <c r="M20" i="10" s="1"/>
  <c r="I16" i="10"/>
  <c r="M16" i="10" s="1"/>
  <c r="I8" i="10"/>
  <c r="I23" i="8"/>
  <c r="I7" i="8"/>
  <c r="D21" i="9"/>
  <c r="G21" i="9" s="1"/>
  <c r="I21" i="9" s="1"/>
  <c r="C21" i="9"/>
  <c r="B21" i="9"/>
  <c r="G20" i="9"/>
  <c r="I20" i="9" s="1"/>
  <c r="F20" i="9"/>
  <c r="G19" i="9"/>
  <c r="I19" i="9" s="1"/>
  <c r="F19" i="9"/>
  <c r="G18" i="9"/>
  <c r="I18" i="9" s="1"/>
  <c r="F18" i="9"/>
  <c r="G17" i="9"/>
  <c r="I17" i="9" s="1"/>
  <c r="F17" i="9"/>
  <c r="G16" i="9"/>
  <c r="I16" i="9" s="1"/>
  <c r="F16" i="9"/>
  <c r="G15" i="9"/>
  <c r="I15" i="9" s="1"/>
  <c r="F15" i="9"/>
  <c r="G14" i="9"/>
  <c r="I14" i="9" s="1"/>
  <c r="F14" i="9"/>
  <c r="G13" i="9"/>
  <c r="I13" i="9" s="1"/>
  <c r="F13" i="9"/>
  <c r="G8" i="9"/>
  <c r="I8" i="9" s="1"/>
  <c r="F8" i="9"/>
  <c r="D7" i="9"/>
  <c r="G7" i="9" s="1"/>
  <c r="I7" i="9" s="1"/>
  <c r="C7" i="9"/>
  <c r="C9" i="9" s="1"/>
  <c r="C10" i="9" s="1"/>
  <c r="B7" i="9"/>
  <c r="G6" i="9"/>
  <c r="I6" i="9" s="1"/>
  <c r="F6" i="9"/>
  <c r="G5" i="9"/>
  <c r="I5" i="9" s="1"/>
  <c r="F5" i="9"/>
  <c r="G3" i="9"/>
  <c r="F3" i="9"/>
  <c r="D21" i="8"/>
  <c r="G21" i="8" s="1"/>
  <c r="C21" i="8"/>
  <c r="F21" i="8" s="1"/>
  <c r="B21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8" i="8"/>
  <c r="F8" i="8"/>
  <c r="D7" i="8"/>
  <c r="G7" i="8" s="1"/>
  <c r="C7" i="8"/>
  <c r="C9" i="8" s="1"/>
  <c r="C10" i="8" s="1"/>
  <c r="B7" i="8"/>
  <c r="B9" i="8" s="1"/>
  <c r="G6" i="8"/>
  <c r="J1" i="8" s="1"/>
  <c r="F6" i="8"/>
  <c r="G5" i="8"/>
  <c r="F5" i="8"/>
  <c r="G3" i="8"/>
  <c r="F3" i="8"/>
  <c r="C21" i="7"/>
  <c r="D21" i="7"/>
  <c r="B21" i="7"/>
  <c r="C7" i="7"/>
  <c r="C9" i="7" s="1"/>
  <c r="C10" i="7" s="1"/>
  <c r="D7" i="7"/>
  <c r="B7" i="7"/>
  <c r="I24" i="7" l="1"/>
  <c r="G7" i="11"/>
  <c r="C22" i="10"/>
  <c r="C23" i="10" s="1"/>
  <c r="C24" i="10" s="1"/>
  <c r="D9" i="7"/>
  <c r="D10" i="11"/>
  <c r="D22" i="11" s="1"/>
  <c r="D23" i="11" s="1"/>
  <c r="G23" i="11" s="1"/>
  <c r="G9" i="11"/>
  <c r="D9" i="9"/>
  <c r="G9" i="9" s="1"/>
  <c r="I9" i="9" s="1"/>
  <c r="C22" i="9"/>
  <c r="C23" i="9" s="1"/>
  <c r="C24" i="9" s="1"/>
  <c r="L18" i="10"/>
  <c r="C22" i="7"/>
  <c r="C23" i="7" s="1"/>
  <c r="C24" i="7" s="1"/>
  <c r="D9" i="8"/>
  <c r="D10" i="8" s="1"/>
  <c r="D22" i="8" s="1"/>
  <c r="C22" i="8"/>
  <c r="I15" i="8"/>
  <c r="I17" i="8"/>
  <c r="F21" i="11"/>
  <c r="B9" i="7"/>
  <c r="F7" i="9"/>
  <c r="B9" i="9"/>
  <c r="B10" i="9" s="1"/>
  <c r="L20" i="10"/>
  <c r="F7" i="11"/>
  <c r="F21" i="9"/>
  <c r="K18" i="10"/>
  <c r="I18" i="11"/>
  <c r="C23" i="11"/>
  <c r="C24" i="11" s="1"/>
  <c r="B22" i="11"/>
  <c r="G22" i="11"/>
  <c r="I8" i="11"/>
  <c r="I9" i="11" s="1"/>
  <c r="F9" i="11"/>
  <c r="I19" i="11"/>
  <c r="I3" i="11"/>
  <c r="I13" i="11"/>
  <c r="I16" i="11"/>
  <c r="I20" i="11"/>
  <c r="I15" i="11"/>
  <c r="K19" i="10"/>
  <c r="K15" i="10"/>
  <c r="L13" i="10"/>
  <c r="K14" i="10"/>
  <c r="K20" i="10"/>
  <c r="K17" i="10"/>
  <c r="K16" i="10"/>
  <c r="M13" i="10"/>
  <c r="M21" i="10" s="1"/>
  <c r="L16" i="10"/>
  <c r="L14" i="10"/>
  <c r="K13" i="10"/>
  <c r="N20" i="10"/>
  <c r="N19" i="10"/>
  <c r="N18" i="10"/>
  <c r="N17" i="10"/>
  <c r="N16" i="10"/>
  <c r="N15" i="10"/>
  <c r="N14" i="10"/>
  <c r="L19" i="10"/>
  <c r="L17" i="10"/>
  <c r="L15" i="10"/>
  <c r="B23" i="10"/>
  <c r="B24" i="10" s="1"/>
  <c r="D23" i="10"/>
  <c r="D24" i="10" s="1"/>
  <c r="G9" i="10"/>
  <c r="I9" i="10" s="1"/>
  <c r="F9" i="10"/>
  <c r="F7" i="10"/>
  <c r="G7" i="10"/>
  <c r="I7" i="10" s="1"/>
  <c r="I18" i="8"/>
  <c r="I8" i="8"/>
  <c r="I9" i="8" s="1"/>
  <c r="I3" i="8"/>
  <c r="I19" i="8"/>
  <c r="I13" i="8"/>
  <c r="I20" i="8"/>
  <c r="I16" i="8"/>
  <c r="F9" i="9"/>
  <c r="F9" i="8"/>
  <c r="B10" i="8"/>
  <c r="C23" i="8"/>
  <c r="C24" i="8" s="1"/>
  <c r="F7" i="8"/>
  <c r="B10" i="7" l="1"/>
  <c r="O18" i="10"/>
  <c r="F10" i="11"/>
  <c r="D10" i="7"/>
  <c r="I10" i="8"/>
  <c r="G10" i="11"/>
  <c r="B22" i="9"/>
  <c r="D10" i="9"/>
  <c r="G9" i="8"/>
  <c r="O15" i="10"/>
  <c r="G10" i="8"/>
  <c r="O20" i="10"/>
  <c r="O19" i="10"/>
  <c r="I21" i="8"/>
  <c r="I22" i="8" s="1"/>
  <c r="I24" i="8" s="1"/>
  <c r="O17" i="10"/>
  <c r="I10" i="11"/>
  <c r="B23" i="11"/>
  <c r="F23" i="11" s="1"/>
  <c r="F22" i="11"/>
  <c r="I21" i="11"/>
  <c r="D24" i="11"/>
  <c r="G24" i="11" s="1"/>
  <c r="N21" i="10"/>
  <c r="O14" i="10"/>
  <c r="K21" i="10"/>
  <c r="O13" i="10"/>
  <c r="L21" i="10"/>
  <c r="O16" i="10"/>
  <c r="G10" i="10"/>
  <c r="I10" i="10" s="1"/>
  <c r="F10" i="10"/>
  <c r="B23" i="9"/>
  <c r="B22" i="8"/>
  <c r="F10" i="8"/>
  <c r="D23" i="8"/>
  <c r="G23" i="8" s="1"/>
  <c r="D24" i="8"/>
  <c r="G24" i="8" s="1"/>
  <c r="G22" i="8"/>
  <c r="B22" i="7" l="1"/>
  <c r="D22" i="7"/>
  <c r="G10" i="9"/>
  <c r="I10" i="9" s="1"/>
  <c r="D22" i="9"/>
  <c r="I22" i="11"/>
  <c r="I24" i="11" s="1"/>
  <c r="B24" i="11"/>
  <c r="F24" i="11" s="1"/>
  <c r="F10" i="9"/>
  <c r="O21" i="10"/>
  <c r="G23" i="10"/>
  <c r="I23" i="10" s="1"/>
  <c r="G22" i="10"/>
  <c r="I22" i="10" s="1"/>
  <c r="G24" i="10"/>
  <c r="I24" i="10" s="1"/>
  <c r="F22" i="10"/>
  <c r="F23" i="10"/>
  <c r="B24" i="9"/>
  <c r="F22" i="8"/>
  <c r="B23" i="8"/>
  <c r="F23" i="8" s="1"/>
  <c r="D23" i="7" l="1"/>
  <c r="B23" i="7"/>
  <c r="D23" i="9"/>
  <c r="G22" i="9"/>
  <c r="I22" i="9" s="1"/>
  <c r="F22" i="9"/>
  <c r="F24" i="10"/>
  <c r="B24" i="8"/>
  <c r="F24" i="8" s="1"/>
  <c r="B24" i="7" l="1"/>
  <c r="D24" i="7"/>
  <c r="G23" i="9"/>
  <c r="I23" i="9" s="1"/>
  <c r="F23" i="9"/>
  <c r="D24" i="9"/>
  <c r="K22" i="10"/>
  <c r="G24" i="9" l="1"/>
  <c r="I24" i="9" s="1"/>
  <c r="F24" i="9"/>
  <c r="K23" i="10"/>
  <c r="K24" i="10" l="1"/>
  <c r="N22" i="10" l="1"/>
  <c r="N23" i="10" s="1"/>
  <c r="N24" i="10" s="1"/>
  <c r="L22" i="10"/>
  <c r="L23" i="10" l="1"/>
  <c r="L24" i="10" l="1"/>
  <c r="M22" i="10" l="1"/>
  <c r="M23" i="10" l="1"/>
  <c r="O23" i="10" s="1"/>
  <c r="O22" i="10"/>
  <c r="M24" i="10" l="1"/>
  <c r="O24" i="10" s="1"/>
</calcChain>
</file>

<file path=xl/sharedStrings.xml><?xml version="1.0" encoding="utf-8"?>
<sst xmlns="http://schemas.openxmlformats.org/spreadsheetml/2006/main" count="230" uniqueCount="77">
  <si>
    <t>Cummins Printing</t>
    <phoneticPr fontId="1" type="noConversion"/>
  </si>
  <si>
    <t>Income Statement for the year ended:</t>
    <phoneticPr fontId="1" type="noConversion"/>
  </si>
  <si>
    <t>Sales</t>
    <phoneticPr fontId="1" type="noConversion"/>
  </si>
  <si>
    <t>Cost of Goods Sold</t>
    <phoneticPr fontId="1" type="noConversion"/>
  </si>
  <si>
    <t>Iventory</t>
    <phoneticPr fontId="1" type="noConversion"/>
  </si>
  <si>
    <t>Purchases</t>
    <phoneticPr fontId="1" type="noConversion"/>
  </si>
  <si>
    <t>Available for sale</t>
    <phoneticPr fontId="1" type="noConversion"/>
  </si>
  <si>
    <t>Inventory,12/31</t>
    <phoneticPr fontId="1" type="noConversion"/>
  </si>
  <si>
    <t xml:space="preserve">                Cost of goods sold</t>
    <phoneticPr fontId="1" type="noConversion"/>
  </si>
  <si>
    <t>Gross profit</t>
    <phoneticPr fontId="1" type="noConversion"/>
  </si>
  <si>
    <t>Expenses</t>
    <phoneticPr fontId="1" type="noConversion"/>
  </si>
  <si>
    <t>Avdertising</t>
    <phoneticPr fontId="1" type="noConversion"/>
  </si>
  <si>
    <t>Office lease</t>
    <phoneticPr fontId="1" type="noConversion"/>
  </si>
  <si>
    <t>Insurance</t>
    <phoneticPr fontId="1" type="noConversion"/>
  </si>
  <si>
    <t>Office supplies</t>
    <phoneticPr fontId="1" type="noConversion"/>
  </si>
  <si>
    <t>Salaries</t>
    <phoneticPr fontId="1" type="noConversion"/>
  </si>
  <si>
    <t>Communications</t>
    <phoneticPr fontId="1" type="noConversion"/>
  </si>
  <si>
    <t>Travel</t>
    <phoneticPr fontId="1" type="noConversion"/>
  </si>
  <si>
    <t>Depreciation</t>
    <phoneticPr fontId="1" type="noConversion"/>
  </si>
  <si>
    <t>Operating expenses</t>
    <phoneticPr fontId="1" type="noConversion"/>
  </si>
  <si>
    <t>Operating  income</t>
    <phoneticPr fontId="1" type="noConversion"/>
  </si>
  <si>
    <t>Taxes</t>
    <phoneticPr fontId="1" type="noConversion"/>
  </si>
  <si>
    <t>Net income</t>
    <phoneticPr fontId="1" type="noConversion"/>
  </si>
  <si>
    <t>12/31/2009</t>
    <phoneticPr fontId="1" type="noConversion"/>
  </si>
  <si>
    <t>12/31/2010</t>
    <phoneticPr fontId="1" type="noConversion"/>
  </si>
  <si>
    <t>12/31/2011</t>
    <phoneticPr fontId="1" type="noConversion"/>
  </si>
  <si>
    <t>Cummins Printing</t>
    <phoneticPr fontId="5" type="noConversion"/>
  </si>
  <si>
    <t>Balance Sheet for the year ended</t>
    <phoneticPr fontId="5" type="noConversion"/>
  </si>
  <si>
    <t>12/31/2009</t>
    <phoneticPr fontId="5" type="noConversion"/>
  </si>
  <si>
    <t>12/31/2010</t>
    <phoneticPr fontId="5" type="noConversion"/>
  </si>
  <si>
    <t>12/31/2011</t>
    <phoneticPr fontId="5" type="noConversion"/>
  </si>
  <si>
    <t>ASSETS</t>
    <phoneticPr fontId="5" type="noConversion"/>
  </si>
  <si>
    <t>Current Assets</t>
    <phoneticPr fontId="5" type="noConversion"/>
  </si>
  <si>
    <t>Cash</t>
    <phoneticPr fontId="5" type="noConversion"/>
  </si>
  <si>
    <t>Account receivable</t>
    <phoneticPr fontId="5" type="noConversion"/>
  </si>
  <si>
    <t>Inventory</t>
    <phoneticPr fontId="5" type="noConversion"/>
  </si>
  <si>
    <t>Total Current Assets</t>
    <phoneticPr fontId="5" type="noConversion"/>
  </si>
  <si>
    <t>Fixed Assets</t>
    <phoneticPr fontId="5" type="noConversion"/>
  </si>
  <si>
    <t>Equipment</t>
    <phoneticPr fontId="5" type="noConversion"/>
  </si>
  <si>
    <t>Less-accumulated depreciation</t>
    <phoneticPr fontId="5" type="noConversion"/>
  </si>
  <si>
    <t>Total Fixed Assets</t>
    <phoneticPr fontId="5" type="noConversion"/>
  </si>
  <si>
    <t>Total assets</t>
    <phoneticPr fontId="5" type="noConversion"/>
  </si>
  <si>
    <t>LIABILITIES AND STOCKHOLDER'S EQUITY</t>
    <phoneticPr fontId="5" type="noConversion"/>
  </si>
  <si>
    <t>Current Liabilities</t>
    <phoneticPr fontId="5" type="noConversion"/>
  </si>
  <si>
    <t>Accounts papyable</t>
    <phoneticPr fontId="5" type="noConversion"/>
  </si>
  <si>
    <t>Notes papyable</t>
    <phoneticPr fontId="5" type="noConversion"/>
  </si>
  <si>
    <t>Income taxes</t>
    <phoneticPr fontId="5" type="noConversion"/>
  </si>
  <si>
    <t>Total liabilites</t>
    <phoneticPr fontId="5" type="noConversion"/>
  </si>
  <si>
    <t>Stockholders' Equality</t>
    <phoneticPr fontId="5" type="noConversion"/>
  </si>
  <si>
    <t>Retaines earnings</t>
    <phoneticPr fontId="5" type="noConversion"/>
  </si>
  <si>
    <t>Total liabilites and Stockholder's Equity</t>
    <phoneticPr fontId="5" type="noConversion"/>
  </si>
  <si>
    <t>Inventory</t>
  </si>
  <si>
    <t>3-yr Average</t>
  </si>
  <si>
    <t>2011 Only</t>
  </si>
  <si>
    <t xml:space="preserve">            Percentage of Sales</t>
  </si>
  <si>
    <t xml:space="preserve">Projected </t>
  </si>
  <si>
    <t>Change $198,173 to $99,021</t>
  </si>
  <si>
    <t>Recalculate the Projected Revenue</t>
  </si>
  <si>
    <t>Clear the formula, only save the value</t>
  </si>
  <si>
    <t>Keep the Start Inventory, Office Lease from the recalculation</t>
  </si>
  <si>
    <t>Kepp these fields as calculated fileds</t>
  </si>
  <si>
    <t>Q1</t>
  </si>
  <si>
    <t>Q2</t>
  </si>
  <si>
    <t>Q3</t>
  </si>
  <si>
    <t>Q4</t>
  </si>
  <si>
    <t>Distribute Revenue in Quarters</t>
  </si>
  <si>
    <t>Value the inventories starting from ending inventory of last year</t>
  </si>
  <si>
    <t>and convert it in a quarterly based</t>
  </si>
  <si>
    <t>Calculate available for sales</t>
  </si>
  <si>
    <t>Calculate quartly gross profit</t>
  </si>
  <si>
    <t>Calculate quartly Expense</t>
  </si>
  <si>
    <t>jay</t>
  </si>
  <si>
    <t>danny</t>
  </si>
  <si>
    <t>jason</t>
  </si>
  <si>
    <t>yanni</t>
  </si>
  <si>
    <t>2012 Projected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</si>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</sst>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$-409]* #,##0.00_ ;_-[$$-409]* \-#,##0.00\ ;_-[$$-409]* &quot;-&quot;??_ ;_-@_ "/>
    <numFmt numFmtId="165" formatCode="_-\$* #,##0_ ;_-\$* \-#,##0\ ;_-\$* &quot;-&quot;_ ;_-@_ "/>
    <numFmt numFmtId="166" formatCode="&quot;¥&quot;#,##0.00_);[Red]\(&quot;¥&quot;#,##0.00\)"/>
    <numFmt numFmtId="167" formatCode="_-[$$-409]* #,##0_ ;_-[$$-409]* \-#,##0\ ;_-[$$-409]* &quot;-&quot;??_ ;_-@_ "/>
    <numFmt numFmtId="168" formatCode="_([$$-409]* #,##0_);_([$$-409]* \(#,##0\);_([$$-409]* &quot;-&quot;_);_(@_)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i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164" fontId="0" fillId="0" borderId="0"/>
    <xf numFmtId="9" fontId="2" fillId="0" borderId="0" applyFont="0" applyFill="0" applyBorder="0" applyAlignment="0" applyProtection="0">
      <alignment vertical="center"/>
    </xf>
  </cellStyleXfs>
  <cellXfs count="32">
    <xf numFmtId="164" fontId="0" fillId="0" borderId="0" xfId="0"/>
    <xf numFmtId="164" fontId="3" fillId="0" borderId="0" xfId="0" applyFont="1"/>
    <xf numFmtId="164" fontId="4" fillId="0" borderId="0" xfId="0" applyFont="1"/>
    <xf numFmtId="164" fontId="3" fillId="0" borderId="0" xfId="0" applyFont="1" applyAlignment="1">
      <alignment horizontal="right"/>
    </xf>
    <xf numFmtId="0" fontId="3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0" fontId="0" fillId="0" borderId="0" xfId="0" applyNumberFormat="1"/>
    <xf numFmtId="164" fontId="3" fillId="0" borderId="0" xfId="1" applyNumberFormat="1" applyFont="1" applyAlignment="1"/>
    <xf numFmtId="164" fontId="0" fillId="0" borderId="0" xfId="1" applyNumberFormat="1" applyFont="1" applyAlignment="1"/>
    <xf numFmtId="167" fontId="3" fillId="0" borderId="0" xfId="1" applyNumberFormat="1" applyFont="1" applyAlignment="1"/>
    <xf numFmtId="167" fontId="3" fillId="0" borderId="0" xfId="1" applyNumberFormat="1" applyFont="1" applyAlignment="1">
      <alignment horizontal="center"/>
    </xf>
    <xf numFmtId="167" fontId="3" fillId="0" borderId="0" xfId="0" applyNumberFormat="1" applyFont="1"/>
    <xf numFmtId="166" fontId="3" fillId="0" borderId="0" xfId="0" applyNumberFormat="1" applyFont="1"/>
    <xf numFmtId="168" fontId="0" fillId="0" borderId="0" xfId="0" applyNumberFormat="1"/>
    <xf numFmtId="164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2" borderId="0" xfId="0" applyFill="1"/>
    <xf numFmtId="168" fontId="0" fillId="3" borderId="0" xfId="0" applyNumberFormat="1" applyFill="1"/>
    <xf numFmtId="168" fontId="0" fillId="4" borderId="0" xfId="0" applyNumberFormat="1" applyFill="1"/>
    <xf numFmtId="168" fontId="0" fillId="5" borderId="0" xfId="0" applyNumberFormat="1" applyFill="1"/>
    <xf numFmtId="10" fontId="0" fillId="0" borderId="0" xfId="0" applyNumberFormat="1" applyAlignment="1">
      <alignment horizontal="center"/>
    </xf>
    <xf numFmtId="168" fontId="0" fillId="0" borderId="0" xfId="0" applyNumberFormat="1" applyFill="1"/>
    <xf numFmtId="10" fontId="0" fillId="6" borderId="0" xfId="0" applyNumberFormat="1" applyFill="1"/>
    <xf numFmtId="168" fontId="0" fillId="6" borderId="0" xfId="0" applyNumberFormat="1" applyFill="1"/>
    <xf numFmtId="164" fontId="0" fillId="6" borderId="0" xfId="0" applyFill="1"/>
    <xf numFmtId="164" fontId="0" fillId="7" borderId="0" xfId="0" applyFill="1"/>
    <xf numFmtId="164" fontId="0" fillId="5" borderId="0" xfId="0" applyFill="1"/>
    <xf numFmtId="168" fontId="0" fillId="8" borderId="0" xfId="0" applyNumberFormat="1" applyFill="1"/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4</xdr:row>
      <xdr:rowOff>95250</xdr:rowOff>
    </xdr:from>
    <xdr:to>
      <xdr:col>10</xdr:col>
      <xdr:colOff>457200</xdr:colOff>
      <xdr:row>6</xdr:row>
      <xdr:rowOff>57150</xdr:rowOff>
    </xdr:to>
    <xdr:sp macro="" textlink="">
      <xdr:nvSpPr>
        <xdr:cNvPr id="2" name="Heptag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0877550" y="933450"/>
          <a:ext cx="381000" cy="38100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10</xdr:col>
      <xdr:colOff>66675</xdr:colOff>
      <xdr:row>0</xdr:row>
      <xdr:rowOff>9525</xdr:rowOff>
    </xdr:from>
    <xdr:to>
      <xdr:col>10</xdr:col>
      <xdr:colOff>447675</xdr:colOff>
      <xdr:row>1</xdr:row>
      <xdr:rowOff>180975</xdr:rowOff>
    </xdr:to>
    <xdr:sp macro="" textlink="">
      <xdr:nvSpPr>
        <xdr:cNvPr id="3" name="Heptago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868025" y="9525"/>
          <a:ext cx="381000" cy="38100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10</xdr:col>
      <xdr:colOff>76200</xdr:colOff>
      <xdr:row>12</xdr:row>
      <xdr:rowOff>95250</xdr:rowOff>
    </xdr:from>
    <xdr:to>
      <xdr:col>10</xdr:col>
      <xdr:colOff>457200</xdr:colOff>
      <xdr:row>14</xdr:row>
      <xdr:rowOff>57150</xdr:rowOff>
    </xdr:to>
    <xdr:sp macro="" textlink="">
      <xdr:nvSpPr>
        <xdr:cNvPr id="4" name="Heptago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877550" y="2609850"/>
          <a:ext cx="381000" cy="38100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19050</xdr:colOff>
      <xdr:row>4</xdr:row>
      <xdr:rowOff>133350</xdr:rowOff>
    </xdr:from>
    <xdr:to>
      <xdr:col>10</xdr:col>
      <xdr:colOff>113931</xdr:colOff>
      <xdr:row>12</xdr:row>
      <xdr:rowOff>199287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H="1" flipV="1">
          <a:off x="10001250" y="971550"/>
          <a:ext cx="914031" cy="174233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1143000</xdr:colOff>
      <xdr:row>12</xdr:row>
      <xdr:rowOff>170712</xdr:rowOff>
    </xdr:from>
    <xdr:to>
      <xdr:col>10</xdr:col>
      <xdr:colOff>113931</xdr:colOff>
      <xdr:row>13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>
          <a:stCxn id="4" idx="5"/>
        </xdr:cNvCxnSpPr>
      </xdr:nvCxnSpPr>
      <xdr:spPr>
        <a:xfrm flipH="1">
          <a:off x="9972675" y="2685312"/>
          <a:ext cx="942606" cy="15313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5</xdr:row>
      <xdr:rowOff>130724</xdr:rowOff>
    </xdr:from>
    <xdr:to>
      <xdr:col>10</xdr:col>
      <xdr:colOff>76199</xdr:colOff>
      <xdr:row>5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>
          <a:stCxn id="2" idx="4"/>
        </xdr:cNvCxnSpPr>
      </xdr:nvCxnSpPr>
      <xdr:spPr>
        <a:xfrm flipH="1">
          <a:off x="9991726" y="1178474"/>
          <a:ext cx="885823" cy="26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7</xdr:row>
      <xdr:rowOff>123825</xdr:rowOff>
    </xdr:from>
    <xdr:to>
      <xdr:col>10</xdr:col>
      <xdr:colOff>457200</xdr:colOff>
      <xdr:row>9</xdr:row>
      <xdr:rowOff>85725</xdr:rowOff>
    </xdr:to>
    <xdr:sp macro="" textlink="">
      <xdr:nvSpPr>
        <xdr:cNvPr id="15" name="Heptagon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0877550" y="1590675"/>
          <a:ext cx="381000" cy="38100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1133476</xdr:colOff>
      <xdr:row>6</xdr:row>
      <xdr:rowOff>123825</xdr:rowOff>
    </xdr:from>
    <xdr:to>
      <xdr:col>10</xdr:col>
      <xdr:colOff>76199</xdr:colOff>
      <xdr:row>8</xdr:row>
      <xdr:rowOff>159299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>
          <a:stCxn id="15" idx="4"/>
        </xdr:cNvCxnSpPr>
      </xdr:nvCxnSpPr>
      <xdr:spPr>
        <a:xfrm flipH="1" flipV="1">
          <a:off x="9963151" y="1381125"/>
          <a:ext cx="914398" cy="454574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133350</xdr:rowOff>
    </xdr:from>
    <xdr:to>
      <xdr:col>10</xdr:col>
      <xdr:colOff>76199</xdr:colOff>
      <xdr:row>8</xdr:row>
      <xdr:rowOff>159299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stCxn id="15" idx="4"/>
        </xdr:cNvCxnSpPr>
      </xdr:nvCxnSpPr>
      <xdr:spPr>
        <a:xfrm flipH="1" flipV="1">
          <a:off x="9982200" y="1809750"/>
          <a:ext cx="895349" cy="25949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159299</xdr:rowOff>
    </xdr:from>
    <xdr:to>
      <xdr:col>10</xdr:col>
      <xdr:colOff>76199</xdr:colOff>
      <xdr:row>20</xdr:row>
      <xdr:rowOff>142875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15" idx="4"/>
        </xdr:cNvCxnSpPr>
      </xdr:nvCxnSpPr>
      <xdr:spPr>
        <a:xfrm flipH="1">
          <a:off x="9991725" y="1835699"/>
          <a:ext cx="885824" cy="2498176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1143000</xdr:colOff>
      <xdr:row>8</xdr:row>
      <xdr:rowOff>159299</xdr:rowOff>
    </xdr:from>
    <xdr:to>
      <xdr:col>10</xdr:col>
      <xdr:colOff>76199</xdr:colOff>
      <xdr:row>9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5" idx="4"/>
        </xdr:cNvCxnSpPr>
      </xdr:nvCxnSpPr>
      <xdr:spPr>
        <a:xfrm flipH="1">
          <a:off x="9972675" y="1835699"/>
          <a:ext cx="904874" cy="202651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4</xdr:row>
      <xdr:rowOff>123825</xdr:rowOff>
    </xdr:from>
    <xdr:to>
      <xdr:col>9</xdr:col>
      <xdr:colOff>790575</xdr:colOff>
      <xdr:row>4</xdr:row>
      <xdr:rowOff>123825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6877050" y="942975"/>
          <a:ext cx="7524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</xdr:row>
      <xdr:rowOff>152400</xdr:rowOff>
    </xdr:from>
    <xdr:to>
      <xdr:col>11</xdr:col>
      <xdr:colOff>285750</xdr:colOff>
      <xdr:row>7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 flipV="1">
          <a:off x="10419160" y="914400"/>
          <a:ext cx="921544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4</xdr:row>
      <xdr:rowOff>152400</xdr:rowOff>
    </xdr:from>
    <xdr:to>
      <xdr:col>12</xdr:col>
      <xdr:colOff>285750</xdr:colOff>
      <xdr:row>7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 flipV="1">
          <a:off x="9020175" y="971550"/>
          <a:ext cx="409575" cy="5524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771525</xdr:colOff>
      <xdr:row>4</xdr:row>
      <xdr:rowOff>152400</xdr:rowOff>
    </xdr:from>
    <xdr:to>
      <xdr:col>13</xdr:col>
      <xdr:colOff>361950</xdr:colOff>
      <xdr:row>7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 flipV="1">
          <a:off x="9915525" y="971550"/>
          <a:ext cx="409575" cy="5524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1924050</xdr:colOff>
      <xdr:row>1</xdr:row>
      <xdr:rowOff>133350</xdr:rowOff>
    </xdr:from>
    <xdr:to>
      <xdr:col>15</xdr:col>
      <xdr:colOff>2247900</xdr:colOff>
      <xdr:row>3</xdr:row>
      <xdr:rowOff>57150</xdr:rowOff>
    </xdr:to>
    <xdr:sp macro="" textlink="">
      <xdr:nvSpPr>
        <xdr:cNvPr id="39" name="Heptagon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13430250" y="342900"/>
          <a:ext cx="323850" cy="32385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15</xdr:col>
      <xdr:colOff>1933575</xdr:colOff>
      <xdr:row>3</xdr:row>
      <xdr:rowOff>123825</xdr:rowOff>
    </xdr:from>
    <xdr:to>
      <xdr:col>15</xdr:col>
      <xdr:colOff>2257425</xdr:colOff>
      <xdr:row>5</xdr:row>
      <xdr:rowOff>28575</xdr:rowOff>
    </xdr:to>
    <xdr:sp macro="" textlink="">
      <xdr:nvSpPr>
        <xdr:cNvPr id="40" name="Heptagon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13439775" y="733425"/>
          <a:ext cx="323850" cy="32385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15</xdr:col>
      <xdr:colOff>0</xdr:colOff>
      <xdr:row>4</xdr:row>
      <xdr:rowOff>122545</xdr:rowOff>
    </xdr:from>
    <xdr:to>
      <xdr:col>15</xdr:col>
      <xdr:colOff>1933574</xdr:colOff>
      <xdr:row>4</xdr:row>
      <xdr:rowOff>133350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CxnSpPr>
          <a:stCxn id="40" idx="4"/>
        </xdr:cNvCxnSpPr>
      </xdr:nvCxnSpPr>
      <xdr:spPr>
        <a:xfrm flipH="1">
          <a:off x="11506200" y="941695"/>
          <a:ext cx="1933574" cy="10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122545</xdr:rowOff>
    </xdr:from>
    <xdr:to>
      <xdr:col>15</xdr:col>
      <xdr:colOff>1933574</xdr:colOff>
      <xdr:row>7</xdr:row>
      <xdr:rowOff>133350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>
          <a:stCxn id="40" idx="4"/>
        </xdr:cNvCxnSpPr>
      </xdr:nvCxnSpPr>
      <xdr:spPr>
        <a:xfrm flipH="1">
          <a:off x="11506200" y="941695"/>
          <a:ext cx="1933574" cy="6394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1924050</xdr:colOff>
      <xdr:row>8</xdr:row>
      <xdr:rowOff>152400</xdr:rowOff>
    </xdr:from>
    <xdr:to>
      <xdr:col>15</xdr:col>
      <xdr:colOff>2247900</xdr:colOff>
      <xdr:row>10</xdr:row>
      <xdr:rowOff>57150</xdr:rowOff>
    </xdr:to>
    <xdr:sp macro="" textlink="">
      <xdr:nvSpPr>
        <xdr:cNvPr id="48" name="Heptagon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13430250" y="1809750"/>
          <a:ext cx="323850" cy="32385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15</xdr:col>
      <xdr:colOff>1943100</xdr:colOff>
      <xdr:row>5</xdr:row>
      <xdr:rowOff>161925</xdr:rowOff>
    </xdr:from>
    <xdr:to>
      <xdr:col>15</xdr:col>
      <xdr:colOff>2266950</xdr:colOff>
      <xdr:row>7</xdr:row>
      <xdr:rowOff>66675</xdr:rowOff>
    </xdr:to>
    <xdr:sp macro="" textlink="">
      <xdr:nvSpPr>
        <xdr:cNvPr id="49" name="Heptagon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13449300" y="1190625"/>
          <a:ext cx="323850" cy="32385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15</xdr:col>
      <xdr:colOff>1924050</xdr:colOff>
      <xdr:row>11</xdr:row>
      <xdr:rowOff>133350</xdr:rowOff>
    </xdr:from>
    <xdr:to>
      <xdr:col>15</xdr:col>
      <xdr:colOff>2247900</xdr:colOff>
      <xdr:row>13</xdr:row>
      <xdr:rowOff>38100</xdr:rowOff>
    </xdr:to>
    <xdr:sp macro="" textlink="">
      <xdr:nvSpPr>
        <xdr:cNvPr id="50" name="Heptagon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13430250" y="2419350"/>
          <a:ext cx="323850" cy="32385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14</xdr:col>
      <xdr:colOff>628651</xdr:colOff>
      <xdr:row>12</xdr:row>
      <xdr:rowOff>38100</xdr:rowOff>
    </xdr:from>
    <xdr:to>
      <xdr:col>15</xdr:col>
      <xdr:colOff>619125</xdr:colOff>
      <xdr:row>20</xdr:row>
      <xdr:rowOff>9525</xdr:rowOff>
    </xdr:to>
    <xdr:sp macro="" textlink="">
      <xdr:nvSpPr>
        <xdr:cNvPr id="51" name="Left Brace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 flipH="1">
          <a:off x="11410951" y="2533650"/>
          <a:ext cx="714374" cy="16478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619125</xdr:colOff>
      <xdr:row>12</xdr:row>
      <xdr:rowOff>132070</xdr:rowOff>
    </xdr:from>
    <xdr:to>
      <xdr:col>15</xdr:col>
      <xdr:colOff>1924049</xdr:colOff>
      <xdr:row>16</xdr:row>
      <xdr:rowOff>23813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50" idx="4"/>
          <a:endCxn id="51" idx="1"/>
        </xdr:cNvCxnSpPr>
      </xdr:nvCxnSpPr>
      <xdr:spPr>
        <a:xfrm flipH="1">
          <a:off x="12125325" y="2627620"/>
          <a:ext cx="1304924" cy="7299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654845</xdr:colOff>
      <xdr:row>8</xdr:row>
      <xdr:rowOff>0</xdr:rowOff>
    </xdr:from>
    <xdr:to>
      <xdr:col>13</xdr:col>
      <xdr:colOff>369095</xdr:colOff>
      <xdr:row>11</xdr:row>
      <xdr:rowOff>121048</xdr:rowOff>
    </xdr:to>
    <xdr:sp macro="" textlink="">
      <xdr:nvSpPr>
        <xdr:cNvPr id="23" name="Freeform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8227220" y="1690688"/>
          <a:ext cx="3726656" cy="763985"/>
        </a:xfrm>
        <a:custGeom>
          <a:avLst/>
          <a:gdLst>
            <a:gd name="connsiteX0" fmla="*/ 0 w 3762375"/>
            <a:gd name="connsiteY0" fmla="*/ 0 h 680642"/>
            <a:gd name="connsiteX1" fmla="*/ 809625 w 3762375"/>
            <a:gd name="connsiteY1" fmla="*/ 678657 h 680642"/>
            <a:gd name="connsiteX2" fmla="*/ 3762375 w 3762375"/>
            <a:gd name="connsiteY2" fmla="*/ 11907 h 6806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762375" h="680642">
              <a:moveTo>
                <a:pt x="0" y="0"/>
              </a:moveTo>
              <a:cubicBezTo>
                <a:pt x="91281" y="338336"/>
                <a:pt x="182563" y="676673"/>
                <a:pt x="809625" y="678657"/>
              </a:cubicBezTo>
              <a:cubicBezTo>
                <a:pt x="1436688" y="680642"/>
                <a:pt x="3258344" y="91282"/>
                <a:pt x="3762375" y="11907"/>
              </a:cubicBezTo>
            </a:path>
          </a:pathLst>
        </a:cu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4</xdr:row>
      <xdr:rowOff>95250</xdr:rowOff>
    </xdr:from>
    <xdr:to>
      <xdr:col>10</xdr:col>
      <xdr:colOff>457200</xdr:colOff>
      <xdr:row>6</xdr:row>
      <xdr:rowOff>57150</xdr:rowOff>
    </xdr:to>
    <xdr:sp macro="" textlink="">
      <xdr:nvSpPr>
        <xdr:cNvPr id="2" name="Heptago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877550" y="933450"/>
          <a:ext cx="381000" cy="38100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10</xdr:col>
      <xdr:colOff>66675</xdr:colOff>
      <xdr:row>0</xdr:row>
      <xdr:rowOff>9525</xdr:rowOff>
    </xdr:from>
    <xdr:to>
      <xdr:col>10</xdr:col>
      <xdr:colOff>447675</xdr:colOff>
      <xdr:row>1</xdr:row>
      <xdr:rowOff>180975</xdr:rowOff>
    </xdr:to>
    <xdr:sp macro="" textlink="">
      <xdr:nvSpPr>
        <xdr:cNvPr id="3" name="Heptago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0868025" y="9525"/>
          <a:ext cx="381000" cy="38100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10</xdr:col>
      <xdr:colOff>76200</xdr:colOff>
      <xdr:row>12</xdr:row>
      <xdr:rowOff>95250</xdr:rowOff>
    </xdr:from>
    <xdr:to>
      <xdr:col>10</xdr:col>
      <xdr:colOff>457200</xdr:colOff>
      <xdr:row>14</xdr:row>
      <xdr:rowOff>57150</xdr:rowOff>
    </xdr:to>
    <xdr:sp macro="" textlink="">
      <xdr:nvSpPr>
        <xdr:cNvPr id="4" name="Heptago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0877550" y="2609850"/>
          <a:ext cx="381000" cy="38100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19050</xdr:colOff>
      <xdr:row>4</xdr:row>
      <xdr:rowOff>133350</xdr:rowOff>
    </xdr:from>
    <xdr:to>
      <xdr:col>10</xdr:col>
      <xdr:colOff>113931</xdr:colOff>
      <xdr:row>12</xdr:row>
      <xdr:rowOff>199287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H="1" flipV="1">
          <a:off x="10001250" y="971550"/>
          <a:ext cx="914031" cy="174233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1143000</xdr:colOff>
      <xdr:row>12</xdr:row>
      <xdr:rowOff>170712</xdr:rowOff>
    </xdr:from>
    <xdr:to>
      <xdr:col>10</xdr:col>
      <xdr:colOff>113931</xdr:colOff>
      <xdr:row>13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stCxn id="4" idx="5"/>
        </xdr:cNvCxnSpPr>
      </xdr:nvCxnSpPr>
      <xdr:spPr>
        <a:xfrm flipH="1">
          <a:off x="9972675" y="2685312"/>
          <a:ext cx="942606" cy="15313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5</xdr:row>
      <xdr:rowOff>130724</xdr:rowOff>
    </xdr:from>
    <xdr:to>
      <xdr:col>10</xdr:col>
      <xdr:colOff>76199</xdr:colOff>
      <xdr:row>5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>
          <a:stCxn id="2" idx="4"/>
        </xdr:cNvCxnSpPr>
      </xdr:nvCxnSpPr>
      <xdr:spPr>
        <a:xfrm flipH="1">
          <a:off x="9991726" y="1178474"/>
          <a:ext cx="885823" cy="26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7</xdr:row>
      <xdr:rowOff>123825</xdr:rowOff>
    </xdr:from>
    <xdr:to>
      <xdr:col>10</xdr:col>
      <xdr:colOff>457200</xdr:colOff>
      <xdr:row>9</xdr:row>
      <xdr:rowOff>85725</xdr:rowOff>
    </xdr:to>
    <xdr:sp macro="" textlink="">
      <xdr:nvSpPr>
        <xdr:cNvPr id="8" name="Heptagon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10877550" y="1590675"/>
          <a:ext cx="381000" cy="381000"/>
        </a:xfrm>
        <a:prstGeom prst="heptag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1133476</xdr:colOff>
      <xdr:row>6</xdr:row>
      <xdr:rowOff>123825</xdr:rowOff>
    </xdr:from>
    <xdr:to>
      <xdr:col>10</xdr:col>
      <xdr:colOff>76199</xdr:colOff>
      <xdr:row>8</xdr:row>
      <xdr:rowOff>159299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stCxn id="8" idx="4"/>
        </xdr:cNvCxnSpPr>
      </xdr:nvCxnSpPr>
      <xdr:spPr>
        <a:xfrm flipH="1" flipV="1">
          <a:off x="9963151" y="1381125"/>
          <a:ext cx="914398" cy="454574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133350</xdr:rowOff>
    </xdr:from>
    <xdr:to>
      <xdr:col>10</xdr:col>
      <xdr:colOff>76199</xdr:colOff>
      <xdr:row>8</xdr:row>
      <xdr:rowOff>159299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>
          <a:stCxn id="8" idx="4"/>
        </xdr:cNvCxnSpPr>
      </xdr:nvCxnSpPr>
      <xdr:spPr>
        <a:xfrm flipH="1" flipV="1">
          <a:off x="9982200" y="1809750"/>
          <a:ext cx="895349" cy="25949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159299</xdr:rowOff>
    </xdr:from>
    <xdr:to>
      <xdr:col>10</xdr:col>
      <xdr:colOff>76199</xdr:colOff>
      <xdr:row>20</xdr:row>
      <xdr:rowOff>142875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8" idx="4"/>
        </xdr:cNvCxnSpPr>
      </xdr:nvCxnSpPr>
      <xdr:spPr>
        <a:xfrm flipH="1">
          <a:off x="9991725" y="1835699"/>
          <a:ext cx="885824" cy="2498176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1143000</xdr:colOff>
      <xdr:row>8</xdr:row>
      <xdr:rowOff>159299</xdr:rowOff>
    </xdr:from>
    <xdr:to>
      <xdr:col>10</xdr:col>
      <xdr:colOff>76199</xdr:colOff>
      <xdr:row>9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>
          <a:stCxn id="8" idx="4"/>
        </xdr:cNvCxnSpPr>
      </xdr:nvCxnSpPr>
      <xdr:spPr>
        <a:xfrm flipH="1">
          <a:off x="9972675" y="1835699"/>
          <a:ext cx="904874" cy="202651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B13" sqref="B13"/>
    </sheetView>
  </sheetViews>
  <sheetFormatPr defaultRowHeight="14.25"/>
  <cols>
    <col min="1" max="1" width="40.59765625" bestFit="1" customWidth="1"/>
    <col min="2" max="2" width="14.86328125" bestFit="1" customWidth="1"/>
    <col min="3" max="3" width="15.59765625" bestFit="1" customWidth="1"/>
    <col min="4" max="4" width="14.86328125" bestFit="1" customWidth="1"/>
    <col min="5" max="5" width="2.265625" customWidth="1"/>
  </cols>
  <sheetData>
    <row r="1" spans="1:5" ht="15">
      <c r="A1" s="1" t="s">
        <v>0</v>
      </c>
      <c r="B1" s="1"/>
      <c r="C1" s="1"/>
    </row>
    <row r="2" spans="1:5" ht="15">
      <c r="A2" s="1" t="s">
        <v>1</v>
      </c>
      <c r="B2" s="1" t="s">
        <v>23</v>
      </c>
      <c r="C2" s="1" t="s">
        <v>24</v>
      </c>
      <c r="D2" s="1" t="s">
        <v>25</v>
      </c>
    </row>
    <row r="3" spans="1:5" ht="15.75">
      <c r="A3" s="2" t="s">
        <v>2</v>
      </c>
      <c r="B3" s="13">
        <v>498541</v>
      </c>
      <c r="C3" s="13">
        <v>367450</v>
      </c>
      <c r="D3" s="13">
        <v>389864</v>
      </c>
    </row>
    <row r="4" spans="1:5" ht="15">
      <c r="A4" s="1" t="s">
        <v>3</v>
      </c>
      <c r="B4" s="11"/>
      <c r="C4" s="11"/>
      <c r="D4" s="11"/>
      <c r="E4" s="12"/>
    </row>
    <row r="5" spans="1:5" ht="15">
      <c r="A5" s="1" t="s">
        <v>4</v>
      </c>
      <c r="B5" s="13">
        <v>116081</v>
      </c>
      <c r="C5" s="11">
        <v>85919</v>
      </c>
      <c r="D5" s="13">
        <v>112969</v>
      </c>
      <c r="E5" s="12"/>
    </row>
    <row r="6" spans="1:5" ht="15">
      <c r="A6" s="1" t="s">
        <v>5</v>
      </c>
      <c r="B6" s="13">
        <v>115372</v>
      </c>
      <c r="C6" s="11">
        <v>147970</v>
      </c>
      <c r="D6" s="13">
        <v>187540</v>
      </c>
      <c r="E6" s="12"/>
    </row>
    <row r="7" spans="1:5" ht="15">
      <c r="A7" s="1" t="s">
        <v>6</v>
      </c>
      <c r="B7" s="13">
        <v>231453</v>
      </c>
      <c r="C7" s="11">
        <v>233889</v>
      </c>
      <c r="D7" s="13">
        <v>300509</v>
      </c>
      <c r="E7" s="12"/>
    </row>
    <row r="8" spans="1:5" ht="15">
      <c r="A8" s="1" t="s">
        <v>7</v>
      </c>
      <c r="B8" s="13">
        <v>85919</v>
      </c>
      <c r="C8" s="11">
        <v>112969</v>
      </c>
      <c r="D8" s="13">
        <v>129125</v>
      </c>
      <c r="E8" s="12"/>
    </row>
    <row r="9" spans="1:5" ht="15">
      <c r="A9" s="3" t="s">
        <v>8</v>
      </c>
      <c r="B9" s="13">
        <v>145534</v>
      </c>
      <c r="C9" s="13">
        <v>120920</v>
      </c>
      <c r="D9" s="13">
        <v>171384</v>
      </c>
      <c r="E9" s="12"/>
    </row>
    <row r="10" spans="1:5" ht="15">
      <c r="A10" s="1" t="s">
        <v>9</v>
      </c>
      <c r="B10" s="13">
        <v>353007</v>
      </c>
      <c r="C10" s="13">
        <v>246530</v>
      </c>
      <c r="D10" s="13">
        <v>218480</v>
      </c>
      <c r="E10" s="12"/>
    </row>
    <row r="11" spans="1:5" ht="15">
      <c r="A11" s="1"/>
      <c r="B11" s="13"/>
      <c r="C11" s="13"/>
      <c r="D11" s="13"/>
      <c r="E11" s="12"/>
    </row>
    <row r="12" spans="1:5" ht="15.75">
      <c r="A12" s="2" t="s">
        <v>10</v>
      </c>
      <c r="B12" s="11"/>
      <c r="C12" s="13"/>
      <c r="D12" s="13"/>
      <c r="E12" s="12"/>
    </row>
    <row r="13" spans="1:5" ht="15">
      <c r="A13" s="3" t="s">
        <v>11</v>
      </c>
      <c r="B13" s="13">
        <v>6166</v>
      </c>
      <c r="C13" s="13">
        <v>5915</v>
      </c>
      <c r="D13" s="13">
        <v>6770</v>
      </c>
      <c r="E13" s="12"/>
    </row>
    <row r="14" spans="1:5" ht="15">
      <c r="A14" s="3" t="s">
        <v>12</v>
      </c>
      <c r="B14" s="13">
        <v>8750</v>
      </c>
      <c r="C14" s="13">
        <v>9110</v>
      </c>
      <c r="D14" s="13">
        <v>9544</v>
      </c>
      <c r="E14" s="12"/>
    </row>
    <row r="15" spans="1:5" ht="15">
      <c r="A15" s="3" t="s">
        <v>13</v>
      </c>
      <c r="B15" s="13">
        <v>3906</v>
      </c>
      <c r="C15" s="13">
        <v>3754</v>
      </c>
      <c r="D15" s="13">
        <v>4010</v>
      </c>
      <c r="E15" s="12"/>
    </row>
    <row r="16" spans="1:5" ht="15">
      <c r="A16" s="3" t="s">
        <v>14</v>
      </c>
      <c r="B16" s="13">
        <v>2110</v>
      </c>
      <c r="C16" s="13">
        <v>2680</v>
      </c>
      <c r="D16" s="13">
        <v>3862</v>
      </c>
      <c r="E16" s="12"/>
    </row>
    <row r="17" spans="1:5" ht="15">
      <c r="A17" s="3" t="s">
        <v>15</v>
      </c>
      <c r="B17" s="13">
        <v>62378</v>
      </c>
      <c r="C17" s="13">
        <v>72924</v>
      </c>
      <c r="D17" s="13">
        <v>94347</v>
      </c>
      <c r="E17" s="12"/>
    </row>
    <row r="18" spans="1:5" ht="15">
      <c r="A18" s="3" t="s">
        <v>16</v>
      </c>
      <c r="B18" s="13">
        <v>3708</v>
      </c>
      <c r="C18" s="13">
        <v>5507</v>
      </c>
      <c r="D18" s="13">
        <v>7014</v>
      </c>
      <c r="E18" s="12"/>
    </row>
    <row r="19" spans="1:5" ht="15">
      <c r="A19" s="3" t="s">
        <v>17</v>
      </c>
      <c r="B19" s="13">
        <v>1070</v>
      </c>
      <c r="C19" s="13">
        <v>6310</v>
      </c>
      <c r="D19" s="13">
        <v>8733</v>
      </c>
      <c r="E19" s="12"/>
    </row>
    <row r="20" spans="1:5" ht="15">
      <c r="A20" s="3" t="s">
        <v>18</v>
      </c>
      <c r="B20" s="13">
        <v>4192</v>
      </c>
      <c r="C20" s="13">
        <v>4192</v>
      </c>
      <c r="D20" s="13">
        <v>4192</v>
      </c>
      <c r="E20" s="12"/>
    </row>
    <row r="21" spans="1:5" ht="15">
      <c r="A21" s="1" t="s">
        <v>19</v>
      </c>
      <c r="B21" s="13">
        <v>92280</v>
      </c>
      <c r="C21" s="14">
        <v>110392</v>
      </c>
      <c r="D21" s="13">
        <v>138472</v>
      </c>
      <c r="E21" s="12"/>
    </row>
    <row r="22" spans="1:5" ht="15">
      <c r="A22" s="1" t="s">
        <v>20</v>
      </c>
      <c r="B22" s="13">
        <v>260727</v>
      </c>
      <c r="C22" s="13">
        <v>136138</v>
      </c>
      <c r="D22" s="13">
        <v>80008</v>
      </c>
      <c r="E22" s="12"/>
    </row>
    <row r="23" spans="1:5" ht="15">
      <c r="A23" s="1" t="s">
        <v>21</v>
      </c>
      <c r="B23" s="13">
        <v>65182</v>
      </c>
      <c r="C23" s="13">
        <v>34035</v>
      </c>
      <c r="D23" s="13">
        <v>20002</v>
      </c>
      <c r="E23" s="12"/>
    </row>
    <row r="24" spans="1:5" ht="15">
      <c r="A24" s="1" t="s">
        <v>22</v>
      </c>
      <c r="B24" s="13">
        <v>195545</v>
      </c>
      <c r="C24" s="13">
        <v>102104</v>
      </c>
      <c r="D24" s="13">
        <v>60006</v>
      </c>
      <c r="E24" s="12"/>
    </row>
    <row r="25" spans="1:5" ht="15">
      <c r="A25" s="1"/>
      <c r="B25" s="13"/>
      <c r="C25" s="13"/>
      <c r="D25" s="13"/>
      <c r="E25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H10" sqref="H10"/>
    </sheetView>
  </sheetViews>
  <sheetFormatPr defaultColWidth="9" defaultRowHeight="14.25"/>
  <cols>
    <col min="1" max="1" width="27" style="5" customWidth="1"/>
    <col min="2" max="2" width="42.1328125" style="5" customWidth="1"/>
    <col min="3" max="5" width="13.3984375" style="5" bestFit="1" customWidth="1"/>
    <col min="6" max="16384" width="9" style="5"/>
  </cols>
  <sheetData>
    <row r="1" spans="1:6" ht="1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/>
    </row>
    <row r="2" spans="1:6" ht="15.75">
      <c r="A2" s="6" t="s">
        <v>31</v>
      </c>
      <c r="B2" s="4"/>
      <c r="C2" s="7"/>
      <c r="D2" s="7"/>
      <c r="E2" s="4"/>
      <c r="F2" s="4"/>
    </row>
    <row r="3" spans="1:6" ht="15.75">
      <c r="A3" s="6" t="s">
        <v>32</v>
      </c>
      <c r="B3" s="4" t="s">
        <v>33</v>
      </c>
      <c r="C3" s="9">
        <v>282289</v>
      </c>
      <c r="D3" s="9">
        <v>272787</v>
      </c>
      <c r="E3" s="9">
        <v>281278</v>
      </c>
      <c r="F3" s="4"/>
    </row>
    <row r="4" spans="1:6" ht="15">
      <c r="A4" s="4"/>
      <c r="B4" s="4" t="s">
        <v>34</v>
      </c>
      <c r="C4" s="9">
        <v>66567</v>
      </c>
      <c r="D4" s="9">
        <v>158054</v>
      </c>
      <c r="E4" s="9">
        <v>163422</v>
      </c>
      <c r="F4" s="4"/>
    </row>
    <row r="5" spans="1:6" ht="15">
      <c r="A5" s="4"/>
      <c r="B5" s="4" t="s">
        <v>35</v>
      </c>
      <c r="C5" s="9">
        <v>85919</v>
      </c>
      <c r="D5" s="9">
        <v>112969</v>
      </c>
      <c r="E5" s="9">
        <v>129125</v>
      </c>
      <c r="F5" s="4"/>
    </row>
    <row r="6" spans="1:6" ht="15">
      <c r="A6" s="4"/>
      <c r="B6" s="4" t="s">
        <v>36</v>
      </c>
      <c r="C6" s="9">
        <v>434775</v>
      </c>
      <c r="D6" s="9">
        <v>543810</v>
      </c>
      <c r="E6" s="9">
        <v>573825</v>
      </c>
      <c r="F6" s="4"/>
    </row>
    <row r="7" spans="1:6" ht="15.75">
      <c r="A7" s="6" t="s">
        <v>37</v>
      </c>
      <c r="B7" s="4" t="s">
        <v>38</v>
      </c>
      <c r="C7" s="9">
        <v>62903</v>
      </c>
      <c r="D7" s="9">
        <v>62903</v>
      </c>
      <c r="E7" s="9">
        <v>62903</v>
      </c>
      <c r="F7" s="4"/>
    </row>
    <row r="8" spans="1:6" ht="15">
      <c r="A8" s="4"/>
      <c r="B8" s="4" t="s">
        <v>39</v>
      </c>
      <c r="C8" s="9">
        <v>4192</v>
      </c>
      <c r="D8" s="9">
        <v>8384</v>
      </c>
      <c r="E8" s="9">
        <v>12576</v>
      </c>
      <c r="F8" s="4"/>
    </row>
    <row r="9" spans="1:6" ht="15">
      <c r="A9" s="4"/>
      <c r="B9" s="4" t="s">
        <v>40</v>
      </c>
      <c r="C9" s="9">
        <v>58711</v>
      </c>
      <c r="D9" s="9">
        <v>54519</v>
      </c>
      <c r="E9" s="9">
        <v>50327</v>
      </c>
      <c r="F9" s="4"/>
    </row>
    <row r="10" spans="1:6" ht="15">
      <c r="A10" s="4"/>
      <c r="B10" s="4"/>
      <c r="C10" s="9"/>
      <c r="D10" s="9"/>
      <c r="E10" s="9"/>
      <c r="F10" s="4"/>
    </row>
    <row r="11" spans="1:6" ht="15">
      <c r="A11" s="4"/>
      <c r="B11" s="4" t="s">
        <v>41</v>
      </c>
      <c r="C11" s="9">
        <v>493486</v>
      </c>
      <c r="D11" s="9">
        <v>598329</v>
      </c>
      <c r="E11" s="9">
        <v>624152</v>
      </c>
      <c r="F11" s="4"/>
    </row>
    <row r="12" spans="1:6" ht="15">
      <c r="A12" s="4"/>
      <c r="B12" s="4"/>
      <c r="C12" s="9"/>
      <c r="D12" s="9"/>
      <c r="E12" s="9"/>
      <c r="F12" s="4"/>
    </row>
    <row r="13" spans="1:6" ht="15.75">
      <c r="A13" s="6" t="s">
        <v>42</v>
      </c>
      <c r="B13" s="6"/>
      <c r="C13" s="9"/>
      <c r="D13" s="9"/>
      <c r="E13" s="9"/>
      <c r="F13" s="4"/>
    </row>
    <row r="14" spans="1:6" ht="15.75">
      <c r="A14" s="6" t="s">
        <v>43</v>
      </c>
      <c r="B14" s="4" t="s">
        <v>44</v>
      </c>
      <c r="C14" s="9">
        <v>169856</v>
      </c>
      <c r="D14" s="9">
        <v>203742</v>
      </c>
      <c r="E14" s="9">
        <v>183592</v>
      </c>
      <c r="F14" s="4"/>
    </row>
    <row r="15" spans="1:6" ht="15">
      <c r="A15" s="4"/>
      <c r="B15" s="4" t="s">
        <v>45</v>
      </c>
      <c r="C15" s="9">
        <v>62903</v>
      </c>
      <c r="D15" s="9">
        <v>62903</v>
      </c>
      <c r="E15" s="9">
        <v>62903</v>
      </c>
      <c r="F15" s="9"/>
    </row>
    <row r="16" spans="1:6" ht="15">
      <c r="A16" s="4"/>
      <c r="B16" s="4" t="s">
        <v>46</v>
      </c>
      <c r="C16" s="9">
        <v>65182</v>
      </c>
      <c r="D16" s="9">
        <v>34035</v>
      </c>
      <c r="E16" s="9">
        <v>20002</v>
      </c>
      <c r="F16" s="4"/>
    </row>
    <row r="17" spans="1:6" ht="15">
      <c r="A17" s="4"/>
      <c r="B17" s="4" t="s">
        <v>47</v>
      </c>
      <c r="C17" s="9">
        <v>297941</v>
      </c>
      <c r="D17" s="9">
        <v>300680</v>
      </c>
      <c r="E17" s="9">
        <v>266497</v>
      </c>
      <c r="F17" s="4"/>
    </row>
    <row r="18" spans="1:6" ht="15.75">
      <c r="A18" s="6" t="s">
        <v>48</v>
      </c>
      <c r="B18" s="4" t="s">
        <v>49</v>
      </c>
      <c r="C18" s="9">
        <v>195545</v>
      </c>
      <c r="D18" s="9">
        <v>297649</v>
      </c>
      <c r="E18" s="9">
        <v>357655</v>
      </c>
      <c r="F18" s="4"/>
    </row>
    <row r="19" spans="1:6" ht="15">
      <c r="A19" s="4"/>
      <c r="B19" s="4"/>
      <c r="C19" s="9"/>
      <c r="D19" s="9"/>
      <c r="E19" s="9"/>
      <c r="F19" s="4"/>
    </row>
    <row r="20" spans="1:6" ht="15">
      <c r="A20" s="4"/>
      <c r="B20" s="4"/>
      <c r="C20" s="9"/>
      <c r="D20" s="9"/>
      <c r="E20" s="9"/>
      <c r="F20" s="4"/>
    </row>
    <row r="21" spans="1:6" ht="15">
      <c r="A21" s="4"/>
      <c r="B21" s="8" t="s">
        <v>50</v>
      </c>
      <c r="C21" s="9">
        <v>493486</v>
      </c>
      <c r="D21" s="9">
        <v>598329</v>
      </c>
      <c r="E21" s="9">
        <v>624152</v>
      </c>
      <c r="F21" s="4"/>
    </row>
    <row r="22" spans="1:6" ht="15">
      <c r="C22" s="4"/>
      <c r="D22" s="4"/>
      <c r="E22" s="4"/>
      <c r="F22" s="4"/>
    </row>
    <row r="23" spans="1:6" ht="15">
      <c r="C23" s="4"/>
      <c r="D23" s="4"/>
      <c r="E23" s="4"/>
      <c r="F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J2" sqref="J2"/>
    </sheetView>
  </sheetViews>
  <sheetFormatPr defaultRowHeight="14.25"/>
  <cols>
    <col min="1" max="1" width="40.59765625" bestFit="1" customWidth="1"/>
    <col min="2" max="4" width="14.86328125" bestFit="1" customWidth="1"/>
    <col min="5" max="5" width="2.265625" customWidth="1"/>
    <col min="6" max="6" width="15.265625" customWidth="1"/>
    <col min="7" max="7" width="13.1328125" bestFit="1" customWidth="1"/>
    <col min="9" max="9" width="17.265625" bestFit="1" customWidth="1"/>
    <col min="10" max="10" width="11.73046875" bestFit="1" customWidth="1"/>
  </cols>
  <sheetData>
    <row r="1" spans="1:10" ht="15">
      <c r="A1" s="1" t="s">
        <v>0</v>
      </c>
      <c r="B1" s="1"/>
      <c r="C1" s="1"/>
      <c r="F1" t="s">
        <v>54</v>
      </c>
    </row>
    <row r="2" spans="1:10" ht="15">
      <c r="A2" s="1" t="s">
        <v>1</v>
      </c>
      <c r="B2" s="1" t="s">
        <v>23</v>
      </c>
      <c r="C2" s="1" t="s">
        <v>24</v>
      </c>
      <c r="D2" s="1" t="s">
        <v>25</v>
      </c>
      <c r="F2" s="1" t="s">
        <v>52</v>
      </c>
      <c r="G2" s="1" t="s">
        <v>53</v>
      </c>
      <c r="I2" s="1" t="s">
        <v>75</v>
      </c>
      <c r="J2">
        <f>I6/G6</f>
        <v>623649.35480430839</v>
      </c>
    </row>
    <row r="3" spans="1:10" ht="15.75">
      <c r="A3" s="2" t="s">
        <v>2</v>
      </c>
      <c r="B3" s="15">
        <v>498541</v>
      </c>
      <c r="C3" s="15">
        <v>367450</v>
      </c>
      <c r="D3" s="15">
        <v>389864</v>
      </c>
      <c r="F3" s="10">
        <f>SUM(B3:D3)/SUM($B$3:$D$3)</f>
        <v>1</v>
      </c>
      <c r="G3" s="10">
        <f>D3/$D$3</f>
        <v>1</v>
      </c>
      <c r="I3">
        <f>$J$2*G3</f>
        <v>623649.35480430839</v>
      </c>
    </row>
    <row r="4" spans="1:10" ht="15">
      <c r="A4" s="1" t="s">
        <v>3</v>
      </c>
      <c r="B4" s="1"/>
      <c r="C4" s="1"/>
      <c r="D4" s="15"/>
      <c r="F4" s="10"/>
      <c r="G4" s="10"/>
    </row>
    <row r="5" spans="1:10" ht="15">
      <c r="A5" s="1" t="s">
        <v>51</v>
      </c>
      <c r="B5" s="15">
        <v>116081</v>
      </c>
      <c r="C5" s="15">
        <v>85919</v>
      </c>
      <c r="D5" s="15">
        <v>112969</v>
      </c>
      <c r="F5" s="10">
        <f t="shared" ref="F4:F24" si="0">SUM(B5:D5)/SUM($B$3:$D$3)</f>
        <v>0.25080045068897283</v>
      </c>
      <c r="G5" s="10">
        <f t="shared" ref="G4:G24" si="1">D5/$D$3</f>
        <v>0.28976514887242732</v>
      </c>
      <c r="I5" s="29">
        <v>121301.00367906074</v>
      </c>
    </row>
    <row r="6" spans="1:10" ht="15">
      <c r="A6" s="1" t="s">
        <v>5</v>
      </c>
      <c r="B6" s="15">
        <v>115372</v>
      </c>
      <c r="C6" s="15">
        <v>147970</v>
      </c>
      <c r="D6" s="15">
        <v>187540</v>
      </c>
      <c r="F6" s="10">
        <f t="shared" si="0"/>
        <v>0.3590239319029665</v>
      </c>
      <c r="G6" s="10">
        <f t="shared" si="1"/>
        <v>0.48103954199413129</v>
      </c>
      <c r="I6" s="28">
        <v>300000</v>
      </c>
    </row>
    <row r="7" spans="1:10" ht="15">
      <c r="A7" s="1" t="s">
        <v>6</v>
      </c>
      <c r="B7" s="15">
        <f>B5+B6</f>
        <v>231453</v>
      </c>
      <c r="C7" s="15">
        <f t="shared" ref="C7:D7" si="2">C5+C6</f>
        <v>233889</v>
      </c>
      <c r="D7" s="15">
        <f t="shared" si="2"/>
        <v>300509</v>
      </c>
      <c r="F7" s="10">
        <f t="shared" si="0"/>
        <v>0.60982438259193938</v>
      </c>
      <c r="G7" s="10">
        <f t="shared" si="1"/>
        <v>0.77080469086655856</v>
      </c>
      <c r="I7" s="30">
        <f>I5+I6</f>
        <v>421301.00367906073</v>
      </c>
    </row>
    <row r="8" spans="1:10" ht="15">
      <c r="A8" s="1" t="s">
        <v>7</v>
      </c>
      <c r="B8" s="15">
        <v>85919</v>
      </c>
      <c r="C8" s="15">
        <v>112969</v>
      </c>
      <c r="D8" s="15">
        <v>129125</v>
      </c>
      <c r="F8" s="10">
        <f t="shared" si="0"/>
        <v>0.26118700009157109</v>
      </c>
      <c r="G8" s="10">
        <f t="shared" si="1"/>
        <v>0.33120524080192065</v>
      </c>
      <c r="I8">
        <f t="shared" ref="I4:I24" si="3">$J$2*G8</f>
        <v>206555.93473392341</v>
      </c>
    </row>
    <row r="9" spans="1:10" ht="15">
      <c r="A9" s="3" t="s">
        <v>8</v>
      </c>
      <c r="B9" s="15">
        <f>B7-B8</f>
        <v>145534</v>
      </c>
      <c r="C9" s="15">
        <f t="shared" ref="C9:D9" si="4">C7-C8</f>
        <v>120920</v>
      </c>
      <c r="D9" s="15">
        <f t="shared" si="4"/>
        <v>171384</v>
      </c>
      <c r="F9" s="10">
        <f t="shared" si="0"/>
        <v>0.3486373825003683</v>
      </c>
      <c r="G9" s="10">
        <f t="shared" si="1"/>
        <v>0.43959945006463791</v>
      </c>
      <c r="I9" s="30">
        <f>I7-I8</f>
        <v>214745.06894513732</v>
      </c>
    </row>
    <row r="10" spans="1:10" ht="15">
      <c r="A10" s="1" t="s">
        <v>9</v>
      </c>
      <c r="B10" s="15">
        <f>B3-B9</f>
        <v>353007</v>
      </c>
      <c r="C10" s="15">
        <f t="shared" ref="C10:D10" si="5">C3-C9</f>
        <v>246530</v>
      </c>
      <c r="D10" s="15">
        <f t="shared" si="5"/>
        <v>218480</v>
      </c>
      <c r="F10" s="10">
        <f t="shared" si="0"/>
        <v>0.65136261749963176</v>
      </c>
      <c r="G10" s="10">
        <f t="shared" si="1"/>
        <v>0.56040054993536204</v>
      </c>
      <c r="I10" s="30">
        <f>I3-I9</f>
        <v>408904.28585917107</v>
      </c>
    </row>
    <row r="11" spans="1:10" ht="15">
      <c r="A11" s="1"/>
      <c r="B11" s="15"/>
      <c r="C11" s="15"/>
      <c r="D11" s="15"/>
      <c r="F11" s="10"/>
      <c r="G11" s="10"/>
    </row>
    <row r="12" spans="1:10" ht="15.75">
      <c r="A12" s="2" t="s">
        <v>10</v>
      </c>
      <c r="B12" s="15"/>
      <c r="C12" s="15"/>
      <c r="D12" s="15"/>
      <c r="F12" s="10"/>
      <c r="G12" s="10"/>
    </row>
    <row r="13" spans="1:10" ht="15">
      <c r="A13" s="3" t="s">
        <v>11</v>
      </c>
      <c r="B13" s="15">
        <v>6166</v>
      </c>
      <c r="C13" s="15">
        <v>5915</v>
      </c>
      <c r="D13" s="15">
        <v>6770</v>
      </c>
      <c r="F13" s="10">
        <f t="shared" si="0"/>
        <v>1.5010490860807975E-2</v>
      </c>
      <c r="G13" s="10">
        <f t="shared" si="1"/>
        <v>1.7365029856565368E-2</v>
      </c>
      <c r="I13">
        <f t="shared" si="3"/>
        <v>10829.689666204544</v>
      </c>
    </row>
    <row r="14" spans="1:10" ht="15">
      <c r="A14" s="3" t="s">
        <v>12</v>
      </c>
      <c r="B14" s="15">
        <v>8750</v>
      </c>
      <c r="C14" s="15">
        <v>9110</v>
      </c>
      <c r="D14" s="15">
        <v>9544</v>
      </c>
      <c r="F14" s="10">
        <f t="shared" si="0"/>
        <v>2.1820990480588921E-2</v>
      </c>
      <c r="G14" s="10">
        <f t="shared" si="1"/>
        <v>2.448033160281534E-2</v>
      </c>
      <c r="I14" s="29">
        <v>10247.92</v>
      </c>
    </row>
    <row r="15" spans="1:10" ht="15">
      <c r="A15" s="3" t="s">
        <v>13</v>
      </c>
      <c r="B15" s="15">
        <v>3906</v>
      </c>
      <c r="C15" s="15">
        <v>3754</v>
      </c>
      <c r="D15" s="15">
        <v>4010</v>
      </c>
      <c r="F15" s="10">
        <f t="shared" si="0"/>
        <v>9.2924740515425742E-3</v>
      </c>
      <c r="G15" s="10">
        <f t="shared" si="1"/>
        <v>1.028563806865984E-2</v>
      </c>
      <c r="I15">
        <f t="shared" si="3"/>
        <v>6414.631545270342</v>
      </c>
    </row>
    <row r="16" spans="1:10" ht="15">
      <c r="A16" s="3" t="s">
        <v>14</v>
      </c>
      <c r="B16" s="15">
        <v>2110</v>
      </c>
      <c r="C16" s="15">
        <v>2680</v>
      </c>
      <c r="D16" s="15">
        <v>3862</v>
      </c>
      <c r="F16" s="10">
        <f t="shared" si="0"/>
        <v>6.889330376516397E-3</v>
      </c>
      <c r="G16" s="10">
        <f t="shared" si="1"/>
        <v>9.9060185090185295E-3</v>
      </c>
      <c r="I16">
        <f t="shared" si="3"/>
        <v>6177.8820518289431</v>
      </c>
    </row>
    <row r="17" spans="1:9" ht="15">
      <c r="A17" s="3" t="s">
        <v>15</v>
      </c>
      <c r="B17" s="15">
        <v>62378</v>
      </c>
      <c r="C17" s="15">
        <v>72924</v>
      </c>
      <c r="D17" s="15">
        <v>94347</v>
      </c>
      <c r="F17" s="10">
        <f t="shared" si="0"/>
        <v>0.18286267124787495</v>
      </c>
      <c r="G17" s="10">
        <f t="shared" si="1"/>
        <v>0.24199977428026184</v>
      </c>
      <c r="I17">
        <f t="shared" si="3"/>
        <v>150923.00309267355</v>
      </c>
    </row>
    <row r="18" spans="1:9" ht="15">
      <c r="A18" s="3" t="s">
        <v>16</v>
      </c>
      <c r="B18" s="15">
        <v>3708</v>
      </c>
      <c r="C18" s="15">
        <v>5507</v>
      </c>
      <c r="D18" s="15">
        <v>7014</v>
      </c>
      <c r="F18" s="10">
        <f t="shared" si="0"/>
        <v>1.2922670212723603E-2</v>
      </c>
      <c r="G18" s="10">
        <f t="shared" si="1"/>
        <v>1.7990889130568608E-2</v>
      </c>
      <c r="I18">
        <f t="shared" si="3"/>
        <v>11220.006398634956</v>
      </c>
    </row>
    <row r="19" spans="1:9" ht="15">
      <c r="A19" s="3" t="s">
        <v>17</v>
      </c>
      <c r="B19" s="15">
        <v>1070</v>
      </c>
      <c r="C19" s="15">
        <v>6310</v>
      </c>
      <c r="D19" s="15">
        <v>8733</v>
      </c>
      <c r="F19" s="10">
        <f t="shared" si="0"/>
        <v>1.2830302861397216E-2</v>
      </c>
      <c r="G19" s="10">
        <f t="shared" si="1"/>
        <v>2.2400119015861943E-2</v>
      </c>
      <c r="I19">
        <f t="shared" si="3"/>
        <v>13969.81977178202</v>
      </c>
    </row>
    <row r="20" spans="1:9" ht="15">
      <c r="A20" s="3" t="s">
        <v>18</v>
      </c>
      <c r="B20" s="15">
        <v>4192</v>
      </c>
      <c r="C20" s="15">
        <v>4192</v>
      </c>
      <c r="D20" s="15">
        <v>4192</v>
      </c>
      <c r="F20" s="10">
        <f t="shared" si="0"/>
        <v>1.0013894916212461E-2</v>
      </c>
      <c r="G20" s="10">
        <f t="shared" si="1"/>
        <v>1.0752467527137669E-2</v>
      </c>
      <c r="I20">
        <f t="shared" si="3"/>
        <v>6705.7694358536846</v>
      </c>
    </row>
    <row r="21" spans="1:9" ht="15">
      <c r="A21" s="1" t="s">
        <v>19</v>
      </c>
      <c r="B21" s="15">
        <f>SUM(B13:B20)</f>
        <v>92280</v>
      </c>
      <c r="C21" s="15">
        <f t="shared" ref="C21:D21" si="6">SUM(C13:C20)</f>
        <v>110392</v>
      </c>
      <c r="D21" s="15">
        <f t="shared" si="6"/>
        <v>138472</v>
      </c>
      <c r="F21" s="10">
        <f t="shared" si="0"/>
        <v>0.27164282500766412</v>
      </c>
      <c r="G21" s="10">
        <f t="shared" si="1"/>
        <v>0.35518026799088914</v>
      </c>
      <c r="I21">
        <f>SUM(I13:I20)</f>
        <v>216488.72196224806</v>
      </c>
    </row>
    <row r="22" spans="1:9" ht="15">
      <c r="A22" s="1" t="s">
        <v>20</v>
      </c>
      <c r="B22" s="15">
        <f>B10-B21</f>
        <v>260727</v>
      </c>
      <c r="C22" s="15">
        <f t="shared" ref="C22:D22" si="7">C10-C21</f>
        <v>136138</v>
      </c>
      <c r="D22" s="15">
        <f t="shared" si="7"/>
        <v>80008</v>
      </c>
      <c r="F22" s="10">
        <f t="shared" si="0"/>
        <v>0.37971979249196763</v>
      </c>
      <c r="G22" s="10">
        <f t="shared" si="1"/>
        <v>0.20522028194447295</v>
      </c>
      <c r="I22">
        <f>I10-I21</f>
        <v>192415.56389692301</v>
      </c>
    </row>
    <row r="23" spans="1:9" ht="15">
      <c r="A23" s="1" t="s">
        <v>21</v>
      </c>
      <c r="B23" s="15">
        <f>B22*0.25</f>
        <v>65181.75</v>
      </c>
      <c r="C23" s="15">
        <f t="shared" ref="C23:D23" si="8">C22*0.25</f>
        <v>34034.5</v>
      </c>
      <c r="D23" s="15">
        <f t="shared" si="8"/>
        <v>20002</v>
      </c>
      <c r="F23" s="10">
        <f t="shared" si="0"/>
        <v>9.4929948122991908E-2</v>
      </c>
      <c r="G23" s="10">
        <f t="shared" si="1"/>
        <v>5.1305070486118237E-2</v>
      </c>
      <c r="I23">
        <f>IF(I22&gt;0, I22*0.36, 0)</f>
        <v>69269.603002892283</v>
      </c>
    </row>
    <row r="24" spans="1:9" ht="15">
      <c r="A24" s="1" t="s">
        <v>22</v>
      </c>
      <c r="B24" s="15">
        <f>B22-B23</f>
        <v>195545.25</v>
      </c>
      <c r="C24" s="15">
        <f t="shared" ref="C24:D24" si="9">C22-C23</f>
        <v>102103.5</v>
      </c>
      <c r="D24" s="15">
        <f t="shared" si="9"/>
        <v>60006</v>
      </c>
      <c r="F24" s="10">
        <f t="shared" si="0"/>
        <v>0.2847898443689757</v>
      </c>
      <c r="G24" s="10">
        <f t="shared" si="1"/>
        <v>0.15391521145835471</v>
      </c>
      <c r="I24">
        <f>I22-I23</f>
        <v>123145.96089403072</v>
      </c>
    </row>
    <row r="25" spans="1:9" ht="15">
      <c r="A25" s="1"/>
      <c r="B25" s="15"/>
      <c r="C25" s="15"/>
      <c r="D25" s="15"/>
    </row>
    <row r="26" spans="1:9" ht="15">
      <c r="B26" s="15"/>
      <c r="C26" s="15"/>
      <c r="D26" s="16"/>
    </row>
    <row r="27" spans="1:9" ht="15">
      <c r="B27" s="15"/>
      <c r="C27" s="15"/>
      <c r="D27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>
      <pane xSplit="1" topLeftCell="B1" activePane="topRight" state="frozen"/>
      <selection pane="topRight" activeCell="K1" sqref="K1"/>
    </sheetView>
  </sheetViews>
  <sheetFormatPr defaultRowHeight="14.25"/>
  <cols>
    <col min="1" max="1" width="40.59765625" bestFit="1" customWidth="1"/>
    <col min="2" max="4" width="14.86328125" bestFit="1" customWidth="1"/>
    <col min="5" max="5" width="2.265625" customWidth="1"/>
    <col min="6" max="6" width="15.265625" customWidth="1"/>
    <col min="7" max="7" width="13.1328125" bestFit="1" customWidth="1"/>
    <col min="9" max="9" width="17.265625" bestFit="1" customWidth="1"/>
    <col min="10" max="10" width="12.265625" bestFit="1" customWidth="1"/>
    <col min="11" max="11" width="14" bestFit="1" customWidth="1"/>
  </cols>
  <sheetData>
    <row r="1" spans="1:11" ht="15">
      <c r="A1" s="1" t="s">
        <v>0</v>
      </c>
      <c r="B1" s="1"/>
      <c r="C1" s="1"/>
      <c r="F1" t="s">
        <v>54</v>
      </c>
      <c r="I1" s="18" t="s">
        <v>55</v>
      </c>
      <c r="J1" s="20">
        <v>418618</v>
      </c>
      <c r="K1">
        <f>J1/D3-1</f>
        <v>7.3753924445447705E-2</v>
      </c>
    </row>
    <row r="2" spans="1:11" ht="15">
      <c r="A2" s="1" t="s">
        <v>1</v>
      </c>
      <c r="B2" s="1" t="s">
        <v>23</v>
      </c>
      <c r="C2" s="1" t="s">
        <v>24</v>
      </c>
      <c r="D2" s="1" t="s">
        <v>25</v>
      </c>
      <c r="F2" s="1" t="s">
        <v>52</v>
      </c>
      <c r="G2" s="1" t="s">
        <v>53</v>
      </c>
      <c r="I2" s="19">
        <v>2012</v>
      </c>
    </row>
    <row r="3" spans="1:11" ht="15.75">
      <c r="A3" s="2" t="s">
        <v>2</v>
      </c>
      <c r="B3" s="15">
        <v>498541</v>
      </c>
      <c r="C3" s="15">
        <v>367450</v>
      </c>
      <c r="D3" s="15">
        <v>389864</v>
      </c>
      <c r="F3" s="10">
        <f t="shared" ref="F3" si="0">(SUM(B3:D3)/3)/(SUM($B$3:$D$3)/3)</f>
        <v>1</v>
      </c>
      <c r="G3" s="10">
        <f t="shared" ref="G3" si="1">D3/$D$3</f>
        <v>1</v>
      </c>
      <c r="I3" s="17">
        <f>AVERAGE(B3:D3)</f>
        <v>418618.33333333331</v>
      </c>
    </row>
    <row r="4" spans="1:11" ht="15">
      <c r="A4" s="1" t="s">
        <v>3</v>
      </c>
      <c r="B4" s="1"/>
      <c r="C4" s="1"/>
      <c r="D4" s="15"/>
      <c r="F4" s="10"/>
      <c r="G4" s="10"/>
      <c r="I4" s="17"/>
    </row>
    <row r="5" spans="1:11" ht="15">
      <c r="A5" s="1" t="s">
        <v>51</v>
      </c>
      <c r="B5" s="15">
        <v>116081</v>
      </c>
      <c r="C5" s="15">
        <v>85919</v>
      </c>
      <c r="D5" s="15">
        <v>112969</v>
      </c>
      <c r="F5" s="10">
        <f>(SUM(B5:D5)/3)/(SUM($B$3:$D$3)/3)</f>
        <v>0.25080045068897289</v>
      </c>
      <c r="G5" s="10">
        <f>D5/$D$3</f>
        <v>0.28976514887242732</v>
      </c>
      <c r="I5" s="17">
        <f t="shared" ref="I5:I24" si="2">$J$1*G5</f>
        <v>121300.90709067778</v>
      </c>
    </row>
    <row r="6" spans="1:11" ht="15">
      <c r="A6" s="1" t="s">
        <v>5</v>
      </c>
      <c r="B6" s="15">
        <v>115372</v>
      </c>
      <c r="C6" s="15">
        <v>147970</v>
      </c>
      <c r="D6" s="15">
        <v>187540</v>
      </c>
      <c r="F6" s="10">
        <f>(SUM(B6:D6)/3)/(SUM($B$3:$D$3)/3)</f>
        <v>0.3590239319029665</v>
      </c>
      <c r="G6" s="10">
        <f t="shared" ref="G6:G24" si="3">D6/$D$3</f>
        <v>0.48103954199413129</v>
      </c>
      <c r="I6" s="17">
        <f t="shared" si="2"/>
        <v>201371.81099049925</v>
      </c>
    </row>
    <row r="7" spans="1:11" ht="15">
      <c r="A7" s="1" t="s">
        <v>6</v>
      </c>
      <c r="B7" s="15">
        <f>B5+B6</f>
        <v>231453</v>
      </c>
      <c r="C7" s="15">
        <f t="shared" ref="C7:D7" si="4">C5+C6</f>
        <v>233889</v>
      </c>
      <c r="D7" s="15">
        <f t="shared" si="4"/>
        <v>300509</v>
      </c>
      <c r="F7" s="10">
        <f t="shared" ref="F7:F24" si="5">SUM(B7:D7)/SUM($B$3:$D$3)</f>
        <v>0.60982438259193938</v>
      </c>
      <c r="G7" s="10">
        <f t="shared" si="3"/>
        <v>0.77080469086655856</v>
      </c>
      <c r="I7" s="17">
        <f t="shared" si="2"/>
        <v>322672.71808117704</v>
      </c>
    </row>
    <row r="8" spans="1:11" ht="15">
      <c r="A8" s="1" t="s">
        <v>7</v>
      </c>
      <c r="B8" s="15">
        <v>85919</v>
      </c>
      <c r="C8" s="15">
        <v>112969</v>
      </c>
      <c r="D8" s="15">
        <v>129125</v>
      </c>
      <c r="F8" s="10">
        <f t="shared" si="5"/>
        <v>0.26118700009157109</v>
      </c>
      <c r="G8" s="10">
        <f t="shared" si="3"/>
        <v>0.33120524080192065</v>
      </c>
      <c r="I8" s="17">
        <f t="shared" si="2"/>
        <v>138648.47549401841</v>
      </c>
    </row>
    <row r="9" spans="1:11" ht="15">
      <c r="A9" s="3" t="s">
        <v>8</v>
      </c>
      <c r="B9" s="15">
        <f>B7-B8</f>
        <v>145534</v>
      </c>
      <c r="C9" s="15">
        <f t="shared" ref="C9:D9" si="6">C7-C8</f>
        <v>120920</v>
      </c>
      <c r="D9" s="15">
        <f t="shared" si="6"/>
        <v>171384</v>
      </c>
      <c r="F9" s="10">
        <f t="shared" si="5"/>
        <v>0.3486373825003683</v>
      </c>
      <c r="G9" s="10">
        <f t="shared" si="3"/>
        <v>0.43959945006463791</v>
      </c>
      <c r="I9" s="17">
        <f t="shared" si="2"/>
        <v>184024.2425871586</v>
      </c>
    </row>
    <row r="10" spans="1:11" ht="15">
      <c r="A10" s="1" t="s">
        <v>9</v>
      </c>
      <c r="B10" s="15">
        <f>B3-B9</f>
        <v>353007</v>
      </c>
      <c r="C10" s="15">
        <f t="shared" ref="C10:D10" si="7">C3-C9</f>
        <v>246530</v>
      </c>
      <c r="D10" s="15">
        <f t="shared" si="7"/>
        <v>218480</v>
      </c>
      <c r="F10" s="10">
        <f t="shared" si="5"/>
        <v>0.65136261749963176</v>
      </c>
      <c r="G10" s="10">
        <f t="shared" si="3"/>
        <v>0.56040054993536204</v>
      </c>
      <c r="I10" s="17">
        <f t="shared" si="2"/>
        <v>234593.7574128414</v>
      </c>
    </row>
    <row r="11" spans="1:11" ht="15">
      <c r="A11" s="1"/>
      <c r="B11" s="15"/>
      <c r="C11" s="15"/>
      <c r="D11" s="15"/>
      <c r="F11" s="10"/>
      <c r="G11" s="10"/>
      <c r="I11" s="17"/>
    </row>
    <row r="12" spans="1:11" ht="15.75">
      <c r="A12" s="2" t="s">
        <v>10</v>
      </c>
      <c r="B12" s="15"/>
      <c r="C12" s="15"/>
      <c r="D12" s="15"/>
      <c r="F12" s="10"/>
      <c r="G12" s="10"/>
      <c r="I12" s="17"/>
    </row>
    <row r="13" spans="1:11" ht="15">
      <c r="A13" s="3" t="s">
        <v>11</v>
      </c>
      <c r="B13" s="15">
        <v>6166</v>
      </c>
      <c r="C13" s="15">
        <v>5915</v>
      </c>
      <c r="D13" s="15">
        <v>6770</v>
      </c>
      <c r="F13" s="10">
        <f t="shared" si="5"/>
        <v>1.5010490860807975E-2</v>
      </c>
      <c r="G13" s="10">
        <f t="shared" si="3"/>
        <v>1.7365029856565368E-2</v>
      </c>
      <c r="I13" s="17">
        <f t="shared" si="2"/>
        <v>7269.3140684956816</v>
      </c>
    </row>
    <row r="14" spans="1:11" ht="15">
      <c r="A14" s="3" t="s">
        <v>12</v>
      </c>
      <c r="B14" s="15">
        <v>8750</v>
      </c>
      <c r="C14" s="15">
        <v>9110</v>
      </c>
      <c r="D14" s="15">
        <v>9544</v>
      </c>
      <c r="F14" s="10">
        <f t="shared" si="5"/>
        <v>2.1820990480588921E-2</v>
      </c>
      <c r="G14" s="10">
        <f t="shared" si="3"/>
        <v>2.448033160281534E-2</v>
      </c>
      <c r="I14" s="17">
        <f t="shared" si="2"/>
        <v>10247.907454907352</v>
      </c>
    </row>
    <row r="15" spans="1:11" ht="15">
      <c r="A15" s="3" t="s">
        <v>13</v>
      </c>
      <c r="B15" s="15">
        <v>3906</v>
      </c>
      <c r="C15" s="15">
        <v>3754</v>
      </c>
      <c r="D15" s="15">
        <v>4010</v>
      </c>
      <c r="F15" s="10">
        <f t="shared" si="5"/>
        <v>9.2924740515425742E-3</v>
      </c>
      <c r="G15" s="10">
        <f t="shared" si="3"/>
        <v>1.028563806865984E-2</v>
      </c>
      <c r="I15" s="17">
        <f t="shared" si="2"/>
        <v>4305.7532370262452</v>
      </c>
    </row>
    <row r="16" spans="1:11" ht="15">
      <c r="A16" s="3" t="s">
        <v>14</v>
      </c>
      <c r="B16" s="15">
        <v>2110</v>
      </c>
      <c r="C16" s="15">
        <v>2680</v>
      </c>
      <c r="D16" s="15">
        <v>3862</v>
      </c>
      <c r="F16" s="10">
        <f t="shared" si="5"/>
        <v>6.889330376516397E-3</v>
      </c>
      <c r="G16" s="10">
        <f t="shared" si="3"/>
        <v>9.9060185090185295E-3</v>
      </c>
      <c r="I16" s="17">
        <f t="shared" si="2"/>
        <v>4146.8376562083185</v>
      </c>
    </row>
    <row r="17" spans="1:9" ht="15">
      <c r="A17" s="3" t="s">
        <v>15</v>
      </c>
      <c r="B17" s="15">
        <v>62378</v>
      </c>
      <c r="C17" s="15">
        <v>72924</v>
      </c>
      <c r="D17" s="15">
        <v>94347</v>
      </c>
      <c r="F17" s="10">
        <f t="shared" si="5"/>
        <v>0.18286267124787495</v>
      </c>
      <c r="G17" s="10">
        <f t="shared" si="3"/>
        <v>0.24199977428026184</v>
      </c>
      <c r="I17" s="17">
        <f t="shared" si="2"/>
        <v>101305.46150965465</v>
      </c>
    </row>
    <row r="18" spans="1:9" ht="15">
      <c r="A18" s="3" t="s">
        <v>16</v>
      </c>
      <c r="B18" s="15">
        <v>3708</v>
      </c>
      <c r="C18" s="15">
        <v>5507</v>
      </c>
      <c r="D18" s="15">
        <v>7014</v>
      </c>
      <c r="F18" s="10">
        <f t="shared" si="5"/>
        <v>1.2922670212723603E-2</v>
      </c>
      <c r="G18" s="10">
        <f t="shared" si="3"/>
        <v>1.7990889130568608E-2</v>
      </c>
      <c r="I18" s="17">
        <f t="shared" si="2"/>
        <v>7531.3100260603696</v>
      </c>
    </row>
    <row r="19" spans="1:9" ht="15">
      <c r="A19" s="3" t="s">
        <v>17</v>
      </c>
      <c r="B19" s="15">
        <v>1070</v>
      </c>
      <c r="C19" s="15">
        <v>6310</v>
      </c>
      <c r="D19" s="15">
        <v>8733</v>
      </c>
      <c r="F19" s="10">
        <f t="shared" si="5"/>
        <v>1.2830302861397216E-2</v>
      </c>
      <c r="G19" s="10">
        <f t="shared" si="3"/>
        <v>2.2400119015861943E-2</v>
      </c>
      <c r="I19" s="17">
        <f t="shared" si="2"/>
        <v>9377.0930221820945</v>
      </c>
    </row>
    <row r="20" spans="1:9" ht="15">
      <c r="A20" s="3" t="s">
        <v>18</v>
      </c>
      <c r="B20" s="15">
        <v>4192</v>
      </c>
      <c r="C20" s="15">
        <v>4192</v>
      </c>
      <c r="D20" s="15">
        <v>4192</v>
      </c>
      <c r="F20" s="10">
        <f t="shared" si="5"/>
        <v>1.0013894916212461E-2</v>
      </c>
      <c r="G20" s="10">
        <f t="shared" si="3"/>
        <v>1.0752467527137669E-2</v>
      </c>
      <c r="I20" s="17">
        <f t="shared" si="2"/>
        <v>4501.1764512753161</v>
      </c>
    </row>
    <row r="21" spans="1:9" ht="15">
      <c r="A21" s="1" t="s">
        <v>19</v>
      </c>
      <c r="B21" s="15">
        <f>SUM(B13:B20)</f>
        <v>92280</v>
      </c>
      <c r="C21" s="15">
        <f t="shared" ref="C21:D21" si="8">SUM(C13:C20)</f>
        <v>110392</v>
      </c>
      <c r="D21" s="15">
        <f t="shared" si="8"/>
        <v>138472</v>
      </c>
      <c r="F21" s="10">
        <f t="shared" si="5"/>
        <v>0.27164282500766412</v>
      </c>
      <c r="G21" s="10">
        <f t="shared" si="3"/>
        <v>0.35518026799088914</v>
      </c>
      <c r="I21" s="17">
        <f t="shared" si="2"/>
        <v>148684.85342581003</v>
      </c>
    </row>
    <row r="22" spans="1:9" ht="15">
      <c r="A22" s="1" t="s">
        <v>20</v>
      </c>
      <c r="B22" s="15">
        <f>B10-B21</f>
        <v>260727</v>
      </c>
      <c r="C22" s="15">
        <f t="shared" ref="C22:D22" si="9">C10-C21</f>
        <v>136138</v>
      </c>
      <c r="D22" s="15">
        <f t="shared" si="9"/>
        <v>80008</v>
      </c>
      <c r="F22" s="10">
        <f t="shared" si="5"/>
        <v>0.37971979249196763</v>
      </c>
      <c r="G22" s="10">
        <f t="shared" si="3"/>
        <v>0.20522028194447295</v>
      </c>
      <c r="I22" s="17">
        <f t="shared" si="2"/>
        <v>85908.903987031372</v>
      </c>
    </row>
    <row r="23" spans="1:9" ht="15">
      <c r="A23" s="1" t="s">
        <v>21</v>
      </c>
      <c r="B23" s="15">
        <f>B22*0.25</f>
        <v>65181.75</v>
      </c>
      <c r="C23" s="15">
        <f t="shared" ref="C23:D23" si="10">C22*0.25</f>
        <v>34034.5</v>
      </c>
      <c r="D23" s="15">
        <f t="shared" si="10"/>
        <v>20002</v>
      </c>
      <c r="F23" s="10">
        <f t="shared" si="5"/>
        <v>9.4929948122991908E-2</v>
      </c>
      <c r="G23" s="10">
        <f t="shared" si="3"/>
        <v>5.1305070486118237E-2</v>
      </c>
      <c r="I23" s="17">
        <f t="shared" si="2"/>
        <v>21477.225996757843</v>
      </c>
    </row>
    <row r="24" spans="1:9" ht="15">
      <c r="A24" s="1" t="s">
        <v>22</v>
      </c>
      <c r="B24" s="15">
        <f>B22-B23</f>
        <v>195545.25</v>
      </c>
      <c r="C24" s="15">
        <f t="shared" ref="C24:D24" si="11">C22-C23</f>
        <v>102103.5</v>
      </c>
      <c r="D24" s="15">
        <f t="shared" si="11"/>
        <v>60006</v>
      </c>
      <c r="F24" s="10">
        <f t="shared" si="5"/>
        <v>0.2847898443689757</v>
      </c>
      <c r="G24" s="10">
        <f t="shared" si="3"/>
        <v>0.15391521145835471</v>
      </c>
      <c r="I24" s="17">
        <f t="shared" si="2"/>
        <v>64431.677990273536</v>
      </c>
    </row>
    <row r="25" spans="1:9" ht="15">
      <c r="A25" s="1"/>
      <c r="B25" s="15"/>
      <c r="C25" s="15"/>
      <c r="D25" s="15"/>
    </row>
    <row r="26" spans="1:9" ht="15">
      <c r="B26" s="15"/>
      <c r="C26" s="15"/>
      <c r="D26" s="16"/>
    </row>
    <row r="27" spans="1:9" ht="15">
      <c r="B27" s="15"/>
      <c r="C27" s="15"/>
      <c r="D2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workbookViewId="0">
      <pane xSplit="1" topLeftCell="F1" activePane="topRight" state="frozen"/>
      <selection pane="topRight" activeCell="I8" sqref="I8"/>
    </sheetView>
  </sheetViews>
  <sheetFormatPr defaultRowHeight="14.25"/>
  <cols>
    <col min="1" max="1" width="40.59765625" bestFit="1" customWidth="1"/>
    <col min="2" max="2" width="18.86328125" bestFit="1" customWidth="1"/>
    <col min="3" max="3" width="18.1328125" bestFit="1" customWidth="1"/>
    <col min="4" max="4" width="15" bestFit="1" customWidth="1"/>
    <col min="5" max="5" width="2.265625" customWidth="1"/>
    <col min="6" max="6" width="15.265625" customWidth="1"/>
    <col min="7" max="7" width="13.1328125" bestFit="1" customWidth="1"/>
    <col min="9" max="9" width="17.265625" bestFit="1" customWidth="1"/>
    <col min="10" max="10" width="12.265625" bestFit="1" customWidth="1"/>
    <col min="15" max="15" width="11.265625" bestFit="1" customWidth="1"/>
  </cols>
  <sheetData>
    <row r="1" spans="1:12" ht="15">
      <c r="A1" s="1" t="s">
        <v>0</v>
      </c>
      <c r="B1" s="1"/>
      <c r="C1" s="1"/>
      <c r="F1" t="s">
        <v>54</v>
      </c>
      <c r="I1" s="18" t="s">
        <v>55</v>
      </c>
      <c r="J1" s="20">
        <f>I6/G6</f>
        <v>205847.94254025808</v>
      </c>
      <c r="L1" t="s">
        <v>57</v>
      </c>
    </row>
    <row r="2" spans="1:12" ht="15">
      <c r="A2" s="1" t="s">
        <v>1</v>
      </c>
      <c r="B2" s="1" t="s">
        <v>23</v>
      </c>
      <c r="C2" s="1" t="s">
        <v>24</v>
      </c>
      <c r="D2" s="1" t="s">
        <v>25</v>
      </c>
      <c r="F2" s="1" t="s">
        <v>52</v>
      </c>
      <c r="G2" s="1" t="s">
        <v>53</v>
      </c>
      <c r="I2" s="19">
        <v>2012</v>
      </c>
    </row>
    <row r="3" spans="1:12" ht="15.75">
      <c r="A3" s="2" t="s">
        <v>2</v>
      </c>
      <c r="B3" s="15">
        <v>498541</v>
      </c>
      <c r="C3" s="15">
        <v>367450</v>
      </c>
      <c r="D3" s="15">
        <v>389864</v>
      </c>
      <c r="F3" s="10">
        <f t="shared" ref="F3" si="0">(SUM(B3:D3)/3)/(SUM($B$3:$D$3)/3)</f>
        <v>1</v>
      </c>
      <c r="G3" s="10">
        <f t="shared" ref="G3" si="1">D3/$D$3</f>
        <v>1</v>
      </c>
      <c r="I3" s="17">
        <f>$J$1*G3</f>
        <v>205847.94254025808</v>
      </c>
    </row>
    <row r="4" spans="1:12" ht="15">
      <c r="A4" s="1" t="s">
        <v>3</v>
      </c>
      <c r="B4" s="1"/>
      <c r="C4" s="1"/>
      <c r="D4" s="15"/>
      <c r="F4" s="10"/>
      <c r="G4" s="10"/>
      <c r="I4" s="17"/>
    </row>
    <row r="5" spans="1:12" ht="15">
      <c r="A5" s="1" t="s">
        <v>51</v>
      </c>
      <c r="B5" s="15">
        <v>116081</v>
      </c>
      <c r="C5" s="15">
        <v>85919</v>
      </c>
      <c r="D5" s="15">
        <v>112969</v>
      </c>
      <c r="F5" s="10">
        <f>(SUM(B5:D5)/3)/(SUM($B$3:$D$3)/3)</f>
        <v>0.25080045068897289</v>
      </c>
      <c r="G5" s="10">
        <f>D5/$D$3</f>
        <v>0.28976514887242732</v>
      </c>
      <c r="I5" s="22">
        <v>121301</v>
      </c>
    </row>
    <row r="6" spans="1:12" ht="15">
      <c r="A6" s="1" t="s">
        <v>5</v>
      </c>
      <c r="B6" s="15">
        <v>115372</v>
      </c>
      <c r="C6" s="15">
        <v>147970</v>
      </c>
      <c r="D6" s="15">
        <v>187540</v>
      </c>
      <c r="F6" s="10">
        <f>(SUM(B6:D6)/3)/(SUM($B$3:$D$3)/3)</f>
        <v>0.3590239319029665</v>
      </c>
      <c r="G6" s="26">
        <f t="shared" ref="G6:G24" si="2">D6/$D$3</f>
        <v>0.48103954199413129</v>
      </c>
      <c r="I6" s="21">
        <v>99021</v>
      </c>
      <c r="L6" t="s">
        <v>56</v>
      </c>
    </row>
    <row r="7" spans="1:12" ht="15">
      <c r="A7" s="1" t="s">
        <v>6</v>
      </c>
      <c r="B7" s="15">
        <f>B5+B6</f>
        <v>231453</v>
      </c>
      <c r="C7" s="15">
        <f t="shared" ref="C7:D7" si="3">C5+C6</f>
        <v>233889</v>
      </c>
      <c r="D7" s="15">
        <f t="shared" si="3"/>
        <v>300509</v>
      </c>
      <c r="F7" s="10">
        <f t="shared" ref="F7:F24" si="4">SUM(B7:D7)/SUM($B$3:$D$3)</f>
        <v>0.60982438259193938</v>
      </c>
      <c r="G7" s="10">
        <f t="shared" si="2"/>
        <v>0.77080469086655856</v>
      </c>
      <c r="I7" s="23">
        <f>I5+I6</f>
        <v>220322</v>
      </c>
    </row>
    <row r="8" spans="1:12" ht="15">
      <c r="A8" s="1" t="s">
        <v>7</v>
      </c>
      <c r="B8" s="15">
        <v>85919</v>
      </c>
      <c r="C8" s="15">
        <v>112969</v>
      </c>
      <c r="D8" s="15">
        <v>129125</v>
      </c>
      <c r="F8" s="10">
        <f t="shared" si="4"/>
        <v>0.26118700009157109</v>
      </c>
      <c r="G8" s="26">
        <f t="shared" si="2"/>
        <v>0.33120524080192065</v>
      </c>
      <c r="I8" s="17">
        <f t="shared" ref="I8:I20" si="5">$J$1*G8</f>
        <v>68177.917377626101</v>
      </c>
    </row>
    <row r="9" spans="1:12" ht="15">
      <c r="A9" s="3" t="s">
        <v>8</v>
      </c>
      <c r="B9" s="15">
        <f>B7-B8</f>
        <v>145534</v>
      </c>
      <c r="C9" s="15">
        <f t="shared" ref="C9:D9" si="6">C7-C8</f>
        <v>120920</v>
      </c>
      <c r="D9" s="15">
        <f t="shared" si="6"/>
        <v>171384</v>
      </c>
      <c r="F9" s="10">
        <f t="shared" si="4"/>
        <v>0.3486373825003683</v>
      </c>
      <c r="G9" s="10">
        <f t="shared" si="2"/>
        <v>0.43959945006463791</v>
      </c>
      <c r="I9" s="23">
        <f>I7-I8</f>
        <v>152144.08262237388</v>
      </c>
      <c r="L9" t="s">
        <v>60</v>
      </c>
    </row>
    <row r="10" spans="1:12" ht="15">
      <c r="A10" s="1" t="s">
        <v>9</v>
      </c>
      <c r="B10" s="15">
        <f>B3-B9</f>
        <v>353007</v>
      </c>
      <c r="C10" s="15">
        <f t="shared" ref="C10:D10" si="7">C3-C9</f>
        <v>246530</v>
      </c>
      <c r="D10" s="15">
        <f t="shared" si="7"/>
        <v>218480</v>
      </c>
      <c r="F10" s="10">
        <f t="shared" si="4"/>
        <v>0.65136261749963176</v>
      </c>
      <c r="G10" s="10">
        <f t="shared" si="2"/>
        <v>0.56040054993536204</v>
      </c>
      <c r="I10" s="23">
        <f>'Impact Analysis'!I3-'Impact Analysis'!I9</f>
        <v>53703.859917884198</v>
      </c>
    </row>
    <row r="11" spans="1:12" ht="15">
      <c r="A11" s="1"/>
      <c r="B11" s="15"/>
      <c r="C11" s="15"/>
      <c r="D11" s="15"/>
      <c r="F11" s="10"/>
      <c r="G11" s="10"/>
      <c r="I11" s="17"/>
    </row>
    <row r="12" spans="1:12" ht="15.75">
      <c r="A12" s="2" t="s">
        <v>10</v>
      </c>
      <c r="B12" s="15"/>
      <c r="C12" s="15"/>
      <c r="D12" s="15"/>
      <c r="F12" s="10"/>
      <c r="G12" s="10"/>
      <c r="I12" s="17"/>
    </row>
    <row r="13" spans="1:12" ht="15">
      <c r="A13" s="3" t="s">
        <v>11</v>
      </c>
      <c r="B13" s="15">
        <v>6166</v>
      </c>
      <c r="C13" s="15">
        <v>5915</v>
      </c>
      <c r="D13" s="15">
        <v>6770</v>
      </c>
      <c r="F13" s="10">
        <f t="shared" si="4"/>
        <v>1.5010490860807975E-2</v>
      </c>
      <c r="G13" s="26">
        <f t="shared" si="2"/>
        <v>1.7365029856565368E-2</v>
      </c>
      <c r="I13" s="17">
        <f t="shared" si="5"/>
        <v>3574.5556681241337</v>
      </c>
    </row>
    <row r="14" spans="1:12" ht="15">
      <c r="A14" s="3" t="s">
        <v>12</v>
      </c>
      <c r="B14" s="15">
        <v>8750</v>
      </c>
      <c r="C14" s="15">
        <v>9110</v>
      </c>
      <c r="D14" s="15">
        <v>9544</v>
      </c>
      <c r="F14" s="10">
        <f t="shared" si="4"/>
        <v>2.1820990480588921E-2</v>
      </c>
      <c r="G14" s="10">
        <f t="shared" si="2"/>
        <v>2.448033160281534E-2</v>
      </c>
      <c r="I14" s="22">
        <v>10248</v>
      </c>
      <c r="L14" t="s">
        <v>59</v>
      </c>
    </row>
    <row r="15" spans="1:12" ht="15">
      <c r="A15" s="3" t="s">
        <v>13</v>
      </c>
      <c r="B15" s="15">
        <v>3906</v>
      </c>
      <c r="C15" s="15">
        <v>3754</v>
      </c>
      <c r="D15" s="15">
        <v>4010</v>
      </c>
      <c r="F15" s="10">
        <f t="shared" si="4"/>
        <v>9.2924740515425742E-3</v>
      </c>
      <c r="G15" s="26">
        <f t="shared" si="2"/>
        <v>1.028563806865984E-2</v>
      </c>
      <c r="I15" s="17">
        <f t="shared" si="5"/>
        <v>2117.2774341473819</v>
      </c>
      <c r="L15" t="s">
        <v>58</v>
      </c>
    </row>
    <row r="16" spans="1:12" ht="15">
      <c r="A16" s="3" t="s">
        <v>14</v>
      </c>
      <c r="B16" s="15">
        <v>2110</v>
      </c>
      <c r="C16" s="15">
        <v>2680</v>
      </c>
      <c r="D16" s="15">
        <v>3862</v>
      </c>
      <c r="F16" s="10">
        <f t="shared" si="4"/>
        <v>6.889330376516397E-3</v>
      </c>
      <c r="G16" s="26">
        <f t="shared" si="2"/>
        <v>9.9060185090185295E-3</v>
      </c>
      <c r="I16" s="17">
        <f t="shared" si="5"/>
        <v>2039.1335288471794</v>
      </c>
    </row>
    <row r="17" spans="1:15" ht="15">
      <c r="A17" s="3" t="s">
        <v>15</v>
      </c>
      <c r="B17" s="15">
        <v>62378</v>
      </c>
      <c r="C17" s="15">
        <v>72924</v>
      </c>
      <c r="D17" s="15">
        <v>94347</v>
      </c>
      <c r="F17" s="10">
        <f t="shared" si="4"/>
        <v>0.18286267124787495</v>
      </c>
      <c r="G17" s="26">
        <f t="shared" si="2"/>
        <v>0.24199977428026184</v>
      </c>
      <c r="I17" s="17">
        <f t="shared" si="5"/>
        <v>49815.155630798763</v>
      </c>
    </row>
    <row r="18" spans="1:15" ht="15">
      <c r="A18" s="3" t="s">
        <v>16</v>
      </c>
      <c r="B18" s="15">
        <v>3708</v>
      </c>
      <c r="C18" s="15">
        <v>5507</v>
      </c>
      <c r="D18" s="15">
        <v>7014</v>
      </c>
      <c r="F18" s="10">
        <f t="shared" si="4"/>
        <v>1.2922670212723603E-2</v>
      </c>
      <c r="G18" s="26">
        <f t="shared" si="2"/>
        <v>1.7990889130568608E-2</v>
      </c>
      <c r="I18" s="17">
        <f t="shared" si="5"/>
        <v>3703.3875119974405</v>
      </c>
    </row>
    <row r="19" spans="1:15" ht="15">
      <c r="A19" s="3" t="s">
        <v>17</v>
      </c>
      <c r="B19" s="15">
        <v>1070</v>
      </c>
      <c r="C19" s="15">
        <v>6310</v>
      </c>
      <c r="D19" s="15">
        <v>8733</v>
      </c>
      <c r="F19" s="10">
        <f t="shared" si="4"/>
        <v>1.2830302861397216E-2</v>
      </c>
      <c r="G19" s="26">
        <f t="shared" si="2"/>
        <v>2.2400119015861943E-2</v>
      </c>
      <c r="I19" s="17">
        <f t="shared" si="5"/>
        <v>4611.0184120720915</v>
      </c>
    </row>
    <row r="20" spans="1:15" ht="15">
      <c r="A20" s="3" t="s">
        <v>18</v>
      </c>
      <c r="B20" s="15">
        <v>4192</v>
      </c>
      <c r="C20" s="15">
        <v>4192</v>
      </c>
      <c r="D20" s="15">
        <v>4192</v>
      </c>
      <c r="F20" s="10">
        <f t="shared" si="4"/>
        <v>1.0013894916212461E-2</v>
      </c>
      <c r="G20" s="26">
        <f t="shared" si="2"/>
        <v>1.0752467527137669E-2</v>
      </c>
      <c r="I20" s="17">
        <f t="shared" si="5"/>
        <v>2213.3733176922256</v>
      </c>
    </row>
    <row r="21" spans="1:15" ht="15">
      <c r="A21" s="1" t="s">
        <v>19</v>
      </c>
      <c r="B21" s="15">
        <f>SUM(B13:B20)</f>
        <v>92280</v>
      </c>
      <c r="C21" s="15">
        <f t="shared" ref="C21:D21" si="8">SUM(C13:C20)</f>
        <v>110392</v>
      </c>
      <c r="D21" s="15">
        <f t="shared" si="8"/>
        <v>138472</v>
      </c>
      <c r="F21" s="10">
        <f t="shared" si="4"/>
        <v>0.27164282500766412</v>
      </c>
      <c r="G21" s="10">
        <f t="shared" si="2"/>
        <v>0.35518026799088914</v>
      </c>
      <c r="I21" s="23">
        <f>SUM(I13:I20)</f>
        <v>78321.901503679212</v>
      </c>
    </row>
    <row r="22" spans="1:15" ht="15">
      <c r="A22" s="1" t="s">
        <v>20</v>
      </c>
      <c r="B22" s="15">
        <f>B10-B21</f>
        <v>260727</v>
      </c>
      <c r="C22" s="15">
        <f t="shared" ref="C22:D22" si="9">C10-C21</f>
        <v>136138</v>
      </c>
      <c r="D22" s="15">
        <f t="shared" si="9"/>
        <v>80008</v>
      </c>
      <c r="F22" s="10">
        <f t="shared" si="4"/>
        <v>0.37971979249196763</v>
      </c>
      <c r="G22" s="10">
        <f t="shared" si="2"/>
        <v>0.20522028194447295</v>
      </c>
      <c r="I22" s="17">
        <f>I10-I21</f>
        <v>-24618.041585795014</v>
      </c>
    </row>
    <row r="23" spans="1:15" ht="15">
      <c r="A23" s="1" t="s">
        <v>21</v>
      </c>
      <c r="B23" s="15">
        <f>B22*0.25</f>
        <v>65181.75</v>
      </c>
      <c r="C23" s="15">
        <f t="shared" ref="C23:D23" si="10">C22*0.25</f>
        <v>34034.5</v>
      </c>
      <c r="D23" s="15">
        <f t="shared" si="10"/>
        <v>20002</v>
      </c>
      <c r="F23" s="10">
        <f t="shared" si="4"/>
        <v>9.4929948122991908E-2</v>
      </c>
      <c r="G23" s="10">
        <f t="shared" si="2"/>
        <v>5.1305070486118237E-2</v>
      </c>
      <c r="I23" s="17">
        <f>0</f>
        <v>0</v>
      </c>
    </row>
    <row r="24" spans="1:15" ht="15">
      <c r="A24" s="1" t="s">
        <v>22</v>
      </c>
      <c r="B24" s="15">
        <f>B22-B23</f>
        <v>195545.25</v>
      </c>
      <c r="C24" s="15">
        <f t="shared" ref="C24:D24" si="11">C22-C23</f>
        <v>102103.5</v>
      </c>
      <c r="D24" s="15">
        <f t="shared" si="11"/>
        <v>60006</v>
      </c>
      <c r="F24" s="10">
        <f t="shared" si="4"/>
        <v>0.2847898443689757</v>
      </c>
      <c r="G24" s="10">
        <f t="shared" si="2"/>
        <v>0.15391521145835471</v>
      </c>
      <c r="I24" s="17">
        <f>I22-I23</f>
        <v>-24618.041585795014</v>
      </c>
      <c r="N24" t="s">
        <v>71</v>
      </c>
      <c r="O24">
        <v>31000</v>
      </c>
    </row>
    <row r="25" spans="1:15" ht="15">
      <c r="A25" s="1"/>
      <c r="B25" s="15"/>
      <c r="C25" s="15"/>
      <c r="D25" s="15"/>
      <c r="N25" t="s">
        <v>72</v>
      </c>
      <c r="O25">
        <v>30434</v>
      </c>
    </row>
    <row r="26" spans="1:15" ht="15">
      <c r="B26" s="15"/>
      <c r="C26" s="15"/>
      <c r="D26" s="16"/>
      <c r="N26" t="s">
        <v>73</v>
      </c>
      <c r="O26">
        <v>30433</v>
      </c>
    </row>
    <row r="27" spans="1:15" ht="15">
      <c r="B27" s="15"/>
      <c r="C27" s="15"/>
      <c r="D27" s="16"/>
      <c r="N27" t="s">
        <v>74</v>
      </c>
      <c r="O27">
        <v>63993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7"/>
  <sheetViews>
    <sheetView tabSelected="1" zoomScale="80" zoomScaleNormal="8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defaultRowHeight="14.25"/>
  <cols>
    <col min="1" max="1" width="40.59765625" bestFit="1" customWidth="1"/>
    <col min="2" max="2" width="12.265625" customWidth="1"/>
    <col min="3" max="3" width="12.73046875" customWidth="1"/>
    <col min="4" max="4" width="12.3984375" customWidth="1"/>
    <col min="5" max="5" width="2.265625" customWidth="1"/>
    <col min="6" max="6" width="12.1328125" customWidth="1"/>
    <col min="7" max="7" width="12" customWidth="1"/>
    <col min="9" max="9" width="11.59765625" customWidth="1"/>
    <col min="10" max="10" width="13.1328125" bestFit="1" customWidth="1"/>
    <col min="11" max="11" width="16.46484375" bestFit="1" customWidth="1"/>
    <col min="12" max="14" width="12.265625" bestFit="1" customWidth="1"/>
    <col min="15" max="15" width="10.86328125" customWidth="1"/>
    <col min="16" max="16" width="34.1328125" customWidth="1"/>
    <col min="17" max="17" width="12.265625" bestFit="1" customWidth="1"/>
  </cols>
  <sheetData>
    <row r="1" spans="1:20" ht="15">
      <c r="A1" s="1" t="s">
        <v>0</v>
      </c>
      <c r="B1" s="1"/>
      <c r="C1" s="1"/>
      <c r="F1" t="s">
        <v>54</v>
      </c>
      <c r="I1" s="18" t="s">
        <v>55</v>
      </c>
      <c r="J1" s="20">
        <v>418618</v>
      </c>
      <c r="K1" s="24">
        <v>0.2</v>
      </c>
      <c r="L1" s="24">
        <v>0.4</v>
      </c>
      <c r="M1" s="24">
        <v>0.25</v>
      </c>
      <c r="N1" s="24">
        <v>0.15</v>
      </c>
    </row>
    <row r="2" spans="1:20">
      <c r="A2" t="s">
        <v>1</v>
      </c>
      <c r="B2" t="s">
        <v>23</v>
      </c>
      <c r="C2" t="s">
        <v>24</v>
      </c>
      <c r="D2" t="s">
        <v>25</v>
      </c>
      <c r="F2" t="s">
        <v>52</v>
      </c>
      <c r="G2" t="s">
        <v>53</v>
      </c>
      <c r="I2" s="19">
        <v>2012</v>
      </c>
      <c r="K2" s="18" t="s">
        <v>61</v>
      </c>
      <c r="L2" s="18" t="s">
        <v>62</v>
      </c>
      <c r="M2" s="18" t="s">
        <v>63</v>
      </c>
      <c r="N2" s="18" t="s">
        <v>64</v>
      </c>
    </row>
    <row r="3" spans="1:20" ht="15.75">
      <c r="A3" s="2" t="s">
        <v>2</v>
      </c>
      <c r="B3" s="15">
        <v>498541</v>
      </c>
      <c r="C3" s="15">
        <v>367450</v>
      </c>
      <c r="D3" s="15">
        <v>389864</v>
      </c>
      <c r="F3" s="10">
        <f>(SUM(B3:D3)/3)/(SUM($B$3:$D$3)/3)</f>
        <v>1</v>
      </c>
      <c r="G3" s="10">
        <f>D3/$D$3</f>
        <v>1</v>
      </c>
      <c r="I3" s="17">
        <f>$J$1*G3</f>
        <v>418618</v>
      </c>
      <c r="K3" s="17">
        <f t="array" ref="K3:N3">Sales_Distribution*Sales_Projected</f>
        <v>83723.600000000006</v>
      </c>
      <c r="L3" s="17">
        <v>167447.20000000001</v>
      </c>
      <c r="M3" s="17">
        <v>104654.5</v>
      </c>
      <c r="N3" s="17">
        <v>62792.7</v>
      </c>
      <c r="O3" s="17"/>
      <c r="P3" s="17"/>
      <c r="Q3" t="s">
        <v>65</v>
      </c>
    </row>
    <row r="4" spans="1:20" ht="15">
      <c r="A4" s="1" t="s">
        <v>3</v>
      </c>
      <c r="B4" s="1"/>
      <c r="C4" s="1"/>
      <c r="D4" s="15"/>
      <c r="F4" s="10"/>
      <c r="G4" s="10"/>
      <c r="I4" s="17"/>
      <c r="K4" s="17"/>
      <c r="O4" s="17"/>
      <c r="P4" s="17"/>
    </row>
    <row r="5" spans="1:20" ht="15">
      <c r="A5" s="1" t="s">
        <v>51</v>
      </c>
      <c r="B5" s="15">
        <v>116081</v>
      </c>
      <c r="C5" s="15">
        <v>85919</v>
      </c>
      <c r="D5" s="15">
        <v>112969</v>
      </c>
      <c r="F5" s="10">
        <f>(SUM(B5:D5)/3)/(SUM($B$3:$D$3)/3)</f>
        <v>0.25080045068897289</v>
      </c>
      <c r="G5" s="10">
        <f t="shared" ref="G5:G10" si="0">D5/$D$3</f>
        <v>0.28976514887242732</v>
      </c>
      <c r="I5" s="27">
        <f t="shared" ref="I5:I10" si="1">$J$1*G5</f>
        <v>121300.90709067778</v>
      </c>
      <c r="K5" s="27">
        <f>Inventory</f>
        <v>121300.90709067778</v>
      </c>
      <c r="L5" s="31">
        <f>K8</f>
        <v>124770.4207713459</v>
      </c>
      <c r="M5" s="31">
        <f t="shared" ref="M5:N5" si="2">L8</f>
        <v>131709.44813268213</v>
      </c>
      <c r="N5" s="31">
        <f t="shared" si="2"/>
        <v>136046.34023351729</v>
      </c>
      <c r="O5" s="31"/>
      <c r="P5" s="17"/>
      <c r="Q5" t="s">
        <v>66</v>
      </c>
    </row>
    <row r="6" spans="1:20" ht="15">
      <c r="A6" s="1" t="s">
        <v>5</v>
      </c>
      <c r="B6" s="15">
        <v>115372</v>
      </c>
      <c r="C6" s="15">
        <v>147970</v>
      </c>
      <c r="D6" s="15">
        <v>187540</v>
      </c>
      <c r="F6" s="10">
        <f>(SUM(B6:D6)/3)/(SUM($B$3:$D$3)/3)</f>
        <v>0.3590239319029665</v>
      </c>
      <c r="G6" s="10">
        <f t="shared" si="0"/>
        <v>0.48103954199413129</v>
      </c>
      <c r="I6" s="17">
        <f t="shared" si="1"/>
        <v>201371.81099049925</v>
      </c>
      <c r="K6" s="17">
        <f t="array" ref="K6:N6">Purchase*Sales_Distribution</f>
        <v>40274.362198099851</v>
      </c>
      <c r="L6" s="17">
        <v>80548.724396199701</v>
      </c>
      <c r="M6" s="17">
        <v>50342.952747624811</v>
      </c>
      <c r="N6" s="17">
        <v>30205.771648574886</v>
      </c>
      <c r="O6" s="17"/>
      <c r="P6" s="17"/>
      <c r="Q6" t="s">
        <v>67</v>
      </c>
    </row>
    <row r="7" spans="1:20" ht="15">
      <c r="A7" s="1" t="s">
        <v>6</v>
      </c>
      <c r="B7" s="15">
        <f>B5+B6</f>
        <v>231453</v>
      </c>
      <c r="C7" s="15">
        <f t="shared" ref="C7:D7" si="3">C5+C6</f>
        <v>233889</v>
      </c>
      <c r="D7" s="15">
        <f t="shared" si="3"/>
        <v>300509</v>
      </c>
      <c r="F7" s="10">
        <f>SUM(B7:D7)/SUM($B$3:$D$3)</f>
        <v>0.60982438259193938</v>
      </c>
      <c r="G7" s="10">
        <f t="shared" si="0"/>
        <v>0.77080469086655856</v>
      </c>
      <c r="I7" s="17">
        <f t="shared" si="1"/>
        <v>322672.71808117704</v>
      </c>
      <c r="K7" s="17">
        <f t="array" ref="K7:N7">K5:N5+K6:N6</f>
        <v>161575.26928877764</v>
      </c>
      <c r="L7" s="17">
        <v>205319.14516754559</v>
      </c>
      <c r="M7" s="17">
        <v>182052.40088030693</v>
      </c>
      <c r="N7" s="17">
        <v>166252.11188209217</v>
      </c>
      <c r="O7" s="17"/>
      <c r="P7" s="17"/>
      <c r="Q7" t="s">
        <v>68</v>
      </c>
    </row>
    <row r="8" spans="1:20" ht="15">
      <c r="A8" s="1" t="s">
        <v>7</v>
      </c>
      <c r="B8" s="15">
        <v>85919</v>
      </c>
      <c r="C8" s="15">
        <v>112969</v>
      </c>
      <c r="D8" s="15">
        <v>129125</v>
      </c>
      <c r="F8" s="10">
        <f>SUM(B8:D8)/SUM($B$3:$D$3)</f>
        <v>0.26118700009157109</v>
      </c>
      <c r="G8" s="10">
        <f t="shared" si="0"/>
        <v>0.33120524080192065</v>
      </c>
      <c r="I8" s="27">
        <f t="shared" si="1"/>
        <v>138648.47549401841</v>
      </c>
      <c r="K8" s="23">
        <f t="array" ref="K8:N8">K7:N7-K9:N9</f>
        <v>124770.4207713459</v>
      </c>
      <c r="L8" s="23">
        <v>131709.44813268213</v>
      </c>
      <c r="M8" s="23">
        <v>136046.34023351729</v>
      </c>
      <c r="N8" s="27">
        <v>138648.47549401838</v>
      </c>
      <c r="O8" s="23"/>
      <c r="P8" s="17"/>
    </row>
    <row r="9" spans="1:20" ht="15">
      <c r="A9" s="3" t="s">
        <v>8</v>
      </c>
      <c r="B9" s="15">
        <f>B7-B8</f>
        <v>145534</v>
      </c>
      <c r="C9" s="15">
        <f t="shared" ref="C9:D9" si="4">C7-C8</f>
        <v>120920</v>
      </c>
      <c r="D9" s="15">
        <f t="shared" si="4"/>
        <v>171384</v>
      </c>
      <c r="F9" s="10">
        <f>SUM(B9:D9)/SUM($B$3:$D$3)</f>
        <v>0.3486373825003683</v>
      </c>
      <c r="G9" s="10">
        <f t="shared" si="0"/>
        <v>0.43959945006463791</v>
      </c>
      <c r="I9" s="17">
        <f t="shared" si="1"/>
        <v>184024.2425871586</v>
      </c>
      <c r="J9" t="s">
        <v>76</v>
      </c>
      <c r="K9" s="25">
        <f t="array" ref="K9:N9">COGS*Sales_Distribution</f>
        <v>36804.848517431725</v>
      </c>
      <c r="L9" s="25">
        <v>73609.69703486345</v>
      </c>
      <c r="M9" s="25">
        <v>46006.06064678965</v>
      </c>
      <c r="N9" s="25">
        <v>27603.636388073788</v>
      </c>
      <c r="O9" s="17"/>
      <c r="P9" s="17"/>
    </row>
    <row r="10" spans="1:20" ht="15">
      <c r="A10" s="1" t="s">
        <v>9</v>
      </c>
      <c r="B10" s="15">
        <f>B3-B9</f>
        <v>353007</v>
      </c>
      <c r="C10" s="15">
        <f t="shared" ref="C10:D10" si="5">C3-C9</f>
        <v>246530</v>
      </c>
      <c r="D10" s="15">
        <f t="shared" si="5"/>
        <v>218480</v>
      </c>
      <c r="F10" s="10">
        <f>SUM(B10:D10)/SUM($B$3:$D$3)</f>
        <v>0.65136261749963176</v>
      </c>
      <c r="G10" s="10">
        <f t="shared" si="0"/>
        <v>0.56040054993536204</v>
      </c>
      <c r="I10" s="17">
        <f t="shared" si="1"/>
        <v>234593.7574128414</v>
      </c>
      <c r="K10" s="25"/>
      <c r="L10" s="25"/>
      <c r="M10" s="25"/>
      <c r="N10" s="25"/>
      <c r="O10" s="17"/>
      <c r="P10" s="17"/>
      <c r="Q10" s="10" t="s">
        <v>69</v>
      </c>
      <c r="R10" s="10"/>
      <c r="S10" s="10"/>
      <c r="T10" s="10"/>
    </row>
    <row r="11" spans="1:20" ht="15">
      <c r="A11" s="1"/>
      <c r="B11" s="15"/>
      <c r="C11" s="15"/>
      <c r="D11" s="15"/>
      <c r="F11" s="10"/>
      <c r="G11" s="10"/>
      <c r="I11" s="17"/>
      <c r="O11" s="17"/>
      <c r="P11" s="17"/>
    </row>
    <row r="12" spans="1:20" ht="15.75">
      <c r="A12" s="2" t="s">
        <v>10</v>
      </c>
      <c r="B12" s="15"/>
      <c r="C12" s="15"/>
      <c r="D12" s="15"/>
      <c r="F12" s="10"/>
      <c r="G12" s="10"/>
      <c r="I12" s="17"/>
      <c r="O12" s="17"/>
      <c r="P12" s="17"/>
    </row>
    <row r="13" spans="1:20" ht="15">
      <c r="A13" s="3" t="s">
        <v>11</v>
      </c>
      <c r="B13" s="15">
        <v>6166</v>
      </c>
      <c r="C13" s="15">
        <v>5915</v>
      </c>
      <c r="D13" s="15">
        <v>6770</v>
      </c>
      <c r="F13" s="10">
        <f t="shared" ref="F13:F24" si="6">SUM(B13:D13)/SUM($B$3:$D$3)</f>
        <v>1.5010490860807975E-2</v>
      </c>
      <c r="G13" s="10">
        <f t="shared" ref="G13:G24" si="7">D13/$D$3</f>
        <v>1.7365029856565368E-2</v>
      </c>
      <c r="I13" s="17">
        <f t="shared" ref="I13:I24" si="8">$J$1*G13</f>
        <v>7269.3140684956816</v>
      </c>
      <c r="K13" s="17">
        <f>$I13*K$1</f>
        <v>1453.8628136991365</v>
      </c>
      <c r="L13" s="17">
        <f t="shared" ref="L13:N20" si="9">$I13*L$1</f>
        <v>2907.725627398273</v>
      </c>
      <c r="M13" s="17">
        <f t="shared" si="9"/>
        <v>1817.3285171239204</v>
      </c>
      <c r="N13" s="17">
        <f t="shared" si="9"/>
        <v>1090.3971102743521</v>
      </c>
      <c r="O13" s="17">
        <f t="shared" ref="O13:O23" si="10">SUM(K13:N13)</f>
        <v>7269.3140684956816</v>
      </c>
      <c r="P13" s="17"/>
      <c r="Q13" t="s">
        <v>70</v>
      </c>
    </row>
    <row r="14" spans="1:20" ht="15">
      <c r="A14" s="3" t="s">
        <v>12</v>
      </c>
      <c r="B14" s="15">
        <v>8750</v>
      </c>
      <c r="C14" s="15">
        <v>9110</v>
      </c>
      <c r="D14" s="15">
        <v>9544</v>
      </c>
      <c r="F14" s="10">
        <f t="shared" si="6"/>
        <v>2.1820990480588921E-2</v>
      </c>
      <c r="G14" s="10">
        <f t="shared" si="7"/>
        <v>2.448033160281534E-2</v>
      </c>
      <c r="I14" s="17">
        <f t="shared" si="8"/>
        <v>10247.907454907352</v>
      </c>
      <c r="K14" s="17">
        <f t="shared" ref="K14:K20" si="11">$I14*K$1</f>
        <v>2049.5814909814703</v>
      </c>
      <c r="L14" s="17">
        <f t="shared" si="9"/>
        <v>4099.1629819629406</v>
      </c>
      <c r="M14" s="17">
        <f t="shared" si="9"/>
        <v>2561.976863726838</v>
      </c>
      <c r="N14" s="17">
        <f t="shared" si="9"/>
        <v>1537.1861182361029</v>
      </c>
      <c r="O14" s="17">
        <f t="shared" si="10"/>
        <v>10247.907454907352</v>
      </c>
      <c r="P14" s="17"/>
    </row>
    <row r="15" spans="1:20" ht="15">
      <c r="A15" s="3" t="s">
        <v>13</v>
      </c>
      <c r="B15" s="15">
        <v>3906</v>
      </c>
      <c r="C15" s="15">
        <v>3754</v>
      </c>
      <c r="D15" s="15">
        <v>4010</v>
      </c>
      <c r="F15" s="10">
        <f t="shared" si="6"/>
        <v>9.2924740515425742E-3</v>
      </c>
      <c r="G15" s="10">
        <f t="shared" si="7"/>
        <v>1.028563806865984E-2</v>
      </c>
      <c r="I15" s="17">
        <f t="shared" si="8"/>
        <v>4305.7532370262452</v>
      </c>
      <c r="K15" s="17">
        <f t="shared" si="11"/>
        <v>861.15064740524906</v>
      </c>
      <c r="L15" s="17">
        <f t="shared" si="9"/>
        <v>1722.3012948104981</v>
      </c>
      <c r="M15" s="17">
        <f t="shared" si="9"/>
        <v>1076.4383092565613</v>
      </c>
      <c r="N15" s="17">
        <f t="shared" si="9"/>
        <v>645.86298555393671</v>
      </c>
      <c r="O15" s="17">
        <f t="shared" si="10"/>
        <v>4305.7532370262452</v>
      </c>
      <c r="P15" s="17"/>
    </row>
    <row r="16" spans="1:20" ht="15">
      <c r="A16" s="3" t="s">
        <v>14</v>
      </c>
      <c r="B16" s="15">
        <v>2110</v>
      </c>
      <c r="C16" s="15">
        <v>2680</v>
      </c>
      <c r="D16" s="15">
        <v>3862</v>
      </c>
      <c r="F16" s="10">
        <f t="shared" si="6"/>
        <v>6.889330376516397E-3</v>
      </c>
      <c r="G16" s="10">
        <f t="shared" si="7"/>
        <v>9.9060185090185295E-3</v>
      </c>
      <c r="I16" s="17">
        <f t="shared" si="8"/>
        <v>4146.8376562083185</v>
      </c>
      <c r="K16" s="17">
        <f t="shared" si="11"/>
        <v>829.36753124166376</v>
      </c>
      <c r="L16" s="17">
        <f t="shared" si="9"/>
        <v>1658.7350624833275</v>
      </c>
      <c r="M16" s="17">
        <f t="shared" si="9"/>
        <v>1036.7094140520796</v>
      </c>
      <c r="N16" s="17">
        <f t="shared" si="9"/>
        <v>622.02564843124776</v>
      </c>
      <c r="O16" s="17">
        <f t="shared" si="10"/>
        <v>4146.8376562083185</v>
      </c>
      <c r="P16" s="17"/>
    </row>
    <row r="17" spans="1:16" ht="15">
      <c r="A17" s="3" t="s">
        <v>15</v>
      </c>
      <c r="B17" s="15">
        <v>62378</v>
      </c>
      <c r="C17" s="15">
        <v>72924</v>
      </c>
      <c r="D17" s="15">
        <v>94347</v>
      </c>
      <c r="F17" s="10">
        <f t="shared" si="6"/>
        <v>0.18286267124787495</v>
      </c>
      <c r="G17" s="10">
        <f t="shared" si="7"/>
        <v>0.24199977428026184</v>
      </c>
      <c r="I17" s="17">
        <f t="shared" si="8"/>
        <v>101305.46150965465</v>
      </c>
      <c r="K17" s="17">
        <f t="shared" si="11"/>
        <v>20261.09230193093</v>
      </c>
      <c r="L17" s="17">
        <f t="shared" si="9"/>
        <v>40522.184603861861</v>
      </c>
      <c r="M17" s="17">
        <f t="shared" si="9"/>
        <v>25326.365377413662</v>
      </c>
      <c r="N17" s="17">
        <f t="shared" si="9"/>
        <v>15195.819226448197</v>
      </c>
      <c r="O17" s="17">
        <f t="shared" si="10"/>
        <v>101305.46150965465</v>
      </c>
      <c r="P17" s="17"/>
    </row>
    <row r="18" spans="1:16" ht="15">
      <c r="A18" s="3" t="s">
        <v>16</v>
      </c>
      <c r="B18" s="15">
        <v>3708</v>
      </c>
      <c r="C18" s="15">
        <v>5507</v>
      </c>
      <c r="D18" s="15">
        <v>7014</v>
      </c>
      <c r="F18" s="10">
        <f t="shared" si="6"/>
        <v>1.2922670212723603E-2</v>
      </c>
      <c r="G18" s="10">
        <f t="shared" si="7"/>
        <v>1.7990889130568608E-2</v>
      </c>
      <c r="I18" s="17">
        <f t="shared" si="8"/>
        <v>7531.3100260603696</v>
      </c>
      <c r="K18" s="17">
        <f t="shared" si="11"/>
        <v>1506.262005212074</v>
      </c>
      <c r="L18" s="17">
        <f t="shared" si="9"/>
        <v>3012.5240104241479</v>
      </c>
      <c r="M18" s="17">
        <f t="shared" si="9"/>
        <v>1882.8275065150924</v>
      </c>
      <c r="N18" s="17">
        <f t="shared" si="9"/>
        <v>1129.6965039090553</v>
      </c>
      <c r="O18" s="17">
        <f t="shared" si="10"/>
        <v>7531.3100260603696</v>
      </c>
      <c r="P18" s="17"/>
    </row>
    <row r="19" spans="1:16" ht="15">
      <c r="A19" s="3" t="s">
        <v>17</v>
      </c>
      <c r="B19" s="15">
        <v>1070</v>
      </c>
      <c r="C19" s="15">
        <v>6310</v>
      </c>
      <c r="D19" s="15">
        <v>8733</v>
      </c>
      <c r="F19" s="10">
        <f t="shared" si="6"/>
        <v>1.2830302861397216E-2</v>
      </c>
      <c r="G19" s="10">
        <f t="shared" si="7"/>
        <v>2.2400119015861943E-2</v>
      </c>
      <c r="I19" s="17">
        <f t="shared" si="8"/>
        <v>9377.0930221820945</v>
      </c>
      <c r="K19" s="17">
        <f t="shared" si="11"/>
        <v>1875.4186044364189</v>
      </c>
      <c r="L19" s="17">
        <f t="shared" si="9"/>
        <v>3750.8372088728379</v>
      </c>
      <c r="M19" s="17">
        <f t="shared" si="9"/>
        <v>2344.2732555455236</v>
      </c>
      <c r="N19" s="17">
        <f t="shared" si="9"/>
        <v>1406.563953327314</v>
      </c>
      <c r="O19" s="17">
        <f t="shared" si="10"/>
        <v>9377.0930221820945</v>
      </c>
      <c r="P19" s="17"/>
    </row>
    <row r="20" spans="1:16" ht="15">
      <c r="A20" s="3" t="s">
        <v>18</v>
      </c>
      <c r="B20" s="15">
        <v>4192</v>
      </c>
      <c r="C20" s="15">
        <v>4192</v>
      </c>
      <c r="D20" s="15">
        <v>4192</v>
      </c>
      <c r="F20" s="10">
        <f t="shared" si="6"/>
        <v>1.0013894916212461E-2</v>
      </c>
      <c r="G20" s="10">
        <f t="shared" si="7"/>
        <v>1.0752467527137669E-2</v>
      </c>
      <c r="I20" s="17">
        <f t="shared" si="8"/>
        <v>4501.1764512753161</v>
      </c>
      <c r="K20" s="17">
        <f t="shared" si="11"/>
        <v>900.23529025506332</v>
      </c>
      <c r="L20" s="17">
        <f t="shared" si="9"/>
        <v>1800.4705805101266</v>
      </c>
      <c r="M20" s="17">
        <f t="shared" si="9"/>
        <v>1125.294112818829</v>
      </c>
      <c r="N20" s="17">
        <f t="shared" si="9"/>
        <v>675.17646769129738</v>
      </c>
      <c r="O20" s="17">
        <f t="shared" si="10"/>
        <v>4501.1764512753161</v>
      </c>
      <c r="P20" s="17"/>
    </row>
    <row r="21" spans="1:16" ht="15">
      <c r="A21" s="1" t="s">
        <v>19</v>
      </c>
      <c r="B21" s="15">
        <f>SUM(B13:B20)</f>
        <v>92280</v>
      </c>
      <c r="C21" s="15">
        <f t="shared" ref="C21:D21" si="12">SUM(C13:C20)</f>
        <v>110392</v>
      </c>
      <c r="D21" s="15">
        <f t="shared" si="12"/>
        <v>138472</v>
      </c>
      <c r="F21" s="10">
        <f t="shared" si="6"/>
        <v>0.27164282500766412</v>
      </c>
      <c r="G21" s="10">
        <f t="shared" si="7"/>
        <v>0.35518026799088914</v>
      </c>
      <c r="I21" s="17">
        <f t="shared" si="8"/>
        <v>148684.85342581003</v>
      </c>
      <c r="K21" s="17">
        <f>SUM(K13:K20)</f>
        <v>29736.970685162003</v>
      </c>
      <c r="L21" s="17">
        <f t="shared" ref="L21:N21" si="13">SUM(L13:L20)</f>
        <v>59473.941370324006</v>
      </c>
      <c r="M21" s="17">
        <f t="shared" si="13"/>
        <v>37171.213356452507</v>
      </c>
      <c r="N21" s="17">
        <f t="shared" si="13"/>
        <v>22302.7280138715</v>
      </c>
      <c r="O21" s="17">
        <f t="shared" si="10"/>
        <v>148684.85342581003</v>
      </c>
      <c r="P21" s="17"/>
    </row>
    <row r="22" spans="1:16" ht="15">
      <c r="A22" s="1" t="s">
        <v>20</v>
      </c>
      <c r="B22" s="15">
        <f>B10-B21</f>
        <v>260727</v>
      </c>
      <c r="C22" s="15">
        <f t="shared" ref="C22:D22" si="14">C10-C21</f>
        <v>136138</v>
      </c>
      <c r="D22" s="15">
        <f t="shared" si="14"/>
        <v>80008</v>
      </c>
      <c r="F22" s="10">
        <f t="shared" si="6"/>
        <v>0.37971979249196763</v>
      </c>
      <c r="G22" s="10">
        <f t="shared" si="7"/>
        <v>0.20522028194447295</v>
      </c>
      <c r="I22" s="17">
        <f t="shared" si="8"/>
        <v>85908.903987031372</v>
      </c>
      <c r="K22" s="17">
        <f>K10-K21</f>
        <v>-29736.970685162003</v>
      </c>
      <c r="L22" s="17">
        <f t="shared" ref="L22:N22" si="15">L10-L21</f>
        <v>-59473.941370324006</v>
      </c>
      <c r="M22" s="17">
        <f t="shared" si="15"/>
        <v>-37171.213356452507</v>
      </c>
      <c r="N22" s="17">
        <f t="shared" si="15"/>
        <v>-22302.7280138715</v>
      </c>
      <c r="O22" s="17">
        <f t="shared" si="10"/>
        <v>-148684.85342581003</v>
      </c>
      <c r="P22" s="17"/>
    </row>
    <row r="23" spans="1:16" ht="15">
      <c r="A23" s="1" t="s">
        <v>21</v>
      </c>
      <c r="B23" s="15">
        <f>B22*0.25</f>
        <v>65181.75</v>
      </c>
      <c r="C23" s="15">
        <f t="shared" ref="C23:D23" si="16">C22*0.25</f>
        <v>34034.5</v>
      </c>
      <c r="D23" s="15">
        <f t="shared" si="16"/>
        <v>20002</v>
      </c>
      <c r="F23" s="10">
        <f t="shared" si="6"/>
        <v>9.4929948122991908E-2</v>
      </c>
      <c r="G23" s="10">
        <f t="shared" si="7"/>
        <v>5.1305070486118237E-2</v>
      </c>
      <c r="I23" s="17">
        <f t="shared" si="8"/>
        <v>21477.225996757843</v>
      </c>
      <c r="K23" s="17">
        <f>K22*0.25</f>
        <v>-7434.2426712905008</v>
      </c>
      <c r="L23" s="17">
        <f t="shared" ref="L23:N23" si="17">L22*0.25</f>
        <v>-14868.485342581002</v>
      </c>
      <c r="M23" s="17">
        <f t="shared" si="17"/>
        <v>-9292.8033391131266</v>
      </c>
      <c r="N23" s="17">
        <f t="shared" si="17"/>
        <v>-5575.6820034678749</v>
      </c>
      <c r="O23" s="17">
        <f t="shared" si="10"/>
        <v>-37171.213356452507</v>
      </c>
      <c r="P23" s="17"/>
    </row>
    <row r="24" spans="1:16" ht="15">
      <c r="A24" s="1" t="s">
        <v>22</v>
      </c>
      <c r="B24" s="15">
        <f>B22-B23</f>
        <v>195545.25</v>
      </c>
      <c r="C24" s="15">
        <f t="shared" ref="C24:D24" si="18">C22-C23</f>
        <v>102103.5</v>
      </c>
      <c r="D24" s="15">
        <f t="shared" si="18"/>
        <v>60006</v>
      </c>
      <c r="F24" s="10">
        <f t="shared" si="6"/>
        <v>0.2847898443689757</v>
      </c>
      <c r="G24" s="10">
        <f t="shared" si="7"/>
        <v>0.15391521145835471</v>
      </c>
      <c r="I24" s="17">
        <f t="shared" si="8"/>
        <v>64431.677990273536</v>
      </c>
      <c r="K24" s="17">
        <f>K22-K23</f>
        <v>-22302.728013871503</v>
      </c>
      <c r="L24" s="17">
        <f t="shared" ref="L24:N24" si="19">L22-L23</f>
        <v>-44605.456027743006</v>
      </c>
      <c r="M24" s="17">
        <f t="shared" si="19"/>
        <v>-27878.410017339382</v>
      </c>
      <c r="N24" s="17">
        <f t="shared" si="19"/>
        <v>-16727.046010403625</v>
      </c>
      <c r="O24" s="17">
        <f>SUM(K24:N24)</f>
        <v>-111513.64006935753</v>
      </c>
      <c r="P24" s="17"/>
    </row>
    <row r="25" spans="1:16" ht="15">
      <c r="A25" s="1"/>
      <c r="B25" s="15"/>
      <c r="C25" s="15"/>
      <c r="D25" s="15"/>
    </row>
    <row r="26" spans="1:16" ht="15">
      <c r="B26" s="15"/>
      <c r="C26" s="15"/>
      <c r="D26" s="16"/>
    </row>
    <row r="27" spans="1:16" ht="15">
      <c r="B27" s="15"/>
      <c r="C27" s="15"/>
      <c r="D27" s="1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/>
  <cols>
    <col min="1" max="1" width="40.59765625" bestFit="1" customWidth="1"/>
    <col min="2" max="2" width="18.86328125" bestFit="1" customWidth="1"/>
    <col min="3" max="3" width="18.1328125" bestFit="1" customWidth="1"/>
    <col min="4" max="4" width="15" bestFit="1" customWidth="1"/>
    <col min="5" max="5" width="2.265625" customWidth="1"/>
    <col min="6" max="6" width="15.265625" customWidth="1"/>
    <col min="7" max="7" width="13.1328125" bestFit="1" customWidth="1"/>
    <col min="9" max="9" width="17.265625" bestFit="1" customWidth="1"/>
    <col min="10" max="10" width="12.265625" bestFit="1" customWidth="1"/>
    <col min="15" max="15" width="11.265625" bestFit="1" customWidth="1"/>
  </cols>
  <sheetData>
    <row r="1" spans="1:12" ht="15">
      <c r="A1" s="1" t="s">
        <v>0</v>
      </c>
      <c r="B1" s="1"/>
      <c r="C1" s="1"/>
      <c r="F1" t="s">
        <v>54</v>
      </c>
      <c r="I1" s="18" t="s">
        <v>55</v>
      </c>
      <c r="J1" s="20">
        <f>I6/G6</f>
        <v>311824.67740215419</v>
      </c>
      <c r="L1" t="s">
        <v>57</v>
      </c>
    </row>
    <row r="2" spans="1:12" ht="15">
      <c r="A2" s="1" t="s">
        <v>1</v>
      </c>
      <c r="B2" s="1" t="s">
        <v>23</v>
      </c>
      <c r="C2" s="1" t="s">
        <v>24</v>
      </c>
      <c r="D2" s="1" t="s">
        <v>25</v>
      </c>
      <c r="F2" s="1" t="s">
        <v>52</v>
      </c>
      <c r="G2" s="1" t="s">
        <v>53</v>
      </c>
      <c r="I2" s="19">
        <v>2012</v>
      </c>
    </row>
    <row r="3" spans="1:12" ht="15.75">
      <c r="A3" s="2" t="s">
        <v>2</v>
      </c>
      <c r="B3" s="15">
        <v>498541</v>
      </c>
      <c r="C3" s="15">
        <v>367450</v>
      </c>
      <c r="D3" s="15">
        <v>389864</v>
      </c>
      <c r="F3" s="10">
        <f t="shared" ref="F3" si="0">(SUM(B3:D3)/3)/(SUM($B$3:$D$3)/3)</f>
        <v>1</v>
      </c>
      <c r="G3" s="10">
        <f t="shared" ref="G3" si="1">D3/$D$3</f>
        <v>1</v>
      </c>
      <c r="I3" s="17">
        <f>$J$1*G3</f>
        <v>311824.67740215419</v>
      </c>
    </row>
    <row r="4" spans="1:12" ht="15">
      <c r="A4" s="1" t="s">
        <v>3</v>
      </c>
      <c r="B4" s="1"/>
      <c r="C4" s="1"/>
      <c r="D4" s="15"/>
      <c r="F4" s="10"/>
      <c r="G4" s="10"/>
      <c r="I4" s="17"/>
    </row>
    <row r="5" spans="1:12" ht="15">
      <c r="A5" s="1" t="s">
        <v>51</v>
      </c>
      <c r="B5" s="15">
        <v>116081</v>
      </c>
      <c r="C5" s="15">
        <v>85919</v>
      </c>
      <c r="D5" s="15">
        <v>112969</v>
      </c>
      <c r="F5" s="10">
        <f>(SUM(B5:D5)/3)/(SUM($B$3:$D$3)/3)</f>
        <v>0.25080045068897289</v>
      </c>
      <c r="G5" s="10">
        <f>D5/$D$3</f>
        <v>0.28976514887242732</v>
      </c>
      <c r="I5" s="22">
        <v>121300.90709067778</v>
      </c>
    </row>
    <row r="6" spans="1:12" ht="15">
      <c r="A6" s="1" t="s">
        <v>5</v>
      </c>
      <c r="B6" s="15">
        <v>115372</v>
      </c>
      <c r="C6" s="15">
        <v>147970</v>
      </c>
      <c r="D6" s="15">
        <v>187540</v>
      </c>
      <c r="F6" s="10">
        <f>(SUM(B6:D6)/3)/(SUM($B$3:$D$3)/3)</f>
        <v>0.3590239319029665</v>
      </c>
      <c r="G6" s="26">
        <f t="shared" ref="G6:G24" si="2">D6/$D$3</f>
        <v>0.48103954199413129</v>
      </c>
      <c r="I6" s="21">
        <v>150000</v>
      </c>
      <c r="L6" t="s">
        <v>56</v>
      </c>
    </row>
    <row r="7" spans="1:12" ht="15">
      <c r="A7" s="1" t="s">
        <v>6</v>
      </c>
      <c r="B7" s="15">
        <f>B5+B6</f>
        <v>231453</v>
      </c>
      <c r="C7" s="15">
        <f t="shared" ref="C7:D7" si="3">C5+C6</f>
        <v>233889</v>
      </c>
      <c r="D7" s="15">
        <f t="shared" si="3"/>
        <v>300509</v>
      </c>
      <c r="F7" s="10">
        <f t="shared" ref="F7:F24" si="4">SUM(B7:D7)/SUM($B$3:$D$3)</f>
        <v>0.60982438259193938</v>
      </c>
      <c r="G7" s="10">
        <f t="shared" si="2"/>
        <v>0.77080469086655856</v>
      </c>
      <c r="I7" s="23">
        <f>I5+I6</f>
        <v>271300.90709067776</v>
      </c>
    </row>
    <row r="8" spans="1:12" ht="15">
      <c r="A8" s="1" t="s">
        <v>7</v>
      </c>
      <c r="B8" s="15">
        <v>85919</v>
      </c>
      <c r="C8" s="15">
        <v>112969</v>
      </c>
      <c r="D8" s="15">
        <v>129125</v>
      </c>
      <c r="F8" s="10">
        <f t="shared" si="4"/>
        <v>0.26118700009157109</v>
      </c>
      <c r="G8" s="26">
        <f t="shared" si="2"/>
        <v>0.33120524080192065</v>
      </c>
      <c r="I8" s="17">
        <f t="shared" ref="I8:I20" si="5">$J$1*G8</f>
        <v>103277.9673669617</v>
      </c>
    </row>
    <row r="9" spans="1:12" ht="15">
      <c r="A9" s="3" t="s">
        <v>8</v>
      </c>
      <c r="B9" s="15">
        <f>B7-B8</f>
        <v>145534</v>
      </c>
      <c r="C9" s="15">
        <f t="shared" ref="C9:D9" si="6">C7-C8</f>
        <v>120920</v>
      </c>
      <c r="D9" s="15">
        <f t="shared" si="6"/>
        <v>171384</v>
      </c>
      <c r="F9" s="10">
        <f t="shared" si="4"/>
        <v>0.3486373825003683</v>
      </c>
      <c r="G9" s="10">
        <f t="shared" si="2"/>
        <v>0.43959945006463791</v>
      </c>
      <c r="I9" s="23">
        <f>I7-I8</f>
        <v>168022.93972371606</v>
      </c>
      <c r="L9" t="s">
        <v>60</v>
      </c>
    </row>
    <row r="10" spans="1:12" ht="15">
      <c r="A10" s="1" t="s">
        <v>9</v>
      </c>
      <c r="B10" s="15">
        <f>B3-B9</f>
        <v>353007</v>
      </c>
      <c r="C10" s="15">
        <f t="shared" ref="C10:D10" si="7">C3-C9</f>
        <v>246530</v>
      </c>
      <c r="D10" s="15">
        <f t="shared" si="7"/>
        <v>218480</v>
      </c>
      <c r="F10" s="10">
        <f t="shared" si="4"/>
        <v>0.65136261749963176</v>
      </c>
      <c r="G10" s="10">
        <f t="shared" si="2"/>
        <v>0.56040054993536204</v>
      </c>
      <c r="I10" s="23">
        <f>I3-I9</f>
        <v>143801.73767843813</v>
      </c>
    </row>
    <row r="11" spans="1:12" ht="15">
      <c r="A11" s="1"/>
      <c r="B11" s="15"/>
      <c r="C11" s="15"/>
      <c r="D11" s="15"/>
      <c r="F11" s="10"/>
      <c r="G11" s="10"/>
      <c r="I11" s="17"/>
    </row>
    <row r="12" spans="1:12" ht="15.75">
      <c r="A12" s="2" t="s">
        <v>10</v>
      </c>
      <c r="B12" s="15"/>
      <c r="C12" s="15"/>
      <c r="D12" s="15"/>
      <c r="F12" s="10"/>
      <c r="G12" s="10"/>
      <c r="I12" s="17"/>
    </row>
    <row r="13" spans="1:12" ht="15">
      <c r="A13" s="3" t="s">
        <v>11</v>
      </c>
      <c r="B13" s="15">
        <v>6166</v>
      </c>
      <c r="C13" s="15">
        <v>5915</v>
      </c>
      <c r="D13" s="15">
        <v>6770</v>
      </c>
      <c r="F13" s="10">
        <f t="shared" si="4"/>
        <v>1.5010490860807975E-2</v>
      </c>
      <c r="G13" s="26">
        <f t="shared" si="2"/>
        <v>1.7365029856565368E-2</v>
      </c>
      <c r="I13" s="17">
        <f t="shared" si="5"/>
        <v>5414.8448331022719</v>
      </c>
    </row>
    <row r="14" spans="1:12" ht="15">
      <c r="A14" s="3" t="s">
        <v>12</v>
      </c>
      <c r="B14" s="15">
        <v>8750</v>
      </c>
      <c r="C14" s="15">
        <v>9110</v>
      </c>
      <c r="D14" s="15">
        <v>9544</v>
      </c>
      <c r="F14" s="10">
        <f t="shared" si="4"/>
        <v>2.1820990480588921E-2</v>
      </c>
      <c r="G14" s="10">
        <f t="shared" si="2"/>
        <v>2.448033160281534E-2</v>
      </c>
      <c r="I14" s="22">
        <v>10247.907454907352</v>
      </c>
      <c r="L14" t="s">
        <v>59</v>
      </c>
    </row>
    <row r="15" spans="1:12" ht="15">
      <c r="A15" s="3" t="s">
        <v>13</v>
      </c>
      <c r="B15" s="15">
        <v>3906</v>
      </c>
      <c r="C15" s="15">
        <v>3754</v>
      </c>
      <c r="D15" s="15">
        <v>4010</v>
      </c>
      <c r="F15" s="10">
        <f t="shared" si="4"/>
        <v>9.2924740515425742E-3</v>
      </c>
      <c r="G15" s="26">
        <f t="shared" si="2"/>
        <v>1.028563806865984E-2</v>
      </c>
      <c r="I15" s="17">
        <f t="shared" si="5"/>
        <v>3207.315772635171</v>
      </c>
      <c r="L15" t="s">
        <v>58</v>
      </c>
    </row>
    <row r="16" spans="1:12" ht="15">
      <c r="A16" s="3" t="s">
        <v>14</v>
      </c>
      <c r="B16" s="15">
        <v>2110</v>
      </c>
      <c r="C16" s="15">
        <v>2680</v>
      </c>
      <c r="D16" s="15">
        <v>3862</v>
      </c>
      <c r="F16" s="10">
        <f t="shared" si="4"/>
        <v>6.889330376516397E-3</v>
      </c>
      <c r="G16" s="26">
        <f t="shared" si="2"/>
        <v>9.9060185090185295E-3</v>
      </c>
      <c r="I16" s="17">
        <f t="shared" si="5"/>
        <v>3088.9410259144715</v>
      </c>
    </row>
    <row r="17" spans="1:15" ht="15">
      <c r="A17" s="3" t="s">
        <v>15</v>
      </c>
      <c r="B17" s="15">
        <v>62378</v>
      </c>
      <c r="C17" s="15">
        <v>72924</v>
      </c>
      <c r="D17" s="15">
        <v>94347</v>
      </c>
      <c r="F17" s="10">
        <f t="shared" si="4"/>
        <v>0.18286267124787495</v>
      </c>
      <c r="G17" s="26">
        <f t="shared" si="2"/>
        <v>0.24199977428026184</v>
      </c>
      <c r="I17" s="17">
        <f t="shared" si="5"/>
        <v>75461.501546336774</v>
      </c>
    </row>
    <row r="18" spans="1:15" ht="15">
      <c r="A18" s="3" t="s">
        <v>16</v>
      </c>
      <c r="B18" s="15">
        <v>3708</v>
      </c>
      <c r="C18" s="15">
        <v>5507</v>
      </c>
      <c r="D18" s="15">
        <v>7014</v>
      </c>
      <c r="F18" s="10">
        <f t="shared" si="4"/>
        <v>1.2922670212723603E-2</v>
      </c>
      <c r="G18" s="26">
        <f t="shared" si="2"/>
        <v>1.7990889130568608E-2</v>
      </c>
      <c r="I18" s="17">
        <f t="shared" si="5"/>
        <v>5610.003199317478</v>
      </c>
    </row>
    <row r="19" spans="1:15" ht="15">
      <c r="A19" s="3" t="s">
        <v>17</v>
      </c>
      <c r="B19" s="15">
        <v>1070</v>
      </c>
      <c r="C19" s="15">
        <v>6310</v>
      </c>
      <c r="D19" s="15">
        <v>8733</v>
      </c>
      <c r="F19" s="10">
        <f t="shared" si="4"/>
        <v>1.2830302861397216E-2</v>
      </c>
      <c r="G19" s="26">
        <f t="shared" si="2"/>
        <v>2.2400119015861943E-2</v>
      </c>
      <c r="I19" s="17">
        <f t="shared" si="5"/>
        <v>6984.9098858910102</v>
      </c>
    </row>
    <row r="20" spans="1:15" ht="15">
      <c r="A20" s="3" t="s">
        <v>18</v>
      </c>
      <c r="B20" s="15">
        <v>4192</v>
      </c>
      <c r="C20" s="15">
        <v>4192</v>
      </c>
      <c r="D20" s="15">
        <v>4192</v>
      </c>
      <c r="F20" s="10">
        <f t="shared" si="4"/>
        <v>1.0013894916212461E-2</v>
      </c>
      <c r="G20" s="26">
        <f t="shared" si="2"/>
        <v>1.0752467527137669E-2</v>
      </c>
      <c r="I20" s="17">
        <f t="shared" si="5"/>
        <v>3352.8847179268423</v>
      </c>
    </row>
    <row r="21" spans="1:15" ht="15">
      <c r="A21" s="1" t="s">
        <v>19</v>
      </c>
      <c r="B21" s="15">
        <f>SUM(B13:B20)</f>
        <v>92280</v>
      </c>
      <c r="C21" s="15">
        <f t="shared" ref="C21:D21" si="8">SUM(C13:C20)</f>
        <v>110392</v>
      </c>
      <c r="D21" s="15">
        <f t="shared" si="8"/>
        <v>138472</v>
      </c>
      <c r="F21" s="10">
        <f t="shared" si="4"/>
        <v>0.27164282500766412</v>
      </c>
      <c r="G21" s="10">
        <f t="shared" si="2"/>
        <v>0.35518026799088914</v>
      </c>
      <c r="I21" s="23">
        <f>SUM(I13:I20)</f>
        <v>113368.30843603138</v>
      </c>
    </row>
    <row r="22" spans="1:15" ht="15">
      <c r="A22" s="1" t="s">
        <v>20</v>
      </c>
      <c r="B22" s="15">
        <f>B10-B21</f>
        <v>260727</v>
      </c>
      <c r="C22" s="15">
        <f t="shared" ref="C22:D22" si="9">C10-C21</f>
        <v>136138</v>
      </c>
      <c r="D22" s="15">
        <f t="shared" si="9"/>
        <v>80008</v>
      </c>
      <c r="F22" s="10">
        <f t="shared" si="4"/>
        <v>0.37971979249196763</v>
      </c>
      <c r="G22" s="10">
        <f t="shared" si="2"/>
        <v>0.20522028194447295</v>
      </c>
      <c r="I22" s="17">
        <f>I10-I21</f>
        <v>30433.429242406753</v>
      </c>
    </row>
    <row r="23" spans="1:15" ht="15">
      <c r="A23" s="1" t="s">
        <v>21</v>
      </c>
      <c r="B23" s="15">
        <f>B22*0.25</f>
        <v>65181.75</v>
      </c>
      <c r="C23" s="15">
        <f t="shared" ref="C23:D23" si="10">C22*0.25</f>
        <v>34034.5</v>
      </c>
      <c r="D23" s="15">
        <f t="shared" si="10"/>
        <v>20002</v>
      </c>
      <c r="F23" s="10">
        <f t="shared" si="4"/>
        <v>9.4929948122991908E-2</v>
      </c>
      <c r="G23" s="10">
        <f t="shared" si="2"/>
        <v>5.1305070486118237E-2</v>
      </c>
      <c r="I23" s="17">
        <f>0</f>
        <v>0</v>
      </c>
    </row>
    <row r="24" spans="1:15" ht="15">
      <c r="A24" s="1" t="s">
        <v>22</v>
      </c>
      <c r="B24" s="15">
        <f>B22-B23</f>
        <v>195545.25</v>
      </c>
      <c r="C24" s="15">
        <f t="shared" ref="C24:D24" si="11">C22-C23</f>
        <v>102103.5</v>
      </c>
      <c r="D24" s="15">
        <f t="shared" si="11"/>
        <v>60006</v>
      </c>
      <c r="F24" s="10">
        <f t="shared" si="4"/>
        <v>0.2847898443689757</v>
      </c>
      <c r="G24" s="10">
        <f t="shared" si="2"/>
        <v>0.15391521145835471</v>
      </c>
      <c r="I24" s="17">
        <f>I22-I23</f>
        <v>30433.429242406753</v>
      </c>
      <c r="N24" t="s">
        <v>71</v>
      </c>
      <c r="O24">
        <v>31000</v>
      </c>
    </row>
    <row r="25" spans="1:15" ht="15">
      <c r="A25" s="1"/>
      <c r="B25" s="15"/>
      <c r="C25" s="15"/>
      <c r="D25" s="15"/>
      <c r="N25" t="s">
        <v>72</v>
      </c>
      <c r="O25">
        <v>30434</v>
      </c>
    </row>
    <row r="26" spans="1:15" ht="15">
      <c r="B26" s="15"/>
      <c r="C26" s="15"/>
      <c r="D26" s="16"/>
      <c r="N26" t="s">
        <v>73</v>
      </c>
      <c r="O26">
        <v>30433</v>
      </c>
    </row>
    <row r="27" spans="1:15" ht="15">
      <c r="B27" s="15"/>
      <c r="C27" s="15"/>
      <c r="D27" s="16"/>
      <c r="N27" t="s">
        <v>74</v>
      </c>
      <c r="O27">
        <v>63993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6</vt:i4>
      </vt:variant>
    </vt:vector>
  </HeadingPairs>
  <TitlesOfParts>
    <vt:vector size="13" baseType="lpstr">
      <vt:lpstr>Income Statement</vt:lpstr>
      <vt:lpstr>Balance Sheet</vt:lpstr>
      <vt:lpstr>Precentage of Sales</vt:lpstr>
      <vt:lpstr>Forcast on Sales</vt:lpstr>
      <vt:lpstr>Impact Analysis</vt:lpstr>
      <vt:lpstr>Budget</vt:lpstr>
      <vt:lpstr>Sheet1</vt:lpstr>
      <vt:lpstr>COGS</vt:lpstr>
      <vt:lpstr>Inventory</vt:lpstr>
      <vt:lpstr>Purchase</vt:lpstr>
      <vt:lpstr>Sales_Distribution</vt:lpstr>
      <vt:lpstr>Sales_Projected</vt:lpstr>
      <vt:lpstr>Sales_Quarter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2020-07-18T15:54:21Z</dcterms:modified>
</cp:coreProperties>
</file>