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omments4.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omments5.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gel\OneDrive\Escritorio\"/>
    </mc:Choice>
  </mc:AlternateContent>
  <xr:revisionPtr revIDLastSave="0" documentId="13_ncr:1_{7EDF0D00-381A-4309-AF35-D5AEF23D8C56}" xr6:coauthVersionLast="44" xr6:coauthVersionMax="44" xr10:uidLastSave="{00000000-0000-0000-0000-000000000000}"/>
  <bookViews>
    <workbookView xWindow="15240" yWindow="-120" windowWidth="20730" windowHeight="11160" tabRatio="702" xr2:uid="{00000000-000D-0000-FFFF-FFFF00000000}"/>
  </bookViews>
  <sheets>
    <sheet name="Indice" sheetId="1" r:id="rId1"/>
    <sheet name="Hipótesis" sheetId="19" r:id="rId2"/>
    <sheet name="Proyección de Ingresos" sheetId="18" r:id="rId3"/>
    <sheet name="Modelo de ingresos" sheetId="4" r:id="rId4"/>
    <sheet name="Modelo de egresos" sheetId="5" r:id="rId5"/>
    <sheet name="Costos fijos" sheetId="6" r:id="rId6"/>
    <sheet name="Costos variables" sheetId="7" r:id="rId7"/>
    <sheet name="Costos RRHH" sheetId="8" r:id="rId8"/>
    <sheet name="Modelo de inversion" sheetId="9" r:id="rId9"/>
    <sheet name="Amortización" sheetId="10" r:id="rId10"/>
    <sheet name="Presupuesto financiero" sheetId="11" r:id="rId11"/>
    <sheet name="Matriz de riesgo" sheetId="12" r:id="rId12"/>
    <sheet name="Escenario 1" sheetId="13" r:id="rId13"/>
    <sheet name="Escenario 2" sheetId="14" r:id="rId14"/>
    <sheet name="Escenario 3" sheetId="15" r:id="rId15"/>
    <sheet name="Plan cont. Esc. 3" sheetId="16" r:id="rId1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3" i="16" l="1"/>
  <c r="G22" i="15" l="1"/>
  <c r="G20" i="15"/>
  <c r="E21" i="13"/>
  <c r="F21" i="14"/>
  <c r="D13" i="10" l="1"/>
  <c r="F13" i="10" s="1"/>
  <c r="D21" i="10"/>
  <c r="F21" i="10" s="1"/>
  <c r="D22" i="10"/>
  <c r="F22" i="10" s="1"/>
  <c r="D20" i="10"/>
  <c r="F20" i="10" s="1"/>
  <c r="G41" i="9"/>
  <c r="G40" i="9"/>
  <c r="G39" i="9"/>
  <c r="C40" i="9"/>
  <c r="C41" i="9"/>
  <c r="C39" i="9"/>
  <c r="B40" i="9"/>
  <c r="B41" i="9"/>
  <c r="B39" i="9"/>
  <c r="C38" i="9"/>
  <c r="I38" i="9" s="1"/>
  <c r="D18" i="10"/>
  <c r="F18" i="10" s="1"/>
  <c r="D17" i="10"/>
  <c r="D19" i="10"/>
  <c r="F19" i="10" s="1"/>
  <c r="C37" i="9"/>
  <c r="K37" i="9" s="1"/>
  <c r="I36" i="9"/>
  <c r="C36" i="9"/>
  <c r="K36" i="9" s="1"/>
  <c r="H13" i="10" l="1"/>
  <c r="J13" i="10" s="1"/>
  <c r="H21" i="10"/>
  <c r="J21" i="10" s="1"/>
  <c r="H22" i="10"/>
  <c r="J22" i="10" s="1"/>
  <c r="H20" i="10"/>
  <c r="J20" i="10" s="1"/>
  <c r="G36" i="9"/>
  <c r="H19" i="10"/>
  <c r="J19" i="10" s="1"/>
  <c r="H18" i="10"/>
  <c r="J18" i="10" s="1"/>
  <c r="E11" i="7"/>
  <c r="D11" i="7"/>
  <c r="C11" i="7"/>
  <c r="O41" i="7"/>
  <c r="O31" i="7"/>
  <c r="O21" i="7"/>
  <c r="D16" i="10" l="1"/>
  <c r="F16" i="10" s="1"/>
  <c r="D10" i="10"/>
  <c r="F10" i="10" s="1"/>
  <c r="D15" i="10"/>
  <c r="F15" i="10" s="1"/>
  <c r="D11" i="10"/>
  <c r="F11" i="10" s="1"/>
  <c r="C35" i="9"/>
  <c r="E35" i="9" s="1"/>
  <c r="C29" i="9"/>
  <c r="I29" i="9" s="1"/>
  <c r="AC71" i="18"/>
  <c r="E17" i="8"/>
  <c r="D17" i="8"/>
  <c r="C17" i="8"/>
  <c r="D9" i="10"/>
  <c r="F9" i="10" s="1"/>
  <c r="H9" i="10" l="1"/>
  <c r="J9" i="10" s="1"/>
  <c r="H15" i="10"/>
  <c r="J15" i="10" s="1"/>
  <c r="H10" i="10"/>
  <c r="J10" i="10" s="1"/>
  <c r="H11" i="10"/>
  <c r="J11" i="10" s="1"/>
  <c r="H16" i="10"/>
  <c r="J16" i="10" s="1"/>
  <c r="O79" i="8"/>
  <c r="H79" i="8"/>
  <c r="N79" i="8"/>
  <c r="J79" i="8"/>
  <c r="K79" i="8"/>
  <c r="L79" i="8"/>
  <c r="M79" i="8"/>
  <c r="I79" i="8"/>
  <c r="D79" i="8"/>
  <c r="E79" i="8"/>
  <c r="F79" i="8"/>
  <c r="G79" i="8"/>
  <c r="C79" i="8"/>
  <c r="N63" i="8"/>
  <c r="H63" i="8"/>
  <c r="D12" i="10"/>
  <c r="F12" i="10" s="1"/>
  <c r="D14" i="10"/>
  <c r="F14" i="10" s="1"/>
  <c r="H14" i="10" l="1"/>
  <c r="J14" i="10" s="1"/>
  <c r="H12" i="10"/>
  <c r="J12" i="10" s="1"/>
  <c r="D20" i="6"/>
  <c r="D21" i="6"/>
  <c r="D22" i="6"/>
  <c r="D23" i="6"/>
  <c r="O67" i="6"/>
  <c r="E10" i="6" s="1"/>
  <c r="O68" i="6"/>
  <c r="E11" i="6" s="1"/>
  <c r="O69" i="6"/>
  <c r="E12" i="6" s="1"/>
  <c r="O70" i="6"/>
  <c r="E13" i="6" s="1"/>
  <c r="O71" i="6"/>
  <c r="E14" i="6" s="1"/>
  <c r="O72" i="6"/>
  <c r="E15" i="6" s="1"/>
  <c r="O73" i="6"/>
  <c r="E16" i="6" s="1"/>
  <c r="O74" i="6"/>
  <c r="E17" i="6" s="1"/>
  <c r="O75" i="6"/>
  <c r="E18" i="6" s="1"/>
  <c r="O76" i="6"/>
  <c r="E19" i="6" s="1"/>
  <c r="O77" i="6"/>
  <c r="E20" i="6" s="1"/>
  <c r="O78" i="6"/>
  <c r="E21" i="6" s="1"/>
  <c r="O79" i="6"/>
  <c r="E22" i="6" s="1"/>
  <c r="O80" i="6"/>
  <c r="E23" i="6" s="1"/>
  <c r="O66" i="6"/>
  <c r="E9" i="6" s="1"/>
  <c r="O48" i="6"/>
  <c r="D10" i="6" s="1"/>
  <c r="O49" i="6"/>
  <c r="D11" i="6" s="1"/>
  <c r="O50" i="6"/>
  <c r="D12" i="6" s="1"/>
  <c r="O51" i="6"/>
  <c r="D13" i="6" s="1"/>
  <c r="O52" i="6"/>
  <c r="D14" i="6" s="1"/>
  <c r="O53" i="6"/>
  <c r="D15" i="6" s="1"/>
  <c r="O54" i="6"/>
  <c r="D16" i="6" s="1"/>
  <c r="O55" i="6"/>
  <c r="D17" i="6" s="1"/>
  <c r="O56" i="6"/>
  <c r="D18" i="6" s="1"/>
  <c r="O57" i="6"/>
  <c r="D19" i="6" s="1"/>
  <c r="O58" i="6"/>
  <c r="O59" i="6"/>
  <c r="O60" i="6"/>
  <c r="O61" i="6"/>
  <c r="O47" i="6"/>
  <c r="D9" i="6" s="1"/>
  <c r="O29" i="6"/>
  <c r="C10" i="6" s="1"/>
  <c r="O30" i="6"/>
  <c r="C11" i="6" s="1"/>
  <c r="O31" i="6"/>
  <c r="C12" i="6" s="1"/>
  <c r="O32" i="6"/>
  <c r="C13" i="6" s="1"/>
  <c r="O33" i="6"/>
  <c r="C14" i="6" s="1"/>
  <c r="O34" i="6"/>
  <c r="C15" i="6" s="1"/>
  <c r="O35" i="6"/>
  <c r="C16" i="6" s="1"/>
  <c r="O36" i="6"/>
  <c r="C17" i="6" s="1"/>
  <c r="O37" i="6"/>
  <c r="C18" i="6" s="1"/>
  <c r="O38" i="6"/>
  <c r="C19" i="6" s="1"/>
  <c r="O39" i="6"/>
  <c r="C20" i="6" s="1"/>
  <c r="O40" i="6"/>
  <c r="C21" i="6" s="1"/>
  <c r="O41" i="6"/>
  <c r="C22" i="6" s="1"/>
  <c r="O42" i="6"/>
  <c r="C23" i="6" s="1"/>
  <c r="D33" i="9" l="1"/>
  <c r="D34" i="9"/>
  <c r="D32" i="9"/>
  <c r="D30" i="9"/>
  <c r="D27" i="9"/>
  <c r="AC97" i="18"/>
  <c r="J28" i="9" s="1"/>
  <c r="C81" i="6"/>
  <c r="D85" i="18"/>
  <c r="V85" i="18" s="1"/>
  <c r="D86" i="18"/>
  <c r="V86" i="18" s="1"/>
  <c r="D87" i="18"/>
  <c r="AB87" i="18" s="1"/>
  <c r="D88" i="18"/>
  <c r="V88" i="18" s="1"/>
  <c r="D89" i="18"/>
  <c r="X89" i="18" s="1"/>
  <c r="D84" i="18"/>
  <c r="D79" i="18"/>
  <c r="N79" i="18" s="1"/>
  <c r="G42" i="7" s="1"/>
  <c r="D80" i="18"/>
  <c r="F80" i="18" s="1"/>
  <c r="C43" i="7" s="1"/>
  <c r="D78" i="18"/>
  <c r="P78" i="18" s="1"/>
  <c r="AA90" i="18"/>
  <c r="Y90" i="18"/>
  <c r="W90" i="18"/>
  <c r="U90" i="18"/>
  <c r="S90" i="18"/>
  <c r="Q90" i="18"/>
  <c r="O90" i="18"/>
  <c r="M90" i="18"/>
  <c r="K90" i="18"/>
  <c r="I90" i="18"/>
  <c r="G90" i="18"/>
  <c r="E90" i="18"/>
  <c r="AC89" i="18"/>
  <c r="K24" i="4" s="1"/>
  <c r="C89" i="18"/>
  <c r="AC88" i="18"/>
  <c r="K23" i="4" s="1"/>
  <c r="C88" i="18"/>
  <c r="AC87" i="18"/>
  <c r="K22" i="4" s="1"/>
  <c r="C87" i="18"/>
  <c r="AC86" i="18"/>
  <c r="K21" i="4" s="1"/>
  <c r="C86" i="18"/>
  <c r="AC85" i="18"/>
  <c r="K20" i="4" s="1"/>
  <c r="C85" i="18"/>
  <c r="AC84" i="18"/>
  <c r="AB84" i="18"/>
  <c r="C84" i="18"/>
  <c r="AA81" i="18"/>
  <c r="Y81" i="18"/>
  <c r="W81" i="18"/>
  <c r="U81" i="18"/>
  <c r="S81" i="18"/>
  <c r="Q81" i="18"/>
  <c r="O81" i="18"/>
  <c r="M81" i="18"/>
  <c r="K81" i="18"/>
  <c r="I81" i="18"/>
  <c r="G81" i="18"/>
  <c r="E81" i="18"/>
  <c r="AC80" i="18"/>
  <c r="K16" i="4" s="1"/>
  <c r="C80" i="18"/>
  <c r="AC79" i="18"/>
  <c r="K15" i="4" s="1"/>
  <c r="C79" i="18"/>
  <c r="AC78" i="18"/>
  <c r="C78" i="18"/>
  <c r="D55" i="18"/>
  <c r="Z55" i="18" s="1"/>
  <c r="D56" i="18"/>
  <c r="AB56" i="18" s="1"/>
  <c r="D57" i="18"/>
  <c r="V57" i="18" s="1"/>
  <c r="D58" i="18"/>
  <c r="X58" i="18" s="1"/>
  <c r="D59" i="18"/>
  <c r="V59" i="18" s="1"/>
  <c r="D54" i="18"/>
  <c r="AB54" i="18" s="1"/>
  <c r="D49" i="18"/>
  <c r="Z49" i="18" s="1"/>
  <c r="M32" i="7" s="1"/>
  <c r="D50" i="18"/>
  <c r="V50" i="18" s="1"/>
  <c r="K33" i="7" s="1"/>
  <c r="D48" i="18"/>
  <c r="V48" i="18" s="1"/>
  <c r="AA60" i="18"/>
  <c r="Y60" i="18"/>
  <c r="W60" i="18"/>
  <c r="U60" i="18"/>
  <c r="S60" i="18"/>
  <c r="Q60" i="18"/>
  <c r="O60" i="18"/>
  <c r="M60" i="18"/>
  <c r="K60" i="18"/>
  <c r="I60" i="18"/>
  <c r="G60" i="18"/>
  <c r="E60" i="18"/>
  <c r="AC59" i="18"/>
  <c r="H24" i="4" s="1"/>
  <c r="C59" i="18"/>
  <c r="AC58" i="18"/>
  <c r="H23" i="4" s="1"/>
  <c r="C58" i="18"/>
  <c r="AC57" i="18"/>
  <c r="H22" i="4" s="1"/>
  <c r="C57" i="18"/>
  <c r="AC56" i="18"/>
  <c r="H21" i="4" s="1"/>
  <c r="C56" i="18"/>
  <c r="AC55" i="18"/>
  <c r="H20" i="4" s="1"/>
  <c r="C55" i="18"/>
  <c r="AC54" i="18"/>
  <c r="H19" i="4" s="1"/>
  <c r="C54" i="18"/>
  <c r="AA51" i="18"/>
  <c r="Y51" i="18"/>
  <c r="W51" i="18"/>
  <c r="U51" i="18"/>
  <c r="S51" i="18"/>
  <c r="Q51" i="18"/>
  <c r="O51" i="18"/>
  <c r="M51" i="18"/>
  <c r="K51" i="18"/>
  <c r="I51" i="18"/>
  <c r="G51" i="18"/>
  <c r="E51" i="18"/>
  <c r="AC50" i="18"/>
  <c r="H16" i="4" s="1"/>
  <c r="C50" i="18"/>
  <c r="AC49" i="18"/>
  <c r="H15" i="4" s="1"/>
  <c r="C49" i="18"/>
  <c r="AC48" i="18"/>
  <c r="H14" i="4" s="1"/>
  <c r="C48" i="18"/>
  <c r="AC25" i="18"/>
  <c r="AC26" i="18"/>
  <c r="AC27" i="18"/>
  <c r="AC32" i="18"/>
  <c r="E20" i="4" s="1"/>
  <c r="AC33" i="18"/>
  <c r="E21" i="4" s="1"/>
  <c r="AC34" i="18"/>
  <c r="E22" i="4" s="1"/>
  <c r="AC35" i="18"/>
  <c r="E23" i="4" s="1"/>
  <c r="AC36" i="18"/>
  <c r="E24" i="4" s="1"/>
  <c r="AC31" i="18"/>
  <c r="E19" i="4" s="1"/>
  <c r="U37" i="18"/>
  <c r="W37" i="18"/>
  <c r="Y37" i="18"/>
  <c r="AA37" i="18"/>
  <c r="Y28" i="18"/>
  <c r="AA28" i="18"/>
  <c r="W28" i="18"/>
  <c r="U28" i="18"/>
  <c r="S37" i="18"/>
  <c r="Q37" i="18"/>
  <c r="O37" i="18"/>
  <c r="M37" i="18"/>
  <c r="S28" i="18"/>
  <c r="Q28" i="18"/>
  <c r="O28" i="18"/>
  <c r="M28" i="18"/>
  <c r="K37" i="18"/>
  <c r="I37" i="18"/>
  <c r="G37" i="18"/>
  <c r="K28" i="18"/>
  <c r="I28" i="18"/>
  <c r="G28" i="18"/>
  <c r="E37" i="18"/>
  <c r="E28" i="18"/>
  <c r="H85" i="18" l="1"/>
  <c r="H88" i="18"/>
  <c r="F78" i="18"/>
  <c r="X85" i="18"/>
  <c r="V78" i="18"/>
  <c r="F79" i="18"/>
  <c r="C42" i="7" s="1"/>
  <c r="N89" i="18"/>
  <c r="H78" i="18"/>
  <c r="N85" i="18"/>
  <c r="P89" i="18"/>
  <c r="Z54" i="18"/>
  <c r="AB89" i="18"/>
  <c r="N78" i="18"/>
  <c r="P85" i="18"/>
  <c r="F89" i="18"/>
  <c r="V89" i="18"/>
  <c r="AB85" i="18"/>
  <c r="X78" i="18"/>
  <c r="X56" i="18"/>
  <c r="Z78" i="18"/>
  <c r="F85" i="18"/>
  <c r="H89" i="18"/>
  <c r="V55" i="18"/>
  <c r="F55" i="18"/>
  <c r="AB55" i="18"/>
  <c r="L55" i="18"/>
  <c r="T55" i="18"/>
  <c r="P54" i="18"/>
  <c r="N55" i="18"/>
  <c r="N56" i="18"/>
  <c r="AB79" i="18"/>
  <c r="N42" i="7" s="1"/>
  <c r="F86" i="18"/>
  <c r="H79" i="18"/>
  <c r="D42" i="7" s="1"/>
  <c r="X79" i="18"/>
  <c r="L42" i="7" s="1"/>
  <c r="N86" i="18"/>
  <c r="AB88" i="18"/>
  <c r="N80" i="18"/>
  <c r="AC81" i="18"/>
  <c r="AC90" i="18"/>
  <c r="P79" i="18"/>
  <c r="H42" i="7" s="1"/>
  <c r="V80" i="18"/>
  <c r="K43" i="7" s="1"/>
  <c r="F54" i="18"/>
  <c r="K91" i="18"/>
  <c r="S91" i="18"/>
  <c r="AA91" i="18"/>
  <c r="AB86" i="18"/>
  <c r="V79" i="18"/>
  <c r="K42" i="7" s="1"/>
  <c r="P59" i="18"/>
  <c r="K14" i="4"/>
  <c r="R59" i="18"/>
  <c r="K19" i="4"/>
  <c r="N88" i="18"/>
  <c r="X88" i="18"/>
  <c r="P88" i="18"/>
  <c r="F88" i="18"/>
  <c r="AB80" i="18"/>
  <c r="N43" i="7" s="1"/>
  <c r="F84" i="18"/>
  <c r="N84" i="18"/>
  <c r="V84" i="18"/>
  <c r="F87" i="18"/>
  <c r="N87" i="18"/>
  <c r="V87" i="18"/>
  <c r="H54" i="18"/>
  <c r="R54" i="18"/>
  <c r="F56" i="18"/>
  <c r="P56" i="18"/>
  <c r="Z56" i="18"/>
  <c r="H80" i="18"/>
  <c r="P80" i="18"/>
  <c r="H43" i="7" s="1"/>
  <c r="X80" i="18"/>
  <c r="L43" i="7" s="1"/>
  <c r="H84" i="18"/>
  <c r="P84" i="18"/>
  <c r="X84" i="18"/>
  <c r="H86" i="18"/>
  <c r="P86" i="18"/>
  <c r="X86" i="18"/>
  <c r="H87" i="18"/>
  <c r="P87" i="18"/>
  <c r="X87" i="18"/>
  <c r="AC28" i="18"/>
  <c r="J54" i="18"/>
  <c r="V54" i="18"/>
  <c r="H55" i="18"/>
  <c r="P55" i="18"/>
  <c r="X55" i="18"/>
  <c r="H56" i="18"/>
  <c r="R56" i="18"/>
  <c r="H59" i="18"/>
  <c r="X59" i="18"/>
  <c r="C91" i="18"/>
  <c r="J78" i="18"/>
  <c r="R78" i="18"/>
  <c r="J79" i="18"/>
  <c r="E42" i="7" s="1"/>
  <c r="R79" i="18"/>
  <c r="I42" i="7" s="1"/>
  <c r="Z79" i="18"/>
  <c r="M42" i="7" s="1"/>
  <c r="J80" i="18"/>
  <c r="E43" i="7" s="1"/>
  <c r="R80" i="18"/>
  <c r="I43" i="7" s="1"/>
  <c r="Z80" i="18"/>
  <c r="M43" i="7" s="1"/>
  <c r="J84" i="18"/>
  <c r="R84" i="18"/>
  <c r="Z84" i="18"/>
  <c r="J85" i="18"/>
  <c r="R85" i="18"/>
  <c r="Z85" i="18"/>
  <c r="J86" i="18"/>
  <c r="R86" i="18"/>
  <c r="Z86" i="18"/>
  <c r="J87" i="18"/>
  <c r="R87" i="18"/>
  <c r="Z87" i="18"/>
  <c r="J88" i="18"/>
  <c r="R88" i="18"/>
  <c r="Z88" i="18"/>
  <c r="J89" i="18"/>
  <c r="R89" i="18"/>
  <c r="Z89" i="18"/>
  <c r="G38" i="18"/>
  <c r="O38" i="18"/>
  <c r="N54" i="18"/>
  <c r="X54" i="18"/>
  <c r="J55" i="18"/>
  <c r="R55" i="18"/>
  <c r="J56" i="18"/>
  <c r="V56" i="18"/>
  <c r="J59" i="18"/>
  <c r="Z59" i="18"/>
  <c r="E91" i="18"/>
  <c r="L78" i="18"/>
  <c r="T78" i="18"/>
  <c r="AB78" i="18"/>
  <c r="L79" i="18"/>
  <c r="F42" i="7" s="1"/>
  <c r="T79" i="18"/>
  <c r="J42" i="7" s="1"/>
  <c r="L80" i="18"/>
  <c r="F43" i="7" s="1"/>
  <c r="T80" i="18"/>
  <c r="J43" i="7" s="1"/>
  <c r="L84" i="18"/>
  <c r="T84" i="18"/>
  <c r="L85" i="18"/>
  <c r="T85" i="18"/>
  <c r="L86" i="18"/>
  <c r="T86" i="18"/>
  <c r="L87" i="18"/>
  <c r="T87" i="18"/>
  <c r="L88" i="18"/>
  <c r="T88" i="18"/>
  <c r="L89" i="18"/>
  <c r="T89" i="18"/>
  <c r="G91" i="18"/>
  <c r="O91" i="18"/>
  <c r="W91" i="18"/>
  <c r="Q91" i="18"/>
  <c r="I91" i="18"/>
  <c r="Y91" i="18"/>
  <c r="M91" i="18"/>
  <c r="U91" i="18"/>
  <c r="T49" i="18"/>
  <c r="J32" i="7" s="1"/>
  <c r="F49" i="18"/>
  <c r="C32" i="7" s="1"/>
  <c r="L54" i="18"/>
  <c r="T54" i="18"/>
  <c r="L56" i="18"/>
  <c r="T56" i="18"/>
  <c r="H50" i="18"/>
  <c r="D33" i="7" s="1"/>
  <c r="H49" i="18"/>
  <c r="D32" i="7" s="1"/>
  <c r="P50" i="18"/>
  <c r="H33" i="7" s="1"/>
  <c r="J57" i="18"/>
  <c r="P49" i="18"/>
  <c r="H32" i="7" s="1"/>
  <c r="Z57" i="18"/>
  <c r="L49" i="18"/>
  <c r="F32" i="7" s="1"/>
  <c r="X49" i="18"/>
  <c r="L32" i="7" s="1"/>
  <c r="L59" i="18"/>
  <c r="T59" i="18"/>
  <c r="AB59" i="18"/>
  <c r="N49" i="18"/>
  <c r="G32" i="7" s="1"/>
  <c r="AB49" i="18"/>
  <c r="N32" i="7" s="1"/>
  <c r="F59" i="18"/>
  <c r="N59" i="18"/>
  <c r="V49" i="18"/>
  <c r="P57" i="18"/>
  <c r="R57" i="18"/>
  <c r="E38" i="18"/>
  <c r="S38" i="18"/>
  <c r="J49" i="18"/>
  <c r="E32" i="7" s="1"/>
  <c r="R49" i="18"/>
  <c r="I32" i="7" s="1"/>
  <c r="X50" i="18"/>
  <c r="L33" i="7" s="1"/>
  <c r="H57" i="18"/>
  <c r="X57" i="18"/>
  <c r="M38" i="18"/>
  <c r="I38" i="18"/>
  <c r="K38" i="18"/>
  <c r="Q38" i="18"/>
  <c r="W38" i="18"/>
  <c r="R50" i="18"/>
  <c r="I33" i="7" s="1"/>
  <c r="N48" i="18"/>
  <c r="R58" i="18"/>
  <c r="J50" i="18"/>
  <c r="E33" i="7" s="1"/>
  <c r="Z50" i="18"/>
  <c r="M33" i="7" s="1"/>
  <c r="T48" i="18"/>
  <c r="Z58" i="18"/>
  <c r="AA38" i="18"/>
  <c r="F48" i="18"/>
  <c r="AB48" i="18"/>
  <c r="L50" i="18"/>
  <c r="F33" i="7" s="1"/>
  <c r="T50" i="18"/>
  <c r="J33" i="7" s="1"/>
  <c r="AB50" i="18"/>
  <c r="N33" i="7" s="1"/>
  <c r="L57" i="18"/>
  <c r="T57" i="18"/>
  <c r="AB57" i="18"/>
  <c r="Y38" i="18"/>
  <c r="U38" i="18"/>
  <c r="C61" i="18"/>
  <c r="AC60" i="18"/>
  <c r="G61" i="18"/>
  <c r="O61" i="18"/>
  <c r="W61" i="18"/>
  <c r="L48" i="18"/>
  <c r="F50" i="18"/>
  <c r="C33" i="7" s="1"/>
  <c r="N50" i="18"/>
  <c r="G33" i="7" s="1"/>
  <c r="Z48" i="18"/>
  <c r="F57" i="18"/>
  <c r="N57" i="18"/>
  <c r="J58" i="18"/>
  <c r="L58" i="18"/>
  <c r="T58" i="18"/>
  <c r="AB58" i="18"/>
  <c r="F58" i="18"/>
  <c r="N58" i="18"/>
  <c r="V58" i="18"/>
  <c r="H58" i="18"/>
  <c r="P58" i="18"/>
  <c r="E61" i="18"/>
  <c r="H48" i="18"/>
  <c r="P48" i="18"/>
  <c r="X48" i="18"/>
  <c r="J48" i="18"/>
  <c r="R48" i="18"/>
  <c r="I61" i="18"/>
  <c r="Q61" i="18"/>
  <c r="Y61" i="18"/>
  <c r="AC51" i="18"/>
  <c r="K61" i="18"/>
  <c r="S61" i="18"/>
  <c r="AA61" i="18"/>
  <c r="M61" i="18"/>
  <c r="U61" i="18"/>
  <c r="AC37" i="18"/>
  <c r="C24" i="4"/>
  <c r="C23" i="4"/>
  <c r="C22" i="4"/>
  <c r="C21" i="4"/>
  <c r="C20" i="4"/>
  <c r="C19" i="4"/>
  <c r="C16" i="4"/>
  <c r="C15" i="4"/>
  <c r="C14" i="4"/>
  <c r="D36" i="18"/>
  <c r="D35" i="18"/>
  <c r="D34" i="18"/>
  <c r="D33" i="18"/>
  <c r="D32" i="18"/>
  <c r="D31" i="18"/>
  <c r="D27" i="18"/>
  <c r="D26" i="18"/>
  <c r="D25" i="18"/>
  <c r="J42" i="19"/>
  <c r="J41" i="19"/>
  <c r="J40" i="19"/>
  <c r="J36" i="19"/>
  <c r="K36" i="19" s="1"/>
  <c r="J35" i="19"/>
  <c r="G42" i="19"/>
  <c r="G41" i="19"/>
  <c r="G40" i="19"/>
  <c r="K35" i="19"/>
  <c r="F81" i="18" l="1"/>
  <c r="V51" i="18"/>
  <c r="K32" i="7"/>
  <c r="H81" i="18"/>
  <c r="D43" i="7"/>
  <c r="N81" i="18"/>
  <c r="G43" i="7"/>
  <c r="X81" i="18"/>
  <c r="V81" i="18"/>
  <c r="V60" i="18"/>
  <c r="AB81" i="18"/>
  <c r="X60" i="18"/>
  <c r="P81" i="18"/>
  <c r="T90" i="18"/>
  <c r="AD79" i="18"/>
  <c r="L15" i="4" s="1"/>
  <c r="Z81" i="18"/>
  <c r="AD55" i="18"/>
  <c r="X90" i="18"/>
  <c r="Z90" i="18"/>
  <c r="J60" i="18"/>
  <c r="AD56" i="18"/>
  <c r="R90" i="18"/>
  <c r="R81" i="18"/>
  <c r="J90" i="18"/>
  <c r="J81" i="18"/>
  <c r="H51" i="18"/>
  <c r="AD80" i="18"/>
  <c r="L16" i="4" s="1"/>
  <c r="L81" i="18"/>
  <c r="V90" i="18"/>
  <c r="V91" i="18" s="1"/>
  <c r="H90" i="18"/>
  <c r="N90" i="18"/>
  <c r="N91" i="18" s="1"/>
  <c r="AD89" i="18"/>
  <c r="AD85" i="18"/>
  <c r="AD87" i="18"/>
  <c r="P90" i="18"/>
  <c r="AD88" i="18"/>
  <c r="AD78" i="18"/>
  <c r="T81" i="18"/>
  <c r="T91" i="18" s="1"/>
  <c r="L90" i="18"/>
  <c r="AD86" i="18"/>
  <c r="AD84" i="18"/>
  <c r="F90" i="18"/>
  <c r="F91" i="18" s="1"/>
  <c r="AB90" i="18"/>
  <c r="AB91" i="18" s="1"/>
  <c r="F51" i="18"/>
  <c r="R60" i="18"/>
  <c r="Z51" i="18"/>
  <c r="Z60" i="18"/>
  <c r="P51" i="18"/>
  <c r="AD59" i="18"/>
  <c r="X51" i="18"/>
  <c r="AD49" i="18"/>
  <c r="I15" i="4" s="1"/>
  <c r="R51" i="18"/>
  <c r="F60" i="18"/>
  <c r="N60" i="18"/>
  <c r="AB51" i="18"/>
  <c r="T60" i="18"/>
  <c r="J51" i="18"/>
  <c r="AD57" i="18"/>
  <c r="AD58" i="18"/>
  <c r="AD50" i="18"/>
  <c r="I16" i="4" s="1"/>
  <c r="N51" i="18"/>
  <c r="V61" i="18"/>
  <c r="H60" i="18"/>
  <c r="T51" i="18"/>
  <c r="L60" i="18"/>
  <c r="AD54" i="18"/>
  <c r="L51" i="18"/>
  <c r="AD48" i="18"/>
  <c r="P60" i="18"/>
  <c r="AB60" i="18"/>
  <c r="G36" i="19"/>
  <c r="K40" i="19"/>
  <c r="K42" i="19"/>
  <c r="K41" i="19"/>
  <c r="P91" i="18" l="1"/>
  <c r="H91" i="18"/>
  <c r="X91" i="18"/>
  <c r="F61" i="18"/>
  <c r="X61" i="18"/>
  <c r="J61" i="18"/>
  <c r="L91" i="18"/>
  <c r="Z91" i="18"/>
  <c r="P61" i="18"/>
  <c r="AD81" i="18"/>
  <c r="L14" i="4"/>
  <c r="R91" i="18"/>
  <c r="H61" i="18"/>
  <c r="J91" i="18"/>
  <c r="AD90" i="18"/>
  <c r="Z61" i="18"/>
  <c r="R61" i="18"/>
  <c r="AB61" i="18"/>
  <c r="N61" i="18"/>
  <c r="T61" i="18"/>
  <c r="AD60" i="18"/>
  <c r="AD51" i="18"/>
  <c r="I14" i="4"/>
  <c r="L61" i="18"/>
  <c r="O43" i="7"/>
  <c r="E13" i="7" s="1"/>
  <c r="O42" i="7"/>
  <c r="E12" i="7" s="1"/>
  <c r="AD91" i="18" l="1"/>
  <c r="AD61" i="18"/>
  <c r="E16" i="4" l="1"/>
  <c r="E15" i="4"/>
  <c r="E14" i="4"/>
  <c r="O32" i="7" l="1"/>
  <c r="D12" i="7" s="1"/>
  <c r="J36" i="8"/>
  <c r="I36" i="8"/>
  <c r="H36" i="8"/>
  <c r="G36" i="8"/>
  <c r="F36" i="8"/>
  <c r="E36" i="8"/>
  <c r="J35" i="8"/>
  <c r="I35" i="8"/>
  <c r="H35" i="8"/>
  <c r="G35" i="8"/>
  <c r="F35" i="8"/>
  <c r="E35" i="8"/>
  <c r="E43" i="6"/>
  <c r="F43" i="6"/>
  <c r="G43" i="6"/>
  <c r="H43" i="6"/>
  <c r="I43" i="6"/>
  <c r="J43" i="6"/>
  <c r="K43" i="6"/>
  <c r="L43" i="6"/>
  <c r="M43" i="6"/>
  <c r="N43" i="6"/>
  <c r="D43" i="6"/>
  <c r="C43" i="6"/>
  <c r="O33" i="7" l="1"/>
  <c r="D13" i="7" s="1"/>
  <c r="C34" i="7"/>
  <c r="K35" i="8"/>
  <c r="K36" i="8"/>
  <c r="D35" i="8" l="1"/>
  <c r="M80" i="8"/>
  <c r="I80" i="8"/>
  <c r="J80" i="8"/>
  <c r="L80" i="8"/>
  <c r="G80" i="8"/>
  <c r="H80" i="8"/>
  <c r="N80" i="8"/>
  <c r="K80" i="8"/>
  <c r="F80" i="8"/>
  <c r="H82" i="8"/>
  <c r="K82" i="8"/>
  <c r="J82" i="8"/>
  <c r="M82" i="8"/>
  <c r="I82" i="8"/>
  <c r="N82" i="8"/>
  <c r="F82" i="8"/>
  <c r="G82" i="8"/>
  <c r="L82" i="8"/>
  <c r="O30" i="7"/>
  <c r="D10" i="7" s="1"/>
  <c r="D34" i="7"/>
  <c r="E34" i="7"/>
  <c r="D36" i="8"/>
  <c r="F34" i="7" l="1"/>
  <c r="O82" i="8"/>
  <c r="E20" i="8" s="1"/>
  <c r="O66" i="8"/>
  <c r="D20" i="8" s="1"/>
  <c r="G34" i="7" l="1"/>
  <c r="H34" i="7" l="1"/>
  <c r="I34" i="7" l="1"/>
  <c r="J34" i="7" l="1"/>
  <c r="K34" i="7" l="1"/>
  <c r="L34" i="7" l="1"/>
  <c r="M34" i="7" l="1"/>
  <c r="N34" i="7" l="1"/>
  <c r="O29" i="7"/>
  <c r="O34" i="7" l="1"/>
  <c r="E11" i="5" s="1"/>
  <c r="F16" i="11" s="1"/>
  <c r="F18" i="11" s="1"/>
  <c r="D9" i="7"/>
  <c r="C44" i="7"/>
  <c r="F21" i="15" l="1"/>
  <c r="F22" i="16"/>
  <c r="F21" i="13"/>
  <c r="O40" i="7"/>
  <c r="E10" i="7" s="1"/>
  <c r="D44" i="7"/>
  <c r="E44" i="7" l="1"/>
  <c r="F44" i="7" l="1"/>
  <c r="G44" i="7" l="1"/>
  <c r="H44" i="7" l="1"/>
  <c r="I44" i="7" l="1"/>
  <c r="J44" i="7" l="1"/>
  <c r="K44" i="7" l="1"/>
  <c r="L44" i="7" l="1"/>
  <c r="M44" i="7" l="1"/>
  <c r="N44" i="7" l="1"/>
  <c r="O39" i="7"/>
  <c r="O44" i="7" l="1"/>
  <c r="F11" i="5" s="1"/>
  <c r="G16" i="11" s="1"/>
  <c r="G18" i="11" s="1"/>
  <c r="E9" i="7"/>
  <c r="G21" i="13" l="1"/>
  <c r="G22" i="16"/>
  <c r="G21" i="15"/>
  <c r="G21" i="14"/>
  <c r="AC99" i="18" l="1"/>
  <c r="J32" i="9" s="1"/>
  <c r="AC98" i="18"/>
  <c r="J30" i="9" s="1"/>
  <c r="AC96" i="18"/>
  <c r="AC95" i="18"/>
  <c r="L24" i="4"/>
  <c r="L23" i="4"/>
  <c r="L22" i="4"/>
  <c r="L21" i="4"/>
  <c r="L20" i="4"/>
  <c r="L19" i="4"/>
  <c r="AC73" i="18"/>
  <c r="H32" i="9" s="1"/>
  <c r="AC72" i="18"/>
  <c r="H30" i="9" s="1"/>
  <c r="AC70" i="18"/>
  <c r="H27" i="9" s="1"/>
  <c r="AC68" i="18"/>
  <c r="AC67" i="18"/>
  <c r="AC66" i="18"/>
  <c r="I24" i="4"/>
  <c r="I23" i="4"/>
  <c r="I22" i="4"/>
  <c r="I21" i="4"/>
  <c r="I20" i="4"/>
  <c r="I19" i="4"/>
  <c r="AC41" i="18"/>
  <c r="AC42" i="18"/>
  <c r="F30" i="9" s="1"/>
  <c r="AC43" i="18"/>
  <c r="F32" i="9" s="1"/>
  <c r="F22" i="4" l="1"/>
  <c r="F23" i="4"/>
  <c r="AB35" i="18"/>
  <c r="Z35" i="18"/>
  <c r="X35" i="18"/>
  <c r="V35" i="18"/>
  <c r="T35" i="18"/>
  <c r="R35" i="18"/>
  <c r="P35" i="18"/>
  <c r="N35" i="18"/>
  <c r="L35" i="18"/>
  <c r="J35" i="18"/>
  <c r="H35" i="18"/>
  <c r="F35" i="18"/>
  <c r="AB34" i="18"/>
  <c r="Z34" i="18"/>
  <c r="X34" i="18"/>
  <c r="V34" i="18"/>
  <c r="T34" i="18"/>
  <c r="R34" i="18"/>
  <c r="P34" i="18"/>
  <c r="N34" i="18"/>
  <c r="L34" i="18"/>
  <c r="J34" i="18"/>
  <c r="H34" i="18"/>
  <c r="F34" i="18"/>
  <c r="R36" i="18"/>
  <c r="AB36" i="18"/>
  <c r="AB33" i="18"/>
  <c r="N32" i="18"/>
  <c r="J32" i="18"/>
  <c r="AB32" i="18"/>
  <c r="F19" i="4"/>
  <c r="Z31" i="18"/>
  <c r="AB31" i="18"/>
  <c r="Z27" i="18"/>
  <c r="M23" i="7" s="1"/>
  <c r="X27" i="18"/>
  <c r="L23" i="7" s="1"/>
  <c r="V27" i="18"/>
  <c r="K23" i="7" s="1"/>
  <c r="R27" i="18"/>
  <c r="P27" i="18"/>
  <c r="N27" i="18"/>
  <c r="G23" i="7" s="1"/>
  <c r="J27" i="18"/>
  <c r="E23" i="7" s="1"/>
  <c r="H27" i="18"/>
  <c r="D23" i="7" s="1"/>
  <c r="F27" i="18"/>
  <c r="C23" i="7" s="1"/>
  <c r="AB27" i="18"/>
  <c r="N23" i="7" s="1"/>
  <c r="Z26" i="18"/>
  <c r="M22" i="7" s="1"/>
  <c r="X26" i="18"/>
  <c r="L22" i="7" s="1"/>
  <c r="V26" i="18"/>
  <c r="K22" i="7" s="1"/>
  <c r="R26" i="18"/>
  <c r="I22" i="7" s="1"/>
  <c r="P26" i="18"/>
  <c r="H22" i="7" s="1"/>
  <c r="N26" i="18"/>
  <c r="G22" i="7" s="1"/>
  <c r="J26" i="18"/>
  <c r="E22" i="7" s="1"/>
  <c r="H26" i="18"/>
  <c r="D22" i="7" s="1"/>
  <c r="F26" i="18"/>
  <c r="C22" i="7" s="1"/>
  <c r="AB26" i="18"/>
  <c r="N22" i="7" s="1"/>
  <c r="Z25" i="18"/>
  <c r="X25" i="18"/>
  <c r="V25" i="18"/>
  <c r="R25" i="18"/>
  <c r="P25" i="18"/>
  <c r="N25" i="18"/>
  <c r="J25" i="18"/>
  <c r="H25" i="18"/>
  <c r="F25" i="18"/>
  <c r="AB25" i="18"/>
  <c r="J19" i="7"/>
  <c r="K19" i="7" s="1"/>
  <c r="L19" i="7" s="1"/>
  <c r="M19" i="7" s="1"/>
  <c r="N19" i="7" s="1"/>
  <c r="H23" i="7" l="1"/>
  <c r="I23" i="7"/>
  <c r="H28" i="18"/>
  <c r="R28" i="18"/>
  <c r="P28" i="18"/>
  <c r="Z28" i="18"/>
  <c r="N28" i="18"/>
  <c r="X28" i="18"/>
  <c r="J28" i="18"/>
  <c r="V28" i="18"/>
  <c r="F28" i="18"/>
  <c r="AD34" i="18"/>
  <c r="AD35" i="18"/>
  <c r="AB37" i="18"/>
  <c r="AB28" i="18"/>
  <c r="O19" i="7"/>
  <c r="P36" i="18"/>
  <c r="F31" i="18"/>
  <c r="J31" i="18"/>
  <c r="R32" i="18"/>
  <c r="R31" i="18"/>
  <c r="V31" i="18"/>
  <c r="X31" i="18"/>
  <c r="P32" i="18"/>
  <c r="H33" i="18"/>
  <c r="V36" i="18"/>
  <c r="F33" i="18"/>
  <c r="X36" i="18"/>
  <c r="H31" i="18"/>
  <c r="V32" i="18"/>
  <c r="N33" i="18"/>
  <c r="F36" i="18"/>
  <c r="Z36" i="18"/>
  <c r="X32" i="18"/>
  <c r="P33" i="18"/>
  <c r="H36" i="18"/>
  <c r="X33" i="18"/>
  <c r="Z33" i="18"/>
  <c r="J33" i="18"/>
  <c r="N31" i="18"/>
  <c r="F32" i="18"/>
  <c r="Z32" i="18"/>
  <c r="R33" i="18"/>
  <c r="J36" i="18"/>
  <c r="P31" i="18"/>
  <c r="H32" i="18"/>
  <c r="V33" i="18"/>
  <c r="N36" i="18"/>
  <c r="F21" i="4"/>
  <c r="F20" i="4"/>
  <c r="C25" i="4"/>
  <c r="F24" i="4"/>
  <c r="K25" i="4"/>
  <c r="E25" i="4"/>
  <c r="H25" i="4"/>
  <c r="T25" i="18"/>
  <c r="T26" i="18"/>
  <c r="T27" i="18"/>
  <c r="J23" i="7" s="1"/>
  <c r="T31" i="18"/>
  <c r="T32" i="18"/>
  <c r="T33" i="18"/>
  <c r="T36" i="18"/>
  <c r="L25" i="18"/>
  <c r="L26" i="18"/>
  <c r="F22" i="7" s="1"/>
  <c r="L27" i="18"/>
  <c r="F23" i="7" s="1"/>
  <c r="L31" i="18"/>
  <c r="L32" i="18"/>
  <c r="L33" i="18"/>
  <c r="L36" i="18"/>
  <c r="O22" i="7" l="1"/>
  <c r="C12" i="7" s="1"/>
  <c r="O23" i="7"/>
  <c r="AD26" i="18"/>
  <c r="F15" i="4" s="1"/>
  <c r="L28" i="18"/>
  <c r="T37" i="18"/>
  <c r="AB38" i="18"/>
  <c r="Z37" i="18"/>
  <c r="Z38" i="18" s="1"/>
  <c r="AD27" i="18"/>
  <c r="F16" i="4" s="1"/>
  <c r="P37" i="18"/>
  <c r="P38" i="18" s="1"/>
  <c r="L37" i="18"/>
  <c r="V37" i="18"/>
  <c r="V38" i="18" s="1"/>
  <c r="AD31" i="18"/>
  <c r="F37" i="18"/>
  <c r="F38" i="18" s="1"/>
  <c r="AD25" i="18"/>
  <c r="AD32" i="18"/>
  <c r="H37" i="18"/>
  <c r="H38" i="18" s="1"/>
  <c r="R37" i="18"/>
  <c r="R38" i="18" s="1"/>
  <c r="T28" i="18"/>
  <c r="N37" i="18"/>
  <c r="N38" i="18" s="1"/>
  <c r="AD36" i="18"/>
  <c r="AD33" i="18"/>
  <c r="J37" i="18"/>
  <c r="J38" i="18" s="1"/>
  <c r="X37" i="18"/>
  <c r="X38" i="18" s="1"/>
  <c r="O20" i="7"/>
  <c r="C10" i="7" s="1"/>
  <c r="L25" i="4"/>
  <c r="I25" i="4"/>
  <c r="L38" i="18" l="1"/>
  <c r="T38" i="18"/>
  <c r="AD37" i="18"/>
  <c r="F14" i="4"/>
  <c r="F25" i="4" s="1"/>
  <c r="D24" i="4" s="1"/>
  <c r="C36" i="18" s="1"/>
  <c r="AD28" i="18"/>
  <c r="J15" i="4"/>
  <c r="J16" i="4"/>
  <c r="J14" i="4"/>
  <c r="J20" i="4"/>
  <c r="J22" i="4"/>
  <c r="J19" i="4"/>
  <c r="J24" i="4"/>
  <c r="J21" i="4"/>
  <c r="J23" i="4"/>
  <c r="G15" i="4"/>
  <c r="G16" i="4"/>
  <c r="G14" i="4"/>
  <c r="G23" i="4"/>
  <c r="G22" i="4"/>
  <c r="G19" i="4"/>
  <c r="G24" i="4"/>
  <c r="G21" i="4"/>
  <c r="G20" i="4"/>
  <c r="H10" i="4"/>
  <c r="G14" i="11"/>
  <c r="G19" i="14"/>
  <c r="G19" i="15"/>
  <c r="G20" i="16"/>
  <c r="G19" i="13"/>
  <c r="G10" i="4"/>
  <c r="F19" i="13"/>
  <c r="F19" i="15"/>
  <c r="F20" i="16"/>
  <c r="F14" i="11"/>
  <c r="F19" i="14"/>
  <c r="AD38" i="18" l="1"/>
  <c r="D22" i="4"/>
  <c r="C34" i="18" s="1"/>
  <c r="E19" i="15"/>
  <c r="E14" i="11"/>
  <c r="D14" i="4"/>
  <c r="C25" i="18" s="1"/>
  <c r="F10" i="4"/>
  <c r="D23" i="4"/>
  <c r="C35" i="18" s="1"/>
  <c r="D21" i="4"/>
  <c r="C33" i="18" s="1"/>
  <c r="D20" i="4"/>
  <c r="C32" i="18" s="1"/>
  <c r="D16" i="4"/>
  <c r="C27" i="18" s="1"/>
  <c r="E20" i="16"/>
  <c r="D15" i="4"/>
  <c r="C26" i="18" s="1"/>
  <c r="E19" i="13"/>
  <c r="D19" i="4"/>
  <c r="C31" i="18" s="1"/>
  <c r="E19" i="14"/>
  <c r="C38" i="18" l="1"/>
  <c r="C62" i="6"/>
  <c r="F17" i="10"/>
  <c r="C34" i="9"/>
  <c r="E34" i="9" s="1"/>
  <c r="C33" i="9"/>
  <c r="C32" i="9"/>
  <c r="C30" i="9"/>
  <c r="C28" i="9"/>
  <c r="C27" i="9"/>
  <c r="K27" i="9" s="1"/>
  <c r="J34" i="8"/>
  <c r="I34" i="8"/>
  <c r="H34" i="8"/>
  <c r="G34" i="8"/>
  <c r="F34" i="8"/>
  <c r="E34" i="8"/>
  <c r="J32" i="8"/>
  <c r="I32" i="8"/>
  <c r="H32" i="8"/>
  <c r="G32" i="8"/>
  <c r="F32" i="8"/>
  <c r="E32" i="8"/>
  <c r="J31" i="8"/>
  <c r="I31" i="8"/>
  <c r="H31" i="8"/>
  <c r="G31" i="8"/>
  <c r="F31" i="8"/>
  <c r="E31" i="8"/>
  <c r="J30" i="8"/>
  <c r="I30" i="8"/>
  <c r="H30" i="8"/>
  <c r="G30" i="8"/>
  <c r="F30" i="8"/>
  <c r="E30" i="8"/>
  <c r="J29" i="8"/>
  <c r="I29" i="8"/>
  <c r="H29" i="8"/>
  <c r="G29" i="8"/>
  <c r="F29" i="8"/>
  <c r="E29" i="8"/>
  <c r="J28" i="8"/>
  <c r="I28" i="8"/>
  <c r="H28" i="8"/>
  <c r="G28" i="8"/>
  <c r="F28" i="8"/>
  <c r="E28" i="8"/>
  <c r="J27" i="8"/>
  <c r="I27" i="8"/>
  <c r="H27" i="8"/>
  <c r="G27" i="8"/>
  <c r="F27" i="8"/>
  <c r="E27" i="8"/>
  <c r="J26" i="8"/>
  <c r="I26" i="8"/>
  <c r="H26" i="8"/>
  <c r="G26" i="8"/>
  <c r="F26" i="8"/>
  <c r="E26" i="8"/>
  <c r="D25" i="8"/>
  <c r="O28" i="6"/>
  <c r="C9" i="6" s="1"/>
  <c r="H17" i="10" l="1"/>
  <c r="J17" i="10" s="1"/>
  <c r="I28" i="9"/>
  <c r="G28" i="9"/>
  <c r="K28" i="9"/>
  <c r="D81" i="6"/>
  <c r="I32" i="9"/>
  <c r="G32" i="9"/>
  <c r="K32" i="9"/>
  <c r="G27" i="9"/>
  <c r="I27" i="9"/>
  <c r="I30" i="9"/>
  <c r="K30" i="9"/>
  <c r="G30" i="9"/>
  <c r="E33" i="9"/>
  <c r="E27" i="9"/>
  <c r="E32" i="9"/>
  <c r="K34" i="8"/>
  <c r="K26" i="8"/>
  <c r="K27" i="8"/>
  <c r="K28" i="8"/>
  <c r="K32" i="8"/>
  <c r="K30" i="8"/>
  <c r="K29" i="8"/>
  <c r="C13" i="7"/>
  <c r="D62" i="6"/>
  <c r="K31" i="8"/>
  <c r="E28" i="9"/>
  <c r="E30" i="9"/>
  <c r="C24" i="6"/>
  <c r="D10" i="5" s="1"/>
  <c r="K63" i="8" l="1"/>
  <c r="D63" i="8"/>
  <c r="C63" i="8"/>
  <c r="L63" i="8"/>
  <c r="E63" i="8"/>
  <c r="M63" i="8"/>
  <c r="F63" i="8"/>
  <c r="J63" i="8"/>
  <c r="I63" i="8"/>
  <c r="G63" i="8"/>
  <c r="H56" i="8"/>
  <c r="D56" i="8"/>
  <c r="K56" i="8"/>
  <c r="H72" i="8"/>
  <c r="G72" i="8"/>
  <c r="G56" i="8"/>
  <c r="C56" i="8"/>
  <c r="L56" i="8"/>
  <c r="D72" i="8"/>
  <c r="C72" i="8"/>
  <c r="F56" i="8"/>
  <c r="N56" i="8"/>
  <c r="M56" i="8"/>
  <c r="E72" i="8"/>
  <c r="J72" i="8"/>
  <c r="E56" i="8"/>
  <c r="J56" i="8"/>
  <c r="I56" i="8"/>
  <c r="F72" i="8"/>
  <c r="F23" i="10"/>
  <c r="H23" i="10" s="1"/>
  <c r="J23" i="10" s="1"/>
  <c r="K46" i="9"/>
  <c r="G27" i="14" s="1"/>
  <c r="G46" i="9"/>
  <c r="E27" i="15" s="1"/>
  <c r="E81" i="6"/>
  <c r="H57" i="8"/>
  <c r="H73" i="8"/>
  <c r="I46" i="9"/>
  <c r="F27" i="15" s="1"/>
  <c r="H65" i="8"/>
  <c r="L65" i="8"/>
  <c r="F65" i="8"/>
  <c r="G65" i="8"/>
  <c r="N65" i="8"/>
  <c r="M65" i="8"/>
  <c r="K65" i="8"/>
  <c r="J65" i="8"/>
  <c r="I65" i="8"/>
  <c r="K43" i="8"/>
  <c r="D43" i="8"/>
  <c r="C43" i="8"/>
  <c r="H43" i="8"/>
  <c r="L43" i="8"/>
  <c r="E43" i="8"/>
  <c r="N43" i="8"/>
  <c r="M43" i="8"/>
  <c r="F43" i="8"/>
  <c r="J43" i="8"/>
  <c r="I43" i="8"/>
  <c r="G43" i="8"/>
  <c r="E21" i="16"/>
  <c r="E20" i="15"/>
  <c r="E20" i="13"/>
  <c r="E20" i="14"/>
  <c r="E15" i="11"/>
  <c r="C44" i="9"/>
  <c r="E44" i="9" s="1"/>
  <c r="C45" i="9"/>
  <c r="E45" i="9" s="1"/>
  <c r="C43" i="9"/>
  <c r="E43" i="9" s="1"/>
  <c r="M76" i="8"/>
  <c r="N76" i="8"/>
  <c r="H76" i="8"/>
  <c r="L76" i="8"/>
  <c r="K76" i="8"/>
  <c r="J76" i="8"/>
  <c r="I76" i="8"/>
  <c r="D34" i="8"/>
  <c r="H81" i="8"/>
  <c r="J81" i="8"/>
  <c r="D81" i="8"/>
  <c r="M81" i="8"/>
  <c r="E81" i="8"/>
  <c r="G81" i="8"/>
  <c r="L81" i="8"/>
  <c r="F81" i="8"/>
  <c r="K81" i="8"/>
  <c r="I81" i="8"/>
  <c r="C81" i="8"/>
  <c r="N81" i="8"/>
  <c r="L78" i="8"/>
  <c r="K78" i="8"/>
  <c r="N78" i="8"/>
  <c r="J78" i="8"/>
  <c r="H78" i="8"/>
  <c r="M78" i="8"/>
  <c r="I78" i="8"/>
  <c r="L77" i="8"/>
  <c r="M77" i="8"/>
  <c r="N77" i="8"/>
  <c r="K77" i="8"/>
  <c r="J77" i="8"/>
  <c r="I77" i="8"/>
  <c r="H77" i="8"/>
  <c r="N75" i="8"/>
  <c r="K75" i="8"/>
  <c r="J75" i="8"/>
  <c r="I75" i="8"/>
  <c r="L75" i="8"/>
  <c r="M75" i="8"/>
  <c r="H75" i="8"/>
  <c r="L74" i="8"/>
  <c r="K74" i="8"/>
  <c r="H74" i="8"/>
  <c r="J74" i="8"/>
  <c r="I74" i="8"/>
  <c r="M74" i="8"/>
  <c r="J73" i="8"/>
  <c r="I73" i="8"/>
  <c r="M73" i="8"/>
  <c r="K73" i="8"/>
  <c r="L73" i="8"/>
  <c r="M72" i="8"/>
  <c r="L72" i="8"/>
  <c r="K72" i="8"/>
  <c r="I72" i="8"/>
  <c r="D26" i="8"/>
  <c r="D77" i="8"/>
  <c r="C77" i="8"/>
  <c r="G77" i="8"/>
  <c r="F77" i="8"/>
  <c r="E77" i="8"/>
  <c r="E74" i="8"/>
  <c r="D74" i="8"/>
  <c r="C74" i="8"/>
  <c r="G74" i="8"/>
  <c r="N74" i="8"/>
  <c r="F74" i="8"/>
  <c r="G73" i="8"/>
  <c r="N73" i="8"/>
  <c r="F73" i="8"/>
  <c r="E73" i="8"/>
  <c r="D73" i="8"/>
  <c r="C73" i="8"/>
  <c r="N72" i="8"/>
  <c r="G78" i="8"/>
  <c r="F78" i="8"/>
  <c r="E78" i="8"/>
  <c r="D78" i="8"/>
  <c r="C78" i="8"/>
  <c r="G75" i="8"/>
  <c r="F75" i="8"/>
  <c r="E75" i="8"/>
  <c r="D75" i="8"/>
  <c r="C75" i="8"/>
  <c r="D76" i="8"/>
  <c r="C76" i="8"/>
  <c r="G76" i="8"/>
  <c r="F76" i="8"/>
  <c r="E76" i="8"/>
  <c r="M62" i="8"/>
  <c r="L62" i="8"/>
  <c r="J62" i="8"/>
  <c r="N62" i="8"/>
  <c r="I62" i="8"/>
  <c r="K62" i="8"/>
  <c r="K58" i="8"/>
  <c r="F58" i="8"/>
  <c r="J58" i="8"/>
  <c r="G58" i="8"/>
  <c r="L58" i="8"/>
  <c r="H58" i="8"/>
  <c r="E58" i="8"/>
  <c r="N58" i="8"/>
  <c r="I58" i="8"/>
  <c r="M58" i="8"/>
  <c r="C58" i="8"/>
  <c r="D58" i="8"/>
  <c r="K61" i="8"/>
  <c r="J61" i="8"/>
  <c r="L61" i="8"/>
  <c r="N61" i="8"/>
  <c r="I61" i="8"/>
  <c r="M61" i="8"/>
  <c r="M57" i="8"/>
  <c r="D57" i="8"/>
  <c r="N42" i="8"/>
  <c r="J57" i="8"/>
  <c r="L57" i="8"/>
  <c r="E57" i="8"/>
  <c r="G57" i="8"/>
  <c r="C57" i="8"/>
  <c r="N57" i="8"/>
  <c r="K57" i="8"/>
  <c r="I57" i="8"/>
  <c r="F57" i="8"/>
  <c r="N59" i="8"/>
  <c r="M59" i="8"/>
  <c r="I59" i="8"/>
  <c r="D59" i="8"/>
  <c r="G59" i="8"/>
  <c r="L59" i="8"/>
  <c r="E59" i="8"/>
  <c r="J59" i="8"/>
  <c r="C59" i="8"/>
  <c r="K59" i="8"/>
  <c r="F59" i="8"/>
  <c r="H59" i="8"/>
  <c r="K60" i="8"/>
  <c r="F60" i="8"/>
  <c r="N60" i="8"/>
  <c r="J60" i="8"/>
  <c r="I60" i="8"/>
  <c r="G60" i="8"/>
  <c r="M60" i="8"/>
  <c r="E60" i="8"/>
  <c r="H60" i="8"/>
  <c r="D60" i="8"/>
  <c r="L60" i="8"/>
  <c r="C60" i="8"/>
  <c r="D28" i="8"/>
  <c r="J44" i="8"/>
  <c r="D44" i="8"/>
  <c r="K44" i="8"/>
  <c r="E44" i="8"/>
  <c r="L44" i="8"/>
  <c r="H44" i="8"/>
  <c r="M44" i="8"/>
  <c r="G44" i="8"/>
  <c r="N44" i="8"/>
  <c r="I44" i="8"/>
  <c r="F44" i="8"/>
  <c r="C44" i="8"/>
  <c r="M42" i="8"/>
  <c r="I42" i="8"/>
  <c r="G42" i="8"/>
  <c r="H42" i="8"/>
  <c r="K42" i="8"/>
  <c r="J42" i="8"/>
  <c r="D42" i="8"/>
  <c r="E42" i="8"/>
  <c r="C42" i="8"/>
  <c r="L42" i="8"/>
  <c r="F42" i="8"/>
  <c r="J45" i="8"/>
  <c r="K45" i="8"/>
  <c r="L45" i="8"/>
  <c r="M45" i="8"/>
  <c r="N45" i="8"/>
  <c r="I45" i="8"/>
  <c r="D32" i="8"/>
  <c r="D27" i="8"/>
  <c r="D29" i="8"/>
  <c r="D30" i="8"/>
  <c r="O50" i="8"/>
  <c r="D31" i="8"/>
  <c r="E62" i="6"/>
  <c r="M24" i="7"/>
  <c r="G24" i="7"/>
  <c r="J24" i="7"/>
  <c r="I24" i="7"/>
  <c r="C24" i="7"/>
  <c r="N24" i="7"/>
  <c r="F24" i="7"/>
  <c r="H24" i="7"/>
  <c r="E24" i="7"/>
  <c r="K24" i="7"/>
  <c r="D24" i="7"/>
  <c r="L24" i="7"/>
  <c r="E28" i="16" l="1"/>
  <c r="F27" i="13"/>
  <c r="E22" i="11"/>
  <c r="O63" i="8"/>
  <c r="E27" i="13"/>
  <c r="F22" i="11"/>
  <c r="F27" i="14"/>
  <c r="F28" i="16"/>
  <c r="E27" i="14"/>
  <c r="F81" i="6"/>
  <c r="O43" i="8"/>
  <c r="C13" i="8" s="1"/>
  <c r="E46" i="9"/>
  <c r="D27" i="14" s="1"/>
  <c r="D28" i="14" s="1"/>
  <c r="O73" i="8"/>
  <c r="E11" i="8" s="1"/>
  <c r="O56" i="8"/>
  <c r="D10" i="8" s="1"/>
  <c r="O78" i="8"/>
  <c r="E15" i="8" s="1"/>
  <c r="O76" i="8"/>
  <c r="E18" i="8" s="1"/>
  <c r="G83" i="8"/>
  <c r="E83" i="8"/>
  <c r="O81" i="8"/>
  <c r="E16" i="8" s="1"/>
  <c r="O58" i="8"/>
  <c r="D12" i="8" s="1"/>
  <c r="H83" i="8"/>
  <c r="M83" i="8"/>
  <c r="O77" i="8"/>
  <c r="E14" i="8" s="1"/>
  <c r="O80" i="8"/>
  <c r="E19" i="8" s="1"/>
  <c r="I83" i="8"/>
  <c r="J83" i="8"/>
  <c r="K83" i="8"/>
  <c r="O72" i="8"/>
  <c r="E10" i="8" s="1"/>
  <c r="F83" i="8"/>
  <c r="D83" i="8"/>
  <c r="O75" i="8"/>
  <c r="E13" i="8" s="1"/>
  <c r="N83" i="8"/>
  <c r="L83" i="8"/>
  <c r="O74" i="8"/>
  <c r="E12" i="8" s="1"/>
  <c r="C83" i="8"/>
  <c r="O59" i="8"/>
  <c r="D13" i="8" s="1"/>
  <c r="O57" i="8"/>
  <c r="D11" i="8" s="1"/>
  <c r="O60" i="8"/>
  <c r="D18" i="8" s="1"/>
  <c r="O65" i="8"/>
  <c r="D16" i="8" s="1"/>
  <c r="O64" i="8"/>
  <c r="D19" i="8" s="1"/>
  <c r="O61" i="8"/>
  <c r="D14" i="8" s="1"/>
  <c r="O41" i="8"/>
  <c r="C10" i="8" s="1"/>
  <c r="O62" i="8"/>
  <c r="D15" i="8" s="1"/>
  <c r="E51" i="8"/>
  <c r="O42" i="8"/>
  <c r="C11" i="8" s="1"/>
  <c r="C51" i="8"/>
  <c r="O44" i="8"/>
  <c r="C12" i="8" s="1"/>
  <c r="H67" i="8"/>
  <c r="I67" i="8"/>
  <c r="O47" i="8"/>
  <c r="C15" i="8" s="1"/>
  <c r="C67" i="8"/>
  <c r="O49" i="8"/>
  <c r="C19" i="8" s="1"/>
  <c r="O46" i="8"/>
  <c r="C14" i="8" s="1"/>
  <c r="I51" i="8"/>
  <c r="G51" i="8"/>
  <c r="E67" i="8"/>
  <c r="M51" i="8"/>
  <c r="F51" i="8"/>
  <c r="K67" i="8"/>
  <c r="K51" i="8"/>
  <c r="L51" i="8"/>
  <c r="J51" i="8"/>
  <c r="D51" i="8"/>
  <c r="G67" i="8"/>
  <c r="L67" i="8"/>
  <c r="F67" i="8"/>
  <c r="M67" i="8"/>
  <c r="H51" i="8"/>
  <c r="N51" i="8"/>
  <c r="D67" i="8"/>
  <c r="J67" i="8"/>
  <c r="O45" i="8"/>
  <c r="C18" i="8" s="1"/>
  <c r="F62" i="6"/>
  <c r="N67" i="8"/>
  <c r="G27" i="15"/>
  <c r="G27" i="13"/>
  <c r="G22" i="11"/>
  <c r="G28" i="16"/>
  <c r="D14" i="7"/>
  <c r="G81" i="6" l="1"/>
  <c r="D27" i="13"/>
  <c r="D28" i="13" s="1"/>
  <c r="D28" i="16"/>
  <c r="D29" i="16" s="1"/>
  <c r="D27" i="15"/>
  <c r="D28" i="15" s="1"/>
  <c r="D22" i="11"/>
  <c r="D23" i="11" s="1"/>
  <c r="C21" i="8"/>
  <c r="D12" i="5" s="1"/>
  <c r="E22" i="14" s="1"/>
  <c r="E21" i="8"/>
  <c r="F12" i="5" s="1"/>
  <c r="D21" i="8"/>
  <c r="E12" i="5" s="1"/>
  <c r="F17" i="11" s="1"/>
  <c r="O83" i="8"/>
  <c r="O51" i="8"/>
  <c r="O67" i="8"/>
  <c r="G62" i="6"/>
  <c r="E14" i="7"/>
  <c r="O24" i="7"/>
  <c r="D11" i="5" s="1"/>
  <c r="E16" i="11" s="1"/>
  <c r="C9" i="7"/>
  <c r="C14" i="7" s="1"/>
  <c r="H81" i="6" l="1"/>
  <c r="E21" i="14"/>
  <c r="E22" i="16"/>
  <c r="E21" i="15"/>
  <c r="G22" i="13"/>
  <c r="G22" i="14"/>
  <c r="G17" i="11"/>
  <c r="F22" i="13"/>
  <c r="F22" i="14"/>
  <c r="E23" i="16"/>
  <c r="F22" i="15"/>
  <c r="E22" i="15"/>
  <c r="F23" i="16"/>
  <c r="D13" i="5"/>
  <c r="E22" i="13"/>
  <c r="E17" i="11"/>
  <c r="H62" i="6"/>
  <c r="G24" i="14"/>
  <c r="G25" i="16"/>
  <c r="F24" i="14"/>
  <c r="F25" i="16"/>
  <c r="G24" i="15"/>
  <c r="F24" i="15"/>
  <c r="F19" i="11"/>
  <c r="F24" i="13"/>
  <c r="G24" i="13"/>
  <c r="G19" i="11"/>
  <c r="E18" i="11" l="1"/>
  <c r="I81" i="6"/>
  <c r="I62" i="6"/>
  <c r="E24" i="14"/>
  <c r="E23" i="14"/>
  <c r="E24" i="16"/>
  <c r="E25" i="16"/>
  <c r="E19" i="11"/>
  <c r="E23" i="13"/>
  <c r="E24" i="13"/>
  <c r="E24" i="15"/>
  <c r="E23" i="15"/>
  <c r="J81" i="6" l="1"/>
  <c r="J62" i="6"/>
  <c r="E26" i="15"/>
  <c r="E28" i="15" s="1"/>
  <c r="F25" i="15"/>
  <c r="E26" i="13"/>
  <c r="E28" i="13" s="1"/>
  <c r="F25" i="13"/>
  <c r="F25" i="14"/>
  <c r="E26" i="14"/>
  <c r="E28" i="14" s="1"/>
  <c r="F20" i="11"/>
  <c r="E21" i="11"/>
  <c r="E23" i="11" s="1"/>
  <c r="E27" i="16"/>
  <c r="E29" i="16" s="1"/>
  <c r="F26" i="16"/>
  <c r="K81" i="6" l="1"/>
  <c r="K62" i="6"/>
  <c r="L81" i="6" l="1"/>
  <c r="L62" i="6"/>
  <c r="D25" i="4"/>
  <c r="G25" i="4"/>
  <c r="J25" i="4"/>
  <c r="M81" i="6" l="1"/>
  <c r="M62" i="6"/>
  <c r="N62" i="6"/>
  <c r="N81" i="6" l="1"/>
  <c r="E24" i="6" l="1"/>
  <c r="D24" i="6"/>
  <c r="E10" i="5" s="1"/>
  <c r="F10" i="5" l="1"/>
  <c r="G15" i="11" s="1"/>
  <c r="G23" i="15"/>
  <c r="G21" i="16"/>
  <c r="G24" i="16" s="1"/>
  <c r="G20" i="14"/>
  <c r="G23" i="14" s="1"/>
  <c r="F21" i="16"/>
  <c r="F24" i="16" s="1"/>
  <c r="G26" i="16" s="1"/>
  <c r="F20" i="13"/>
  <c r="F23" i="13" s="1"/>
  <c r="G25" i="13" s="1"/>
  <c r="F20" i="15"/>
  <c r="F23" i="15" s="1"/>
  <c r="G25" i="15" s="1"/>
  <c r="F15" i="11"/>
  <c r="E13" i="5"/>
  <c r="F20" i="14"/>
  <c r="F23" i="14" s="1"/>
  <c r="F26" i="14" s="1"/>
  <c r="F28" i="14" s="1"/>
  <c r="F13" i="5"/>
  <c r="F21" i="11"/>
  <c r="F23" i="11" s="1"/>
  <c r="D9" i="11" s="1" a="1"/>
  <c r="F27" i="16" l="1"/>
  <c r="F29" i="16" s="1"/>
  <c r="G20" i="13"/>
  <c r="G23" i="13" s="1"/>
  <c r="G26" i="13" s="1"/>
  <c r="G28" i="13" s="1"/>
  <c r="G20" i="11"/>
  <c r="G21" i="11" s="1"/>
  <c r="G23" i="11" s="1"/>
  <c r="D10" i="11" s="1"/>
  <c r="G26" i="15"/>
  <c r="G28" i="15" s="1"/>
  <c r="G27" i="16"/>
  <c r="G29" i="16" s="1"/>
  <c r="F26" i="13"/>
  <c r="F28" i="13" s="1"/>
  <c r="D14" i="13" s="1" a="1"/>
  <c r="G25" i="14"/>
  <c r="G26" i="14" s="1"/>
  <c r="G28" i="14" s="1"/>
  <c r="F26" i="15"/>
  <c r="F28" i="15" s="1"/>
  <c r="D15" i="16" l="1" a="1"/>
  <c r="D15" i="16" s="1"/>
  <c r="D15" i="15"/>
  <c r="D14" i="15" a="1"/>
  <c r="D14" i="15" s="1"/>
  <c r="D14" i="14" a="1"/>
  <c r="D14" i="14" s="1"/>
  <c r="D16" i="16"/>
  <c r="D15" i="14"/>
  <c r="D15" i="13"/>
  <c r="D14" i="13"/>
  <c r="D9"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Angel Prado</author>
    <author>Prado Brun, Angel Guillermo</author>
  </authors>
  <commentList>
    <comment ref="B9" authorId="0" shapeId="0" xr:uid="{C0E2DA94-F9B8-4A9A-AE69-7F551F9475C6}">
      <text>
        <r>
          <rPr>
            <b/>
            <sz val="9"/>
            <color indexed="81"/>
            <rFont val="Tahoma"/>
            <charset val="1"/>
          </rPr>
          <t>Angel Prado:</t>
        </r>
        <r>
          <rPr>
            <sz val="9"/>
            <color indexed="81"/>
            <rFont val="Tahoma"/>
            <charset val="1"/>
          </rPr>
          <t xml:space="preserve">
El personal inicial seran los encargados de las areas de Servicio,Marketing y Administracion, ya que sera el core de nuestro negocio.</t>
        </r>
      </text>
    </comment>
    <comment ref="I23" authorId="1" shapeId="0" xr:uid="{EDBF1851-A3F5-4208-81A3-6CD5EBB58528}">
      <text>
        <r>
          <rPr>
            <b/>
            <sz val="9"/>
            <color indexed="81"/>
            <rFont val="Tahoma"/>
            <family val="2"/>
          </rPr>
          <t>Prado Brun, Angel Guillermo:</t>
        </r>
        <r>
          <rPr>
            <sz val="9"/>
            <color indexed="81"/>
            <rFont val="Tahoma"/>
            <family val="2"/>
          </rPr>
          <t xml:space="preserve">
-Campaña para incrementar ventas
</t>
        </r>
      </text>
    </comment>
    <comment ref="C24" authorId="1" shapeId="0" xr:uid="{516684E8-6615-42AD-8706-316A8307F493}">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AC24" authorId="0" shapeId="0" xr:uid="{7CCACAA5-B001-4B0F-85C8-8A78F9C3859F}">
      <text>
        <r>
          <rPr>
            <b/>
            <sz val="9"/>
            <color indexed="81"/>
            <rFont val="Tahoma"/>
            <charset val="1"/>
          </rPr>
          <t>Angel Prado:</t>
        </r>
        <r>
          <rPr>
            <sz val="9"/>
            <color indexed="81"/>
            <rFont val="Tahoma"/>
            <charset val="1"/>
          </rPr>
          <t xml:space="preserve">
Primer año se cierra con 14940 suscriptores.</t>
        </r>
      </text>
    </comment>
    <comment ref="AC30" authorId="0" shapeId="0" xr:uid="{2B57EF97-0A07-4A95-AFFA-340189298F39}">
      <text>
        <r>
          <rPr>
            <b/>
            <sz val="9"/>
            <color indexed="81"/>
            <rFont val="Tahoma"/>
            <charset val="1"/>
          </rPr>
          <t>Angel Prado:</t>
        </r>
        <r>
          <rPr>
            <sz val="9"/>
            <color indexed="81"/>
            <rFont val="Tahoma"/>
            <charset val="1"/>
          </rPr>
          <t xml:space="preserve">
Cantidad de Servicios Vendidos 1er Año.</t>
        </r>
      </text>
    </comment>
    <comment ref="AC38" authorId="0" shapeId="0" xr:uid="{2B572F44-8AD4-4FC3-9006-E42BCA47B364}">
      <text>
        <r>
          <rPr>
            <b/>
            <sz val="9"/>
            <color indexed="81"/>
            <rFont val="Tahoma"/>
            <charset val="1"/>
          </rPr>
          <t>Angel Prado:</t>
        </r>
        <r>
          <rPr>
            <sz val="9"/>
            <color indexed="81"/>
            <rFont val="Tahoma"/>
            <charset val="1"/>
          </rPr>
          <t xml:space="preserve">
Cantidad de Servicios Vendidos 1er Año.</t>
        </r>
      </text>
    </comment>
    <comment ref="B41" authorId="0" shapeId="0" xr:uid="{3580E1EA-E71B-4A3B-A714-16431D41B528}">
      <text>
        <r>
          <rPr>
            <b/>
            <sz val="9"/>
            <color indexed="81"/>
            <rFont val="Tahoma"/>
            <charset val="1"/>
          </rPr>
          <t>Angel Prado:</t>
        </r>
        <r>
          <rPr>
            <sz val="9"/>
            <color indexed="81"/>
            <rFont val="Tahoma"/>
            <charset val="1"/>
          </rPr>
          <t xml:space="preserve">
Luego de campañas de Marketing y el aumento de operaciones, se necesitara mejoras o cambios en la plataforma.</t>
        </r>
      </text>
    </comment>
    <comment ref="I46" authorId="1" shapeId="0" xr:uid="{17DD0C6D-48D6-4794-A856-7C1FAD064DD0}">
      <text>
        <r>
          <rPr>
            <b/>
            <sz val="9"/>
            <color indexed="81"/>
            <rFont val="Tahoma"/>
            <family val="2"/>
          </rPr>
          <t>Prado Brun, Angel Guillermo:</t>
        </r>
        <r>
          <rPr>
            <sz val="9"/>
            <color indexed="81"/>
            <rFont val="Tahoma"/>
            <family val="2"/>
          </rPr>
          <t xml:space="preserve">
-Campaña para incrementar ventas
</t>
        </r>
      </text>
    </comment>
    <comment ref="C47" authorId="1" shapeId="0" xr:uid="{24FB1114-A86A-4797-8D37-EE6ECFB01658}">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AC47" authorId="0" shapeId="0" xr:uid="{7F772BDF-7A18-48E3-9E21-987E8841917E}">
      <text>
        <r>
          <rPr>
            <b/>
            <sz val="9"/>
            <color indexed="81"/>
            <rFont val="Tahoma"/>
            <charset val="1"/>
          </rPr>
          <t>Angel Prado:</t>
        </r>
        <r>
          <rPr>
            <sz val="9"/>
            <color indexed="81"/>
            <rFont val="Tahoma"/>
            <charset val="1"/>
          </rPr>
          <t xml:space="preserve">
Segundo año se cierra con 23520 suscriptores.</t>
        </r>
      </text>
    </comment>
    <comment ref="AC53" authorId="0" shapeId="0" xr:uid="{AA0CBFCD-748B-49CF-AA1A-140340C08B94}">
      <text>
        <r>
          <rPr>
            <b/>
            <sz val="9"/>
            <color indexed="81"/>
            <rFont val="Tahoma"/>
            <charset val="1"/>
          </rPr>
          <t>Angel Prado:</t>
        </r>
        <r>
          <rPr>
            <sz val="9"/>
            <color indexed="81"/>
            <rFont val="Tahoma"/>
            <charset val="1"/>
          </rPr>
          <t xml:space="preserve">
Cantidad de Servicios Vendidos 1er Año.</t>
        </r>
      </text>
    </comment>
    <comment ref="AC61" authorId="0" shapeId="0" xr:uid="{F1507B35-1D78-428A-9B3B-FCD3C4039C00}">
      <text>
        <r>
          <rPr>
            <b/>
            <sz val="9"/>
            <color indexed="81"/>
            <rFont val="Tahoma"/>
            <charset val="1"/>
          </rPr>
          <t>Angel Prado:</t>
        </r>
        <r>
          <rPr>
            <sz val="9"/>
            <color indexed="81"/>
            <rFont val="Tahoma"/>
            <charset val="1"/>
          </rPr>
          <t xml:space="preserve">
Cantidad de Servicios Vendidos 2do Año.</t>
        </r>
      </text>
    </comment>
    <comment ref="B65" authorId="0" shapeId="0" xr:uid="{9F4C3963-2C18-43E4-B628-2AA446A113D7}">
      <text>
        <r>
          <rPr>
            <b/>
            <sz val="9"/>
            <color indexed="81"/>
            <rFont val="Tahoma"/>
            <charset val="1"/>
          </rPr>
          <t>Angel Prado:</t>
        </r>
        <r>
          <rPr>
            <sz val="9"/>
            <color indexed="81"/>
            <rFont val="Tahoma"/>
            <charset val="1"/>
          </rPr>
          <t xml:space="preserve">
El ingreso de un Gerente General para la coordinacion de las Areas de Servicio, Marketing y Administracion.</t>
        </r>
      </text>
    </comment>
    <comment ref="B66" authorId="0" shapeId="0" xr:uid="{ECCB412C-818C-41C2-932A-EADE31B10F0B}">
      <text>
        <r>
          <rPr>
            <b/>
            <sz val="9"/>
            <color indexed="81"/>
            <rFont val="Tahoma"/>
            <charset val="1"/>
          </rPr>
          <t>Angel Prado:</t>
        </r>
        <r>
          <rPr>
            <sz val="9"/>
            <color indexed="81"/>
            <rFont val="Tahoma"/>
            <charset val="1"/>
          </rPr>
          <t xml:space="preserve">
Ingresos para intensificar y aumentar el area de Servicio y Marketing.</t>
        </r>
      </text>
    </comment>
    <comment ref="I76" authorId="1" shapeId="0" xr:uid="{39F94616-BED4-4273-A16B-CA0C027688D4}">
      <text>
        <r>
          <rPr>
            <b/>
            <sz val="9"/>
            <color indexed="81"/>
            <rFont val="Tahoma"/>
            <family val="2"/>
          </rPr>
          <t>Prado Brun, Angel Guillermo:</t>
        </r>
        <r>
          <rPr>
            <sz val="9"/>
            <color indexed="81"/>
            <rFont val="Tahoma"/>
            <family val="2"/>
          </rPr>
          <t xml:space="preserve">
-Campaña para incrementar ventas
</t>
        </r>
      </text>
    </comment>
    <comment ref="C77" authorId="1" shapeId="0" xr:uid="{6118CFA9-9003-4370-BD42-6DB3E00DCC16}">
      <text>
        <r>
          <rPr>
            <b/>
            <sz val="9"/>
            <color indexed="81"/>
            <rFont val="Tahoma"/>
            <family val="2"/>
          </rPr>
          <t>Prado Brun, Angel Guillermo:</t>
        </r>
        <r>
          <rPr>
            <sz val="9"/>
            <color indexed="81"/>
            <rFont val="Tahoma"/>
            <family val="2"/>
          </rPr>
          <t xml:space="preserve">
Porcentaje de impacto de cada servicio en funcion de toda la mezcla de servicios.</t>
        </r>
      </text>
    </comment>
    <comment ref="AC77" authorId="0" shapeId="0" xr:uid="{897BC81C-6665-4082-831E-4787D9954B7A}">
      <text>
        <r>
          <rPr>
            <b/>
            <sz val="9"/>
            <color indexed="81"/>
            <rFont val="Tahoma"/>
            <charset val="1"/>
          </rPr>
          <t>Angel Prado:</t>
        </r>
        <r>
          <rPr>
            <sz val="9"/>
            <color indexed="81"/>
            <rFont val="Tahoma"/>
            <charset val="1"/>
          </rPr>
          <t xml:space="preserve">
Tercer año se cierra con 23520 suscriptores.</t>
        </r>
      </text>
    </comment>
    <comment ref="AC83" authorId="0" shapeId="0" xr:uid="{06B825CF-AF39-4B95-8A1D-E1EA605905BA}">
      <text>
        <r>
          <rPr>
            <b/>
            <sz val="9"/>
            <color indexed="81"/>
            <rFont val="Tahoma"/>
            <charset val="1"/>
          </rPr>
          <t>Angel Prado:</t>
        </r>
        <r>
          <rPr>
            <sz val="9"/>
            <color indexed="81"/>
            <rFont val="Tahoma"/>
            <charset val="1"/>
          </rPr>
          <t xml:space="preserve">
Cantidad de Servicios Vendidos 3er Año.</t>
        </r>
      </text>
    </comment>
    <comment ref="AC91" authorId="0" shapeId="0" xr:uid="{33349BEB-B025-4DEC-B1CD-405CE07EE5B6}">
      <text>
        <r>
          <rPr>
            <b/>
            <sz val="9"/>
            <color indexed="81"/>
            <rFont val="Tahoma"/>
            <charset val="1"/>
          </rPr>
          <t>Angel Prado:</t>
        </r>
        <r>
          <rPr>
            <sz val="9"/>
            <color indexed="81"/>
            <rFont val="Tahoma"/>
            <charset val="1"/>
          </rPr>
          <t xml:space="preserve">
Cantidad de Servicios Vendidos 2do Año.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Angel Prado</author>
    <author/>
  </authors>
  <commentList>
    <comment ref="C8" authorId="0" shapeId="0" xr:uid="{7AE02BCF-A607-45B7-AD6D-DB5455E4E2E5}">
      <text>
        <r>
          <rPr>
            <b/>
            <sz val="9"/>
            <color indexed="81"/>
            <rFont val="Tahoma"/>
            <charset val="1"/>
          </rPr>
          <t>Angel Prado:</t>
        </r>
        <r>
          <rPr>
            <sz val="9"/>
            <color indexed="81"/>
            <rFont val="Tahoma"/>
            <charset val="1"/>
          </rPr>
          <t xml:space="preserve">
20% de los ingresos en publicidad.</t>
        </r>
      </text>
    </comment>
    <comment ref="D8" authorId="0" shapeId="0" xr:uid="{51A38DCF-69D6-46D0-AE3B-A3439184C32F}">
      <text>
        <r>
          <rPr>
            <b/>
            <sz val="9"/>
            <color indexed="81"/>
            <rFont val="Tahoma"/>
            <charset val="1"/>
          </rPr>
          <t>Angel Prado:</t>
        </r>
        <r>
          <rPr>
            <sz val="9"/>
            <color indexed="81"/>
            <rFont val="Tahoma"/>
            <charset val="1"/>
          </rPr>
          <t xml:space="preserve">
15% de los ingresos en publicidad.</t>
        </r>
      </text>
    </comment>
    <comment ref="E8" authorId="0" shapeId="0" xr:uid="{E2CE8EB2-4C6E-40EF-962B-8105E41F40D8}">
      <text>
        <r>
          <rPr>
            <b/>
            <sz val="9"/>
            <color indexed="81"/>
            <rFont val="Tahoma"/>
            <charset val="1"/>
          </rPr>
          <t>Angel Prado:</t>
        </r>
        <r>
          <rPr>
            <sz val="9"/>
            <color indexed="81"/>
            <rFont val="Tahoma"/>
            <charset val="1"/>
          </rPr>
          <t xml:space="preserve">
13% de los ingresos en publicidad.</t>
        </r>
      </text>
    </comment>
    <comment ref="C28" authorId="1" shapeId="0" xr:uid="{00000000-0006-0000-0500-000002000000}">
      <text>
        <r>
          <rPr>
            <sz val="10"/>
            <color rgb="FF000000"/>
            <rFont val="Arial"/>
            <family val="2"/>
          </rPr>
          <t xml:space="preserve">- https://www.zonaprop.com.ar/propiedades/alquiler-oficina-43528791.html
- 5 ambientes 300mts2
</t>
        </r>
      </text>
    </comment>
    <comment ref="C47" authorId="1" shapeId="0" xr:uid="{EC192476-413F-4FE0-AEBA-CA646C6A3FBE}">
      <text>
        <r>
          <rPr>
            <sz val="10"/>
            <color rgb="FF000000"/>
            <rFont val="Arial"/>
            <family val="2"/>
          </rPr>
          <t xml:space="preserve">- https://www.zonaprop.com.ar/propiedades/alquiler-oficina-43528791.html
- 5 ambientes 300mts2
</t>
        </r>
      </text>
    </comment>
    <comment ref="C66" authorId="1" shapeId="0" xr:uid="{8DD7888C-46B7-4087-8E4B-E2BC57EB1588}">
      <text>
        <r>
          <rPr>
            <sz val="10"/>
            <color rgb="FF000000"/>
            <rFont val="Arial"/>
            <family val="2"/>
          </rPr>
          <t xml:space="preserve">- https://www.zonaprop.com.ar/propiedades/alquiler-oficina-43528791.html
- 5 ambientes 300mts2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Angel Prado</author>
    <author>Prado Brun, Angel Guillermo</author>
  </authors>
  <commentList>
    <comment ref="C19" authorId="0" shapeId="0" xr:uid="{B14F910E-7C77-488C-B355-1D24ECAB3453}">
      <text>
        <r>
          <rPr>
            <sz val="10"/>
            <color rgb="FF000000"/>
            <rFont val="Arial"/>
            <family val="2"/>
          </rPr>
          <t xml:space="preserve">https://somee.com/HostingPlans.aspx
</t>
        </r>
      </text>
    </comment>
    <comment ref="B21" authorId="1" shapeId="0" xr:uid="{7847EA76-1F82-4D0E-83F7-E5DACB0B3A27}">
      <text>
        <r>
          <rPr>
            <b/>
            <sz val="9"/>
            <color indexed="81"/>
            <rFont val="Tahoma"/>
            <charset val="1"/>
          </rPr>
          <t>Angel Prado:</t>
        </r>
        <r>
          <rPr>
            <sz val="9"/>
            <color indexed="81"/>
            <rFont val="Tahoma"/>
            <charset val="1"/>
          </rPr>
          <t xml:space="preserve">
Soporte Infra. Maquinas Virtuales - varian según capacidad de la plataforma</t>
        </r>
      </text>
    </comment>
    <comment ref="B22" authorId="2" shapeId="0" xr:uid="{177A19B5-0F6B-4F17-861B-31DC03C325A1}">
      <text>
        <r>
          <rPr>
            <b/>
            <sz val="9"/>
            <color indexed="81"/>
            <rFont val="Tahoma"/>
            <family val="2"/>
          </rPr>
          <t>Todos los clientes que compren nuestro sevicios de suscriptor Plata obtendran una bonificación de un 15% por el precio de mantenimiento mensual del servicio.
Los primeros 100 clientes.</t>
        </r>
        <r>
          <rPr>
            <sz val="9"/>
            <color indexed="81"/>
            <rFont val="Tahoma"/>
            <family val="2"/>
          </rPr>
          <t xml:space="preserve">
</t>
        </r>
      </text>
    </comment>
    <comment ref="B23" authorId="2" shapeId="0" xr:uid="{0CA0130F-6507-4A1F-B6DC-41B6E0DAFBFD}">
      <text>
        <r>
          <rPr>
            <b/>
            <sz val="9"/>
            <color indexed="81"/>
            <rFont val="Tahoma"/>
            <family val="2"/>
          </rPr>
          <t>Todos los clientes que compren nuestro sevicios de suscriptor Oro obtendran una bonificación de un 15% por el precio de mantenimiento mensual del servicio.</t>
        </r>
      </text>
    </comment>
    <comment ref="C29" authorId="0" shapeId="0" xr:uid="{735270D7-AFD6-4429-B7BA-B7FD3A86669E}">
      <text>
        <r>
          <rPr>
            <sz val="10"/>
            <color rgb="FF000000"/>
            <rFont val="Arial"/>
            <family val="2"/>
          </rPr>
          <t xml:space="preserve">https://www.digitalocean.com/pricing/
)
</t>
        </r>
      </text>
    </comment>
    <comment ref="B31" authorId="1" shapeId="0" xr:uid="{1EDBF1A8-2867-411C-A051-DC5327942A1E}">
      <text>
        <r>
          <rPr>
            <b/>
            <sz val="9"/>
            <color indexed="81"/>
            <rFont val="Tahoma"/>
            <charset val="1"/>
          </rPr>
          <t>Angel Prado:</t>
        </r>
        <r>
          <rPr>
            <sz val="9"/>
            <color indexed="81"/>
            <rFont val="Tahoma"/>
            <charset val="1"/>
          </rPr>
          <t xml:space="preserve">
Soporte Infra. Maquinas Virtuales - varian según capacidad de la plataforma</t>
        </r>
      </text>
    </comment>
    <comment ref="B32" authorId="2" shapeId="0" xr:uid="{7A99EB99-F153-47E8-A1F7-12C4B21E4BD1}">
      <text>
        <r>
          <rPr>
            <b/>
            <sz val="9"/>
            <color indexed="81"/>
            <rFont val="Tahoma"/>
            <family val="2"/>
          </rPr>
          <t>Todos los clientes que compren nuestro sevicios de suscriptor Plata obtendran una bonificación de un 18% por el precio de mantenimiento mensual del servicio.</t>
        </r>
        <r>
          <rPr>
            <sz val="9"/>
            <color indexed="81"/>
            <rFont val="Tahoma"/>
            <family val="2"/>
          </rPr>
          <t xml:space="preserve">
</t>
        </r>
      </text>
    </comment>
    <comment ref="B33" authorId="2" shapeId="0" xr:uid="{29E62582-5B64-4E31-92F2-4517DF21E4C7}">
      <text>
        <r>
          <rPr>
            <b/>
            <sz val="9"/>
            <color indexed="81"/>
            <rFont val="Tahoma"/>
            <family val="2"/>
          </rPr>
          <t>Todos los clientes que compren nuestro sevicios de suscriptor Oro obtendran una bonificación de un 18% por el precio de mantenimiento mensual del servicio.</t>
        </r>
      </text>
    </comment>
    <comment ref="C39" authorId="0" shapeId="0" xr:uid="{09DE5EDF-BA84-4BCC-818E-C8292EFD9FCE}">
      <text>
        <r>
          <rPr>
            <sz val="10"/>
            <color rgb="FF000000"/>
            <rFont val="Arial"/>
            <family val="2"/>
          </rPr>
          <t xml:space="preserve">https://www.digitalocean.com/pricing/
</t>
        </r>
      </text>
    </comment>
    <comment ref="B41" authorId="1" shapeId="0" xr:uid="{C5F520EA-0296-4583-90F1-5365D0E9AB2D}">
      <text>
        <r>
          <rPr>
            <b/>
            <sz val="9"/>
            <color indexed="81"/>
            <rFont val="Tahoma"/>
            <charset val="1"/>
          </rPr>
          <t>Angel Prado:</t>
        </r>
        <r>
          <rPr>
            <sz val="9"/>
            <color indexed="81"/>
            <rFont val="Tahoma"/>
            <charset val="1"/>
          </rPr>
          <t xml:space="preserve">
Soporte Infra. Maquinas Virtuales - varian según capacidad de la plataforma</t>
        </r>
      </text>
    </comment>
    <comment ref="B42" authorId="2" shapeId="0" xr:uid="{BA5E4684-50BF-4352-9005-418534F6060F}">
      <text>
        <r>
          <rPr>
            <b/>
            <sz val="9"/>
            <color indexed="81"/>
            <rFont val="Tahoma"/>
            <family val="2"/>
          </rPr>
          <t>Todos los clientes que compren nuestro sevicios de suscriptor Plata obtendran una bonificación de un 10% por el precio de mantenimiento mensual del servicio.</t>
        </r>
        <r>
          <rPr>
            <sz val="9"/>
            <color indexed="81"/>
            <rFont val="Tahoma"/>
            <family val="2"/>
          </rPr>
          <t xml:space="preserve">
</t>
        </r>
      </text>
    </comment>
    <comment ref="B43" authorId="2" shapeId="0" xr:uid="{AC4638B4-6912-4C49-9266-DDF5246C9838}">
      <text>
        <r>
          <rPr>
            <b/>
            <sz val="9"/>
            <color indexed="81"/>
            <rFont val="Tahoma"/>
            <family val="2"/>
          </rPr>
          <t>Todos los clientes que compren nuestro sevicios de suscriptor Oro obtendran una bonificación de un 10% por el precio de mantenimiento mensual del servicio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Angel Prado</author>
  </authors>
  <commentList>
    <comment ref="B36" authorId="0" shapeId="0" xr:uid="{4C89A925-F95E-4B17-B4CD-85E9CA687E52}">
      <text>
        <r>
          <rPr>
            <b/>
            <sz val="9"/>
            <color indexed="81"/>
            <rFont val="Tahoma"/>
            <charset val="1"/>
          </rPr>
          <t>Angel Prado:</t>
        </r>
        <r>
          <rPr>
            <sz val="9"/>
            <color indexed="81"/>
            <rFont val="Tahoma"/>
            <charset val="1"/>
          </rPr>
          <t xml:space="preserve">
Para las demos y monitoreo de indicadores.</t>
        </r>
      </text>
    </comment>
    <comment ref="B37" authorId="0" shapeId="0" xr:uid="{63366607-D310-4A45-B3E2-C30F013139FE}">
      <text>
        <r>
          <rPr>
            <b/>
            <sz val="9"/>
            <color indexed="81"/>
            <rFont val="Tahoma"/>
            <charset val="1"/>
          </rPr>
          <t>Angel Prado:</t>
        </r>
        <r>
          <rPr>
            <sz val="9"/>
            <color indexed="81"/>
            <rFont val="Tahoma"/>
            <charset val="1"/>
          </rPr>
          <t xml:space="preserve">
Se invirtio mas de 1m en equipos electronicos.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Prado Brun, Angel Guillermo</author>
  </authors>
  <commentList>
    <comment ref="D8" authorId="0" shapeId="0" xr:uid="{975DA6C6-3E0E-4DCF-A72D-2D4937CC0C80}">
      <text>
        <r>
          <rPr>
            <b/>
            <sz val="9"/>
            <color indexed="81"/>
            <rFont val="Tahoma"/>
            <family val="2"/>
          </rPr>
          <t>Prado Brun, Angel Guillermo:</t>
        </r>
        <r>
          <rPr>
            <sz val="9"/>
            <color indexed="81"/>
            <rFont val="Tahoma"/>
            <family val="2"/>
          </rPr>
          <t xml:space="preserve">
- FIMA PREMIUM CLASE "A" | GALICIA | 42,97%
- BANCO NACION  | 55%
- BICE                 | 56%
- BONO AM20 (VENCE ENERO 2020) | 69,24%
REF:
https://www.clarin.com/economia/economia/opciones-invertir-aguinaldo_0_hJR8v2SJZ.html</t>
        </r>
      </text>
    </comment>
  </commentList>
</comments>
</file>

<file path=xl/sharedStrings.xml><?xml version="1.0" encoding="utf-8"?>
<sst xmlns="http://schemas.openxmlformats.org/spreadsheetml/2006/main" count="1112" uniqueCount="277">
  <si>
    <t>TRABAJO FINAL DE INGENIERÍA</t>
  </si>
  <si>
    <t>Indice</t>
  </si>
  <si>
    <t>Índice</t>
  </si>
  <si>
    <t>Hipótesis</t>
  </si>
  <si>
    <t>Proyeccion de Ingresos</t>
  </si>
  <si>
    <t>Modelo de ingresos</t>
  </si>
  <si>
    <t>Modelo de egresos</t>
  </si>
  <si>
    <t>Costos fijos</t>
  </si>
  <si>
    <t>Costos variables</t>
  </si>
  <si>
    <t>Costos RRHH</t>
  </si>
  <si>
    <t>Modelo de inversion</t>
  </si>
  <si>
    <t>Presupuesto financiero</t>
  </si>
  <si>
    <t>Proyección de Ingresos</t>
  </si>
  <si>
    <t>Matriz de riesgo</t>
  </si>
  <si>
    <t>Escenario 1</t>
  </si>
  <si>
    <t>Escenario 2</t>
  </si>
  <si>
    <t>Escenario 3</t>
  </si>
  <si>
    <t>Plan de contingencia Escenario 3</t>
  </si>
  <si>
    <t>Escritorios (4 personas)</t>
  </si>
  <si>
    <t>Escritorios (1 personas)</t>
  </si>
  <si>
    <t>Sillas</t>
  </si>
  <si>
    <t>Notebook</t>
  </si>
  <si>
    <t>Impresora</t>
  </si>
  <si>
    <t>Switch</t>
  </si>
  <si>
    <t>AÑO 1</t>
  </si>
  <si>
    <t>Enero</t>
  </si>
  <si>
    <t>Febrero</t>
  </si>
  <si>
    <t>Marzo</t>
  </si>
  <si>
    <t>Abril</t>
  </si>
  <si>
    <t>Mayo</t>
  </si>
  <si>
    <t>Junio</t>
  </si>
  <si>
    <t>Julio</t>
  </si>
  <si>
    <t>Agosto</t>
  </si>
  <si>
    <t>Septiembre</t>
  </si>
  <si>
    <t>Octubre</t>
  </si>
  <si>
    <t>Noviembre</t>
  </si>
  <si>
    <t>Diciembre</t>
  </si>
  <si>
    <t>Total</t>
  </si>
  <si>
    <t>Modelo de ingreso</t>
  </si>
  <si>
    <t>AÑO 2</t>
  </si>
  <si>
    <t>AÑO 3</t>
  </si>
  <si>
    <t>Productos</t>
  </si>
  <si>
    <t>Precio</t>
  </si>
  <si>
    <t>Totales</t>
  </si>
  <si>
    <t>Modelo de egreso</t>
  </si>
  <si>
    <t>Año 1</t>
  </si>
  <si>
    <t>Año 2</t>
  </si>
  <si>
    <t>Año 3</t>
  </si>
  <si>
    <t>Costos Fijos</t>
  </si>
  <si>
    <t>Servicios</t>
  </si>
  <si>
    <t>Alquiler</t>
  </si>
  <si>
    <t>Publicidad</t>
  </si>
  <si>
    <t>Agua</t>
  </si>
  <si>
    <t>Honorarios</t>
  </si>
  <si>
    <t>Limpieza</t>
  </si>
  <si>
    <t>Estudio contable</t>
  </si>
  <si>
    <t>Total Mensual</t>
  </si>
  <si>
    <t>Totales Anual</t>
  </si>
  <si>
    <t>Costos Variables</t>
  </si>
  <si>
    <t>Puesto</t>
  </si>
  <si>
    <t>Desarrollador Senior</t>
  </si>
  <si>
    <t>Tesorero</t>
  </si>
  <si>
    <t>Sueldo bruto</t>
  </si>
  <si>
    <t>S.A.C.</t>
  </si>
  <si>
    <t>Jubilación</t>
  </si>
  <si>
    <t>PAMI</t>
  </si>
  <si>
    <t>Obra Social</t>
  </si>
  <si>
    <t>Asignaciones Familiares</t>
  </si>
  <si>
    <t>Fondo nacional de empleo</t>
  </si>
  <si>
    <t>ART</t>
  </si>
  <si>
    <t>Total Anual</t>
  </si>
  <si>
    <t>Modelo de inversión</t>
  </si>
  <si>
    <t>Precios</t>
  </si>
  <si>
    <t>Fuente</t>
  </si>
  <si>
    <t>AÑO 0</t>
  </si>
  <si>
    <t>Muebles</t>
  </si>
  <si>
    <t>Cantidades</t>
  </si>
  <si>
    <t>Hardware</t>
  </si>
  <si>
    <t>Sistema</t>
  </si>
  <si>
    <t>Valor x Hr.</t>
  </si>
  <si>
    <t>Cant. Hrs.</t>
  </si>
  <si>
    <t>Modelado, Diseño, Investigación</t>
  </si>
  <si>
    <t>Desarrollo</t>
  </si>
  <si>
    <t>Implementación</t>
  </si>
  <si>
    <t>Amortización</t>
  </si>
  <si>
    <t>Presupuesto Financiero</t>
  </si>
  <si>
    <t>Tasa de corte</t>
  </si>
  <si>
    <t>V.A.N</t>
  </si>
  <si>
    <t>T.I.R</t>
  </si>
  <si>
    <t>Ingresos</t>
  </si>
  <si>
    <t>Utilidades antes de impuestos</t>
  </si>
  <si>
    <t>IIBB (3%)</t>
  </si>
  <si>
    <t>Impuesto a las ganancias (35%)</t>
  </si>
  <si>
    <t>Utilidades después de impuestos</t>
  </si>
  <si>
    <t>Nº</t>
  </si>
  <si>
    <t>Riego</t>
  </si>
  <si>
    <t>Inversión</t>
  </si>
  <si>
    <t>Consecuencia</t>
  </si>
  <si>
    <t>Probabilidad</t>
  </si>
  <si>
    <t>Impacto</t>
  </si>
  <si>
    <t>Efecto</t>
  </si>
  <si>
    <t>Inestabilidad económica en el país.</t>
  </si>
  <si>
    <t>Se ven afectados los ingresos y un aumento en los costos del servicio.</t>
  </si>
  <si>
    <t>Medio</t>
  </si>
  <si>
    <t>Alto</t>
  </si>
  <si>
    <t>Flujo de fondos</t>
  </si>
  <si>
    <t>Corte de luz en repetidas veces.</t>
  </si>
  <si>
    <t>La empresa no puede trabajar por un periodo determinado.</t>
  </si>
  <si>
    <t>Bajo</t>
  </si>
  <si>
    <t>Representa una pérdida del 1%.</t>
  </si>
  <si>
    <t>Pérdida del desarrollador Sr. en el segundo año.</t>
  </si>
  <si>
    <t>Retraso en la solución de bugs y la imposibilidad de sacar nuevas features.</t>
  </si>
  <si>
    <t>Baja</t>
  </si>
  <si>
    <t>Esto representa un aumento del 5% en el sueldo del desarrollador Sr.</t>
  </si>
  <si>
    <t>Mala estimación de las horas de desarrollo</t>
  </si>
  <si>
    <t>Retraso al ingreso del mercado.</t>
  </si>
  <si>
    <t>Media</t>
  </si>
  <si>
    <t>Pérdida de capital en un 1% en el primer año.</t>
  </si>
  <si>
    <t>Alta</t>
  </si>
  <si>
    <t>Pérdida de participación en el mercado.</t>
  </si>
  <si>
    <t>Nuevo competidor en el mercado.</t>
  </si>
  <si>
    <t>Se produce una merma en la participación del mercado generado pérdidas del 5%.</t>
  </si>
  <si>
    <t>Mala relación entre los empleados</t>
  </si>
  <si>
    <t>Mala trato entre los empleados, baja motivación.</t>
  </si>
  <si>
    <t>Mal clima laboral y renuncia de empleados.</t>
  </si>
  <si>
    <t>Sobrecarga del sistema</t>
  </si>
  <si>
    <t>El sistema no soporta los niveles de tráfico.</t>
  </si>
  <si>
    <t>El sistema colapsa y deja de trabajar por un periodo de tiempo.</t>
  </si>
  <si>
    <t>Errores en el sistema.</t>
  </si>
  <si>
    <t>Errores de funcionamiento en el sistema que no fueron encontrados en la etapa de testing.</t>
  </si>
  <si>
    <t>Emisión de pagos con montos erróneos. Esto implica 0,7% tanto de pérdida como de ganancia.</t>
  </si>
  <si>
    <t>Incapacidad de retener recursos con talento</t>
  </si>
  <si>
    <t>No se forma un equipo sólido.</t>
  </si>
  <si>
    <t>Desmotivación del equipo</t>
  </si>
  <si>
    <t>Invertir tiempo en su entrenamiento.</t>
  </si>
  <si>
    <t>La demora en el ingreso de sus actividades hace que se pierda 0,5%.</t>
  </si>
  <si>
    <t>No disponer de un sistema interno que administre clientes y ordenes de trabajo.</t>
  </si>
  <si>
    <t>Conclusión: El proyecto resiste en ingreso de un nuevo competidor al mercado perdiendo una participación del 5%.</t>
  </si>
  <si>
    <t>Escenario 3: Inestabilidad económica en el país.</t>
  </si>
  <si>
    <t>Matriz de Riesgo</t>
  </si>
  <si>
    <r>
      <rPr>
        <b/>
        <sz val="10"/>
        <rFont val="Arial"/>
        <family val="2"/>
      </rPr>
      <t>Alumno:</t>
    </r>
    <r>
      <rPr>
        <sz val="10"/>
        <rFont val="Arial"/>
        <family val="2"/>
      </rPr>
      <t xml:space="preserve"> Ángel Guillermo Prado Brun</t>
    </r>
  </si>
  <si>
    <r>
      <rPr>
        <b/>
        <sz val="10"/>
        <rFont val="Arial"/>
        <family val="2"/>
      </rPr>
      <t>Legajo:</t>
    </r>
    <r>
      <rPr>
        <sz val="10"/>
        <rFont val="Arial"/>
        <family val="2"/>
      </rPr>
      <t xml:space="preserve"> A0910057291</t>
    </r>
  </si>
  <si>
    <r>
      <rPr>
        <b/>
        <sz val="10"/>
        <rFont val="Arial"/>
        <family val="2"/>
      </rPr>
      <t>Carrera:</t>
    </r>
    <r>
      <rPr>
        <sz val="10"/>
        <rFont val="Arial"/>
        <family val="2"/>
      </rPr>
      <t xml:space="preserve"> Ingeniería en sistemas de Información</t>
    </r>
  </si>
  <si>
    <r>
      <rPr>
        <b/>
        <sz val="10"/>
        <rFont val="Arial"/>
        <family val="2"/>
      </rPr>
      <t>Profesor</t>
    </r>
    <r>
      <rPr>
        <sz val="10"/>
        <color rgb="FF000000"/>
        <rFont val="Arial"/>
        <family val="2"/>
      </rPr>
      <t>: Jorge Scali</t>
    </r>
  </si>
  <si>
    <t>Plan Cont. Esc 3</t>
  </si>
  <si>
    <t>Hosting WebApp</t>
  </si>
  <si>
    <t>Hosting db</t>
  </si>
  <si>
    <t>AÑO1</t>
  </si>
  <si>
    <t>%</t>
  </si>
  <si>
    <t>TOTALES</t>
  </si>
  <si>
    <t>Capacidad Operativa Inicial</t>
  </si>
  <si>
    <t>Estacionalidad</t>
  </si>
  <si>
    <t>Servicio</t>
  </si>
  <si>
    <t>% vta.</t>
  </si>
  <si>
    <t>Precio unitario</t>
  </si>
  <si>
    <t>Total anual</t>
  </si>
  <si>
    <t>Capacidad Operativa</t>
  </si>
  <si>
    <t>Membresia Bronce</t>
  </si>
  <si>
    <t>Membresia Plata</t>
  </si>
  <si>
    <t>Membresia Oro</t>
  </si>
  <si>
    <t>Descripción del negocio</t>
  </si>
  <si>
    <t>Mercado Meta</t>
  </si>
  <si>
    <t>Mercado</t>
  </si>
  <si>
    <t>Participación en el mercado</t>
  </si>
  <si>
    <t>Primer Año</t>
  </si>
  <si>
    <t>Segundo Año</t>
  </si>
  <si>
    <t>Tercer Año</t>
  </si>
  <si>
    <t>Lista de Precios</t>
  </si>
  <si>
    <t>Publicación Clasificado</t>
  </si>
  <si>
    <t>Publicacion Basica</t>
  </si>
  <si>
    <t>Publicación de Moto Seccion Ofertas</t>
  </si>
  <si>
    <t>Servicio de Registro Clubes</t>
  </si>
  <si>
    <t>Servicio Experto Int (Membresía Bronce y Plata)</t>
  </si>
  <si>
    <t>Servicio de Registro a Evento Internacional</t>
  </si>
  <si>
    <t>Analista Servicio</t>
  </si>
  <si>
    <t>Analista Marketing</t>
  </si>
  <si>
    <t>Gerente General</t>
  </si>
  <si>
    <t>Gerente Servicio</t>
  </si>
  <si>
    <t>Gerente Administración</t>
  </si>
  <si>
    <t>Gerente Marketing</t>
  </si>
  <si>
    <t>Escritorios (2 personas)</t>
  </si>
  <si>
    <t>Analista RRHH</t>
  </si>
  <si>
    <t>Tecnico Soporte</t>
  </si>
  <si>
    <t>Cant. Suscriptores</t>
  </si>
  <si>
    <t>Cant. Ventas Serv.</t>
  </si>
  <si>
    <t>Servicio Suscripciones</t>
  </si>
  <si>
    <t>Servicios Suscriptores</t>
  </si>
  <si>
    <t>Cant.Susc</t>
  </si>
  <si>
    <t>Cant,Ventas</t>
  </si>
  <si>
    <t>MOTOPOINT se dedica al desarrollo de una plataforma digital que implementar un modelo integral en base al diseño de una red social de motociclistas para argentinos.
Brinda la oportunidad de encontrar un lugar donde sus usuarios puedan compartir experiencias e inquietudes, crear su propio punto de encuentro y tener la oportunidad de adquirir eventos de rutas definidas. Soportado en el crecimiento del mercado de motocicletas en el país de Argentina y la implementación de avances digitales para la conformación de grupos sociales incluyentes en el área de esparcimiento y diversión.</t>
  </si>
  <si>
    <t>Facebook</t>
  </si>
  <si>
    <t>Instagram</t>
  </si>
  <si>
    <t>Tv El Garage</t>
  </si>
  <si>
    <t>Radio FM 93.3</t>
  </si>
  <si>
    <t>https://articulo.mercadolibre.com.ar/MLA-799521033-isla-de-trabajo-operativa-de-cuatro-puestos-linea-allegro-_JM?quantity=1&amp;variation=40277740333</t>
  </si>
  <si>
    <t>https://articulo.mercadolibre.com.ar/MLA-748568029-puesto-de-trabajo-platinum-escritorio-rinconero-mesa-pc-_JM?quantity=1&amp;variation=27557480479</t>
  </si>
  <si>
    <t>https://articulo.mercadolibre.com.ar/MLA-726753286-sillon-ejecutivo-gerencial-bajo-silla-pc-envios-disenos--_JM?searchVariation=36486402153&amp;quantity=1&amp;variation=36486402153</t>
  </si>
  <si>
    <t>https://articulo.mercadolibre.com.ar/MLA-742321093-notebook-lenovo-thinkpad-t480-i7-ssd-m2-512gb-8gb-win10pro-_JM?quantity=1</t>
  </si>
  <si>
    <t>https://articulo.mercadolibre.com.ar/MLA-620180612-impresora-brother-dcp-1617nw-multi-wifi-toner-de-regalo-_JM?searchVariation=37261660059&amp;quantity=1&amp;variation=37261660059</t>
  </si>
  <si>
    <t>https://articulo.mercadolibre.com.ar/MLA-780722070-switch-cisco-sg110-16-16-port-gigabit-rack-sg100-16-mexx-2-_JM?quantity=1</t>
  </si>
  <si>
    <t>Costos Variable</t>
  </si>
  <si>
    <t>Costos RR HH</t>
  </si>
  <si>
    <t>Problemas de trackeo de eventos</t>
  </si>
  <si>
    <t>Mala configuración o asignacion erronea de suscriptores a eventos o rutas.</t>
  </si>
  <si>
    <t>Se generan eventos con faltantes de suscriptores esto significa un 1% de los ingresos de segundo año.</t>
  </si>
  <si>
    <t>Ingreso de un analista de servicio sin experiencia en el rubro en el primer año.</t>
  </si>
  <si>
    <t>Desconoce cómo vender y promocionar el servicio.</t>
  </si>
  <si>
    <t>Demora en lapsos de entregas parciales del proyecto.</t>
  </si>
  <si>
    <t>Atraso en la disponibilidad de la plataforma.</t>
  </si>
  <si>
    <t>Necesidad de horas extra por parte del personal actual. Aumento de costo de RRHH 10%</t>
  </si>
  <si>
    <t>Pérdida de tiempo por parte del desarrollador ya que tiene que instalar el software requerido.</t>
  </si>
  <si>
    <t>Aumento de costos de RRHH 3% por horas extra y caída de las ventas en un 2%</t>
  </si>
  <si>
    <t>Caida en la suscripciones por parte de los suscriptores</t>
  </si>
  <si>
    <t>Disminucion de ingresos por perdida de suscriptores.</t>
  </si>
  <si>
    <t>Las perdidas son proporcional a la cantidad de caidas de los sucriptores</t>
  </si>
  <si>
    <t>Contratar Gerente de Servicios sin experiencia en el rubro en el primer año</t>
  </si>
  <si>
    <t>Escenario 13: Contratar Gerente de Servicios sin experiencia en el rubro en el primer año.</t>
  </si>
  <si>
    <t>Desconoce cómo gestionar y publicitar el servicio.</t>
  </si>
  <si>
    <t>El ingreso de un gerente de servicio sin experiencia en el rubro genera un retraso del 2% en los ingresos del primer año.</t>
  </si>
  <si>
    <t>Escenario 6: Pérdida de participación en el mercado.</t>
  </si>
  <si>
    <r>
      <rPr>
        <b/>
        <sz val="10"/>
        <rFont val="Arial"/>
        <family val="2"/>
      </rPr>
      <t>Conclusión</t>
    </r>
    <r>
      <rPr>
        <sz val="10"/>
        <color rgb="FF000000"/>
        <rFont val="Arial"/>
        <family val="2"/>
      </rPr>
      <t>: El proyecto tolera una pérdida del 2% por la contratación de un gerente de servicio sin experiencia en el rubro.</t>
    </r>
  </si>
  <si>
    <t>Escenario 1: Inestabilidad económica en el país.</t>
  </si>
  <si>
    <t>Suscriptores</t>
  </si>
  <si>
    <t>Mercado Total</t>
  </si>
  <si>
    <t>Etapa</t>
  </si>
  <si>
    <t>Para la elaboración de los precios de venta se basa en un valor promedio de cada servicio. Donde, de ese monto tomamos un 5% del parque activo, del cual 55% va para el afiliado Bronce, un 35% va para el afiliado Plata y un 10% va para afiliados clase Oro. (esto para definir la fuerza de suscripción) 
Las cantidades representan el caudal de ventas realizadas por nuestro servicio en cada producto que se describe en la lista de precios, según la influencia del producto según la mezcla de servicios propuesta. Para la elaboración de la proyección de ingresos se tuvo en cuenta detalles y eventos por estacionalidad como, por ejemplo, ExpoEventos Latinoamérica (Marzo), Motofest internacional (Mayo) y 5ta Edición de “Vuelta a Formosa” (Septiembre), Julio y Diciembre donde se cobra el aguinaldo y los meses de vacaciones tanto verano como invierno.</t>
  </si>
  <si>
    <t>Promoción de ventas (Susc. Plata)</t>
  </si>
  <si>
    <t>Promoción de ventas (Susc. Oro)</t>
  </si>
  <si>
    <t>Teniendo en cuenta la cantidad de usuarios en el parque activo que consta de 5.540.120 de moto-vehículos (Considerando nuestra zona de operación Buenos Aires, Mendoza y Córdoba, incluyendo unidades nuevas y usadas de dicho parque). 
Nuestros eventos estarán orientados a los segmentos de tipo de moto-vehículos Sport, Custom y Street.  Teniendo este último una participación de 8% [443.209] (ya que es la mayoría de los vehículos que cumplen con las características técnicas para eventos de mediana y larga distancia) un 1% [55401] las de tipo Sport y un 1% las de tipo Custom [55401] (las cuales tiene características especiales para eventos distintos y también forman parte de la mayoría de participación del parque activo).                                                                              
Estos determinan el 10% de dicho parque en un numero de 553.900. Para la participación en el mercado se definió alcanzar un 5% que consta de 27695 usuarios, en una proyección de tres años.
Comparando el valor de las suscripciones de las plataformas digitales más concurridas en el territorio Argentino, teniendo en cuenta los diferentes alcances (de servicio, mercado, geográfico) y así también teniendo presente los objetivos de captación de usuarios definidos. (Un valor de $80, como mínimo para mercado meta en la suscripción de entrada al mercado), se podría considerar que el total de usuarios suscriptos generarían $26.587.200.</t>
  </si>
  <si>
    <t>$ Suscripciones</t>
  </si>
  <si>
    <t>Publicaciones</t>
  </si>
  <si>
    <t>$ Publicaciones</t>
  </si>
  <si>
    <t>Participación</t>
  </si>
  <si>
    <t>Facturación</t>
  </si>
  <si>
    <t>Totales Suscipciones</t>
  </si>
  <si>
    <t>Totales Servicios</t>
  </si>
  <si>
    <t>Suscriptores 1er Año</t>
  </si>
  <si>
    <t>Cantidad Serv.</t>
  </si>
  <si>
    <t>Ingreso Total 1er Año</t>
  </si>
  <si>
    <t>Total $ ARS</t>
  </si>
  <si>
    <t>Suscriptores 2do Año</t>
  </si>
  <si>
    <t>Ingreso Total 2do Año</t>
  </si>
  <si>
    <t>Suscriptores 3er Año</t>
  </si>
  <si>
    <t>Ingreso Total 3er Año</t>
  </si>
  <si>
    <t>Gerente Administracion</t>
  </si>
  <si>
    <t xml:space="preserve">Tecnico Soporte </t>
  </si>
  <si>
    <t>Alquileres</t>
  </si>
  <si>
    <t>Expensas</t>
  </si>
  <si>
    <t>Seguro</t>
  </si>
  <si>
    <t>Ofcina</t>
  </si>
  <si>
    <t>Electricidad</t>
  </si>
  <si>
    <t>Gas</t>
  </si>
  <si>
    <t>Internet</t>
  </si>
  <si>
    <t>Alarma</t>
  </si>
  <si>
    <t>Telefono</t>
  </si>
  <si>
    <t>Analista Funcional</t>
  </si>
  <si>
    <t>Cant.</t>
  </si>
  <si>
    <t>Router</t>
  </si>
  <si>
    <t>https://articulo.mercadolibre.com.ar/MLA-689230949-router-cisco-16-puertos-dual-wan-giga-vpn-ipsec-firewall-gtia-oficial-de-1-ano-factura-a-y-b-_JM?quantity=1#position=7&amp;type=item&amp;tracking_id=3361c750-4ccf-4355-893d-2b98cf0ef964</t>
  </si>
  <si>
    <t>https://articulo.mercadolibre.com.ar/MLA-700655078-escritorio-en-l-mesa-de-pc-lado-b-haya-y-negro-004-fan-022-_JM?quantity=1&amp;variation=30854013175#position=4&amp;type=item&amp;tracking_id=fbbdf573-109e-4db4-80db-de691bb1b5e3</t>
  </si>
  <si>
    <t>Soporte Infras. Hosting WebApp</t>
  </si>
  <si>
    <t>Dentro de los costos variables tenemos los valores mensuales de hosting de la webapp, el hosting de db y el costo de infra estructura de la plataforma Hosteada. Tambien tenemos que considerar los valores provinientes de las promociones de ventas en cuanto a los paquetes promocionables de Suscripcion Plata y Oro. (Estos son variables en los distintos años y montos segun la estrategia de Marketing y el mix de las 4 "p")</t>
  </si>
  <si>
    <t>Smart Tv</t>
  </si>
  <si>
    <t>https://www.mercadolibre.com.ar/p/MLA9051118#position=1&amp;type=product&amp;tracking_id=65687387-1685-48df-a51d-3d6f5e57e74c</t>
  </si>
  <si>
    <t>UPS</t>
  </si>
  <si>
    <t>https://articulo.mercadolibre.com.ar/MLA-818437526-unidad-smart-ups-srt-de-apc-10000-va-y-230-v-srt10kxli-_JM#position=48&amp;type=item&amp;tracking_id=9273869d-96db-44ef-aa88-99064b1c406e</t>
  </si>
  <si>
    <t>Maquina Café</t>
  </si>
  <si>
    <t>https://articulo.mercadolibre.com.ar/MLA-687477926-cafetera-automatica-expendedora-coffee-pro-advance-red-10-s-_JM?quantity=1&amp;variation=36141430335#position=35&amp;type=item&amp;tracking_id=de5d1fd3-9a4d-4f9a-afeb-2d31cda76b1e</t>
  </si>
  <si>
    <t>Heladera</t>
  </si>
  <si>
    <t>Micro Ondas</t>
  </si>
  <si>
    <t>Dispenser Agua</t>
  </si>
  <si>
    <t>https://articulo.mercadolibre.com.ar/MLA-814407323-heladera-samsung-rt43k6235bs-black-inox-70cm-_JM?quantity=1&amp;variation=43316269526#position=2&amp;type=item&amp;tracking_id=a950e64f-bba8-4bac-8563-cc02d41b7c4e</t>
  </si>
  <si>
    <t>https://www.mercadolibre.com.ar/p/MLA6352027#position=2&amp;type=product&amp;tracking_id=dcb39c5f-1cca-4053-9830-c77512e4e3d4</t>
  </si>
  <si>
    <t>https://articulo.mercadolibre.com.ar/MLA-798182359-dispenser-de-agua-frio-calor-mas-frio-ahorro-de-energia-_JM?quantity=1&amp;variation=40019348983#position=3&amp;type=item&amp;tracking_id=a018f906-fb3b-4819-9b92-bcd9f9a76929</t>
  </si>
  <si>
    <t>Aumento de los costos fijos en un 25% y un aumento en los recursos humanos del 15% para el tercer año del emprendimiento.</t>
  </si>
  <si>
    <t>Conclusión: El modelo no resiste que el tercer año cuente con una inflación del 25% y una ajuste de salarios por inflación del 15%.</t>
  </si>
  <si>
    <t>Conclusión: Para la superar dicha coyuntura inflacionaria, se pretende aumentar la inversión en publicidad en un 30%, esperando un incremento mínimo del 10% en los ingresos.                                                      Esto permitirá estabilizar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</si>
</sst>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4" formatCode="_-&quot;$&quot;\ * #,##0.00_-;\-&quot;$&quot;\ * #,##0.00_-;_-&quot;$&quot;\ * &quot;-&quot;??_-;_-@_-"/>
    <numFmt numFmtId="43" formatCode="_-* #,##0.00_-;\-* #,##0.00_-;_-* &quot;-&quot;??_-;_-@_-"/>
    <numFmt numFmtId="164" formatCode="_(&quot;$&quot;* #,##0.00_);_(&quot;$&quot;* \(#,##0.00\);_(&quot;$&quot;* &quot;-&quot;??_);_(@_)"/>
    <numFmt numFmtId="165" formatCode="[$ $]#,##0"/>
    <numFmt numFmtId="166" formatCode="\$\ #,##0"/>
    <numFmt numFmtId="167" formatCode="[$ $]#,##0.00"/>
    <numFmt numFmtId="168" formatCode="&quot;$&quot;\ #,##0.00"/>
    <numFmt numFmtId="169" formatCode="\$\ #,##0.00"/>
    <numFmt numFmtId="170" formatCode="0.0%"/>
    <numFmt numFmtId="171" formatCode="&quot;$&quot;#,##0.0"/>
    <numFmt numFmtId="172" formatCode="[$$-2C0A]\ #,##0.00"/>
    <numFmt numFmtId="173" formatCode="_ &quot;$&quot;\ * #,##0.00_ ;_ &quot;$&quot;\ * \-#,##0.00_ ;_ &quot;$&quot;\ * &quot;-&quot;??_ ;_ @_ "/>
  </numFmts>
  <fonts count="29" x14ac:knownFonts="1">
    <font>
      <sz val="10"/>
      <color rgb="FF000000"/>
      <name val="Arial"/>
    </font>
    <font>
      <sz val="11"/>
      <color theme="1"/>
      <name val="Calibri"/>
      <family val="2"/>
      <scheme val="minor"/>
    </font>
    <font>
      <b/>
      <sz val="11"/>
      <name val="Arial"/>
      <family val="2"/>
    </font>
    <font>
      <sz val="11"/>
      <color rgb="FF000000"/>
      <name val="Calibri"/>
      <family val="2"/>
    </font>
    <font>
      <sz val="10"/>
      <name val="Arial"/>
      <family val="2"/>
    </font>
    <font>
      <b/>
      <sz val="10"/>
      <name val="Arial"/>
      <family val="2"/>
    </font>
    <font>
      <u/>
      <sz val="10"/>
      <color rgb="FF0000FF"/>
      <name val="Arial"/>
      <family val="2"/>
    </font>
    <font>
      <b/>
      <sz val="11"/>
      <color rgb="FF000000"/>
      <name val="Calibri"/>
      <family val="2"/>
    </font>
    <font>
      <sz val="11"/>
      <name val="Calibri"/>
      <family val="2"/>
    </font>
    <font>
      <sz val="10"/>
      <name val="Arial"/>
      <family val="2"/>
    </font>
    <font>
      <sz val="11"/>
      <name val="Arial"/>
      <family val="2"/>
    </font>
    <font>
      <sz val="10"/>
      <color rgb="FF000000"/>
      <name val="Arial"/>
      <family val="2"/>
    </font>
    <font>
      <u/>
      <sz val="10"/>
      <color theme="10"/>
      <name val="Arial"/>
      <family val="2"/>
    </font>
    <font>
      <b/>
      <sz val="10"/>
      <name val="Arial"/>
      <family val="2"/>
    </font>
    <font>
      <sz val="10"/>
      <name val="Arial"/>
      <family val="2"/>
    </font>
    <font>
      <u/>
      <sz val="11"/>
      <color theme="10"/>
      <name val="Arial"/>
      <family val="2"/>
    </font>
    <font>
      <b/>
      <sz val="11"/>
      <name val="Arial"/>
      <family val="2"/>
    </font>
    <font>
      <sz val="11"/>
      <name val="Arial"/>
      <family val="2"/>
    </font>
    <font>
      <sz val="9"/>
      <color indexed="81"/>
      <name val="Tahoma"/>
      <family val="2"/>
    </font>
    <font>
      <b/>
      <sz val="9"/>
      <color indexed="81"/>
      <name val="Tahoma"/>
      <family val="2"/>
    </font>
    <font>
      <sz val="9"/>
      <name val="Arial"/>
      <family val="2"/>
    </font>
    <font>
      <b/>
      <sz val="9"/>
      <name val="Arial"/>
      <family val="2"/>
    </font>
    <font>
      <sz val="10"/>
      <color rgb="FF000000"/>
      <name val="Arial"/>
      <family val="2"/>
    </font>
    <font>
      <b/>
      <u/>
      <sz val="10"/>
      <color theme="1"/>
      <name val="Arial"/>
      <family val="2"/>
    </font>
    <font>
      <u/>
      <sz val="11"/>
      <color rgb="FF0000FF"/>
      <name val="Arial"/>
      <family val="2"/>
    </font>
    <font>
      <sz val="9"/>
      <color indexed="81"/>
      <name val="Tahoma"/>
      <charset val="1"/>
    </font>
    <font>
      <b/>
      <sz val="9"/>
      <color indexed="81"/>
      <name val="Tahoma"/>
      <charset val="1"/>
    </font>
    <font>
      <u/>
      <sz val="11"/>
      <color theme="10"/>
      <name val="Calibri"/>
      <family val="2"/>
      <scheme val="minor"/>
    </font>
    <font>
      <u/>
      <sz val="10"/>
      <color indexed="12"/>
      <name val="Arial"/>
      <family val="2"/>
    </font>
  </fonts>
  <fills count="2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rgb="FFE06666"/>
        <bgColor rgb="FFE06666"/>
      </patternFill>
    </fill>
    <fill>
      <patternFill patternType="solid">
        <fgColor rgb="FFEA9999"/>
        <bgColor rgb="FFEA9999"/>
      </patternFill>
    </fill>
    <fill>
      <patternFill patternType="solid">
        <fgColor theme="7" tint="0.79998168889431442"/>
        <bgColor rgb="FFF6B26B"/>
      </patternFill>
    </fill>
    <fill>
      <patternFill patternType="solid">
        <fgColor theme="7" tint="0.59999389629810485"/>
        <bgColor rgb="FF6FA8DC"/>
      </patternFill>
    </fill>
    <fill>
      <patternFill patternType="solid">
        <fgColor theme="7" tint="0.59999389629810485"/>
        <bgColor rgb="FFB7B7B7"/>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249977111117893"/>
        <bgColor rgb="FFCCCCCC"/>
      </patternFill>
    </fill>
    <fill>
      <patternFill patternType="solid">
        <fgColor theme="7" tint="0.59999389629810485"/>
        <bgColor rgb="FFCCCCCC"/>
      </patternFill>
    </fill>
    <fill>
      <patternFill patternType="solid">
        <fgColor theme="7" tint="0.79998168889431442"/>
        <bgColor rgb="FFCCCCCC"/>
      </patternFill>
    </fill>
    <fill>
      <patternFill patternType="solid">
        <fgColor theme="7" tint="0.79998168889431442"/>
        <bgColor rgb="FFD9D9D9"/>
      </patternFill>
    </fill>
    <fill>
      <patternFill patternType="solid">
        <fgColor theme="9" tint="0.59999389629810485"/>
        <bgColor rgb="FFEA9999"/>
      </patternFill>
    </fill>
    <fill>
      <patternFill patternType="solid">
        <fgColor theme="2" tint="-0.249977111117893"/>
        <bgColor indexed="64"/>
      </patternFill>
    </fill>
    <fill>
      <patternFill patternType="solid">
        <fgColor theme="2" tint="-0.249977111117893"/>
        <bgColor rgb="FFD9D9D9"/>
      </patternFill>
    </fill>
  </fills>
  <borders count="11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top style="medium">
        <color indexed="64"/>
      </top>
      <bottom style="thin">
        <color rgb="FF000000"/>
      </bottom>
      <diagonal/>
    </border>
    <border>
      <left style="medium">
        <color indexed="64"/>
      </left>
      <right/>
      <top/>
      <bottom style="thin">
        <color rgb="FF000000"/>
      </bottom>
      <diagonal/>
    </border>
    <border>
      <left style="medium">
        <color indexed="64"/>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medium">
        <color indexed="64"/>
      </top>
      <bottom style="thin">
        <color rgb="FF000000"/>
      </bottom>
      <diagonal/>
    </border>
    <border>
      <left/>
      <right style="thin">
        <color rgb="FF000000"/>
      </right>
      <top style="medium">
        <color indexed="64"/>
      </top>
      <bottom/>
      <diagonal/>
    </border>
    <border>
      <left style="thin">
        <color rgb="FF000000"/>
      </left>
      <right/>
      <top style="medium">
        <color indexed="64"/>
      </top>
      <bottom/>
      <diagonal/>
    </border>
    <border>
      <left style="thin">
        <color rgb="FF000000"/>
      </left>
      <right style="medium">
        <color indexed="64"/>
      </right>
      <top style="medium">
        <color indexed="64"/>
      </top>
      <bottom/>
      <diagonal/>
    </border>
    <border>
      <left style="medium">
        <color indexed="64"/>
      </left>
      <right style="medium">
        <color indexed="64"/>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style="thin">
        <color rgb="FF000000"/>
      </left>
      <right/>
      <top style="thin">
        <color rgb="FF000000"/>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top style="medium">
        <color indexed="64"/>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style="medium">
        <color indexed="64"/>
      </top>
      <bottom/>
      <diagonal/>
    </border>
    <border>
      <left/>
      <right style="thin">
        <color indexed="64"/>
      </right>
      <top/>
      <bottom style="thin">
        <color indexed="64"/>
      </bottom>
      <diagonal/>
    </border>
    <border>
      <left style="thin">
        <color rgb="FF000000"/>
      </left>
      <right style="thin">
        <color rgb="FF000000"/>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rgb="FF000000"/>
      </right>
      <top style="thin">
        <color rgb="FF000000"/>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s>
  <cellStyleXfs count="16">
    <xf numFmtId="0" fontId="0" fillId="0" borderId="0"/>
    <xf numFmtId="0" fontId="12" fillId="0" borderId="0" applyNumberFormat="0" applyFill="0" applyBorder="0" applyAlignment="0" applyProtection="0"/>
    <xf numFmtId="164" fontId="11" fillId="0" borderId="0" applyFont="0" applyFill="0" applyBorder="0" applyAlignment="0" applyProtection="0"/>
    <xf numFmtId="172" fontId="1" fillId="0" borderId="0"/>
    <xf numFmtId="43" fontId="1" fillId="0" borderId="0" applyFont="0" applyFill="0" applyBorder="0" applyAlignment="0" applyProtection="0"/>
    <xf numFmtId="172" fontId="27" fillId="0" borderId="0" applyNumberFormat="0" applyFill="0" applyBorder="0" applyAlignment="0" applyProtection="0"/>
    <xf numFmtId="0" fontId="1" fillId="0" borderId="0"/>
    <xf numFmtId="0" fontId="4" fillId="0" borderId="0"/>
    <xf numFmtId="0" fontId="4" fillId="0" borderId="0"/>
    <xf numFmtId="0" fontId="28" fillId="0" borderId="0" applyNumberFormat="0" applyFill="0" applyBorder="0" applyAlignment="0" applyProtection="0">
      <alignment vertical="top"/>
      <protection locked="0"/>
    </xf>
    <xf numFmtId="0" fontId="4" fillId="0" borderId="0"/>
    <xf numFmtId="0" fontId="4" fillId="0" borderId="0"/>
    <xf numFmtId="173" fontId="1" fillId="0" borderId="0" applyFont="0" applyFill="0" applyBorder="0" applyAlignment="0" applyProtection="0"/>
    <xf numFmtId="44" fontId="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cellStyleXfs>
  <cellXfs count="584">
    <xf numFmtId="0" fontId="0" fillId="0" borderId="0" xfId="0" applyFont="1" applyAlignment="1"/>
    <xf numFmtId="0" fontId="4" fillId="0" borderId="0" xfId="0" applyFont="1" applyAlignment="1"/>
    <xf numFmtId="0" fontId="5" fillId="0" borderId="0" xfId="0" applyFont="1" applyAlignment="1"/>
    <xf numFmtId="0" fontId="4" fillId="0" borderId="0" xfId="0" applyFont="1" applyAlignment="1">
      <alignment vertical="top" wrapText="1"/>
    </xf>
    <xf numFmtId="0" fontId="5" fillId="2" borderId="3" xfId="0" applyFont="1" applyFill="1" applyBorder="1" applyAlignment="1"/>
    <xf numFmtId="0" fontId="4" fillId="2" borderId="3" xfId="0" applyFont="1" applyFill="1" applyBorder="1"/>
    <xf numFmtId="0" fontId="4" fillId="0" borderId="3" xfId="0" applyFont="1" applyBorder="1" applyAlignment="1"/>
    <xf numFmtId="0" fontId="5" fillId="2" borderId="3" xfId="0" applyFont="1" applyFill="1" applyBorder="1" applyAlignment="1">
      <alignment horizontal="center"/>
    </xf>
    <xf numFmtId="165" fontId="4" fillId="0" borderId="3" xfId="0" applyNumberFormat="1" applyFont="1" applyBorder="1"/>
    <xf numFmtId="165" fontId="4" fillId="0" borderId="3" xfId="0" applyNumberFormat="1" applyFont="1" applyBorder="1" applyAlignment="1"/>
    <xf numFmtId="0" fontId="5" fillId="0" borderId="0" xfId="0" applyFont="1"/>
    <xf numFmtId="166" fontId="4" fillId="0" borderId="3" xfId="0" applyNumberFormat="1" applyFont="1" applyBorder="1"/>
    <xf numFmtId="0" fontId="4" fillId="0" borderId="3" xfId="0" applyFont="1" applyBorder="1"/>
    <xf numFmtId="165" fontId="5" fillId="3" borderId="3" xfId="0" applyNumberFormat="1" applyFont="1" applyFill="1" applyBorder="1"/>
    <xf numFmtId="0" fontId="4" fillId="0" borderId="0" xfId="0" applyFont="1" applyAlignment="1">
      <alignment horizontal="center"/>
    </xf>
    <xf numFmtId="0" fontId="8" fillId="3" borderId="3" xfId="0" applyFont="1" applyFill="1" applyBorder="1" applyAlignment="1"/>
    <xf numFmtId="168" fontId="3" fillId="3" borderId="3" xfId="0" applyNumberFormat="1" applyFont="1" applyFill="1" applyBorder="1" applyAlignment="1">
      <alignment horizontal="right"/>
    </xf>
    <xf numFmtId="10" fontId="7" fillId="3" borderId="3" xfId="0" applyNumberFormat="1" applyFont="1" applyFill="1" applyBorder="1" applyAlignment="1">
      <alignment horizontal="right"/>
    </xf>
    <xf numFmtId="165" fontId="9" fillId="0" borderId="3" xfId="0" applyNumberFormat="1" applyFont="1" applyBorder="1" applyAlignment="1"/>
    <xf numFmtId="166" fontId="3" fillId="7" borderId="3" xfId="0" applyNumberFormat="1" applyFont="1" applyFill="1" applyBorder="1" applyAlignment="1">
      <alignment horizontal="right"/>
    </xf>
    <xf numFmtId="165" fontId="0" fillId="0" borderId="3" xfId="0" applyNumberFormat="1" applyFont="1" applyBorder="1" applyAlignment="1"/>
    <xf numFmtId="0" fontId="7" fillId="3" borderId="3" xfId="0" applyFont="1" applyFill="1" applyBorder="1" applyAlignment="1">
      <alignment horizontal="center"/>
    </xf>
    <xf numFmtId="166" fontId="4" fillId="8" borderId="3" xfId="0" applyNumberFormat="1" applyFont="1" applyFill="1" applyBorder="1"/>
    <xf numFmtId="0" fontId="7" fillId="0" borderId="0" xfId="0" applyFont="1" applyAlignment="1">
      <alignment horizontal="center"/>
    </xf>
    <xf numFmtId="169" fontId="3" fillId="0" borderId="0" xfId="0" applyNumberFormat="1" applyFont="1" applyAlignment="1">
      <alignment horizontal="right"/>
    </xf>
    <xf numFmtId="168" fontId="3" fillId="0" borderId="0" xfId="0" applyNumberFormat="1" applyFont="1" applyAlignment="1">
      <alignment horizontal="right"/>
    </xf>
    <xf numFmtId="169" fontId="7" fillId="0" borderId="0" xfId="0" applyNumberFormat="1" applyFont="1" applyAlignment="1">
      <alignment horizontal="right"/>
    </xf>
    <xf numFmtId="0" fontId="4" fillId="0" borderId="6" xfId="0" applyFont="1" applyBorder="1" applyAlignment="1"/>
    <xf numFmtId="167" fontId="4" fillId="2" borderId="3" xfId="0" applyNumberFormat="1" applyFont="1" applyFill="1" applyBorder="1"/>
    <xf numFmtId="165" fontId="4" fillId="0" borderId="0" xfId="0" applyNumberFormat="1" applyFont="1" applyAlignment="1"/>
    <xf numFmtId="167" fontId="4" fillId="0" borderId="3" xfId="0" applyNumberFormat="1" applyFont="1" applyBorder="1"/>
    <xf numFmtId="165" fontId="4" fillId="8" borderId="3" xfId="0" applyNumberFormat="1" applyFont="1" applyFill="1" applyBorder="1" applyAlignment="1"/>
    <xf numFmtId="0" fontId="5" fillId="0" borderId="0" xfId="0" applyFont="1" applyAlignment="1">
      <alignment horizontal="center"/>
    </xf>
    <xf numFmtId="0" fontId="4" fillId="0" borderId="3" xfId="0" applyFont="1" applyBorder="1" applyAlignment="1">
      <alignment vertical="center" wrapText="1"/>
    </xf>
    <xf numFmtId="0" fontId="4" fillId="9" borderId="3"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0" borderId="0" xfId="0" applyFont="1" applyAlignment="1">
      <alignment vertical="center" wrapText="1"/>
    </xf>
    <xf numFmtId="0" fontId="4" fillId="5" borderId="3" xfId="0" applyFont="1" applyFill="1" applyBorder="1" applyAlignment="1">
      <alignment horizontal="center" vertical="center" wrapText="1"/>
    </xf>
    <xf numFmtId="9" fontId="4" fillId="0" borderId="0" xfId="0" applyNumberFormat="1" applyFont="1" applyAlignment="1">
      <alignment vertical="center" wrapText="1"/>
    </xf>
    <xf numFmtId="0" fontId="11" fillId="7" borderId="3" xfId="0" applyFont="1" applyFill="1" applyBorder="1" applyAlignment="1">
      <alignment horizontal="left" wrapText="1"/>
    </xf>
    <xf numFmtId="0" fontId="11" fillId="5" borderId="3" xfId="0" applyFont="1" applyFill="1" applyBorder="1" applyAlignment="1">
      <alignment horizontal="center" wrapText="1"/>
    </xf>
    <xf numFmtId="0" fontId="0" fillId="0" borderId="0" xfId="0" applyFont="1" applyAlignment="1"/>
    <xf numFmtId="0" fontId="0" fillId="0" borderId="0" xfId="0" applyFont="1" applyBorder="1" applyAlignment="1"/>
    <xf numFmtId="0" fontId="0" fillId="0" borderId="17" xfId="0" applyFont="1" applyBorder="1" applyAlignment="1"/>
    <xf numFmtId="0" fontId="6" fillId="0" borderId="0" xfId="0" applyFont="1" applyBorder="1" applyAlignment="1"/>
    <xf numFmtId="0" fontId="2" fillId="0" borderId="0" xfId="0" applyFont="1" applyBorder="1" applyAlignment="1">
      <alignment vertical="center"/>
    </xf>
    <xf numFmtId="0" fontId="3" fillId="0" borderId="0" xfId="0" applyFont="1" applyBorder="1"/>
    <xf numFmtId="0" fontId="5" fillId="0" borderId="0" xfId="0" applyFont="1" applyBorder="1" applyAlignment="1"/>
    <xf numFmtId="0" fontId="5" fillId="0" borderId="17" xfId="0" applyFont="1" applyBorder="1" applyAlignment="1"/>
    <xf numFmtId="0" fontId="13" fillId="0" borderId="17" xfId="0" applyFont="1" applyBorder="1" applyAlignment="1"/>
    <xf numFmtId="0" fontId="14" fillId="0" borderId="0" xfId="0" applyFont="1" applyBorder="1" applyAlignment="1">
      <alignment vertical="center"/>
    </xf>
    <xf numFmtId="0" fontId="0" fillId="0" borderId="0" xfId="0" applyFont="1" applyBorder="1" applyAlignment="1">
      <alignment vertical="center"/>
    </xf>
    <xf numFmtId="0" fontId="2" fillId="0" borderId="17" xfId="0" applyFont="1" applyBorder="1" applyAlignment="1">
      <alignment vertical="center"/>
    </xf>
    <xf numFmtId="0" fontId="0" fillId="0" borderId="0" xfId="0" applyFont="1" applyAlignment="1"/>
    <xf numFmtId="164" fontId="0" fillId="0" borderId="0" xfId="2" applyFont="1" applyBorder="1" applyAlignment="1"/>
    <xf numFmtId="0" fontId="5" fillId="3" borderId="21" xfId="0" applyFont="1" applyFill="1" applyBorder="1" applyAlignment="1"/>
    <xf numFmtId="0" fontId="5" fillId="3" borderId="22" xfId="0" applyFont="1" applyFill="1" applyBorder="1" applyAlignment="1"/>
    <xf numFmtId="0" fontId="5" fillId="3" borderId="23" xfId="0" applyFont="1" applyFill="1" applyBorder="1" applyAlignment="1"/>
    <xf numFmtId="0" fontId="5" fillId="3" borderId="24" xfId="0" applyFont="1" applyFill="1" applyBorder="1" applyAlignment="1"/>
    <xf numFmtId="0" fontId="5" fillId="3" borderId="25" xfId="0" applyFont="1" applyFill="1" applyBorder="1" applyAlignment="1"/>
    <xf numFmtId="0" fontId="5" fillId="3" borderId="26" xfId="0" applyFont="1" applyFill="1" applyBorder="1" applyAlignment="1"/>
    <xf numFmtId="0" fontId="5" fillId="2" borderId="27" xfId="0" applyFont="1" applyFill="1" applyBorder="1" applyAlignment="1">
      <alignment horizontal="center"/>
    </xf>
    <xf numFmtId="0" fontId="5" fillId="2" borderId="28" xfId="0" applyFont="1" applyFill="1" applyBorder="1" applyAlignment="1">
      <alignment horizontal="center"/>
    </xf>
    <xf numFmtId="0" fontId="5" fillId="2" borderId="29" xfId="0" applyFont="1" applyFill="1" applyBorder="1" applyAlignment="1">
      <alignment horizontal="center"/>
    </xf>
    <xf numFmtId="165" fontId="4" fillId="0" borderId="31" xfId="0" applyNumberFormat="1" applyFont="1" applyBorder="1"/>
    <xf numFmtId="0" fontId="5" fillId="2" borderId="30" xfId="0" applyFont="1" applyFill="1" applyBorder="1" applyAlignment="1">
      <alignment horizontal="center"/>
    </xf>
    <xf numFmtId="165" fontId="5" fillId="3" borderId="32" xfId="0" applyNumberFormat="1" applyFont="1" applyFill="1" applyBorder="1"/>
    <xf numFmtId="165" fontId="5" fillId="3" borderId="33" xfId="0" applyNumberFormat="1" applyFont="1" applyFill="1" applyBorder="1"/>
    <xf numFmtId="165" fontId="5" fillId="3" borderId="34" xfId="0" applyNumberFormat="1" applyFont="1" applyFill="1" applyBorder="1"/>
    <xf numFmtId="0" fontId="20" fillId="0" borderId="0" xfId="0" applyFont="1" applyAlignment="1"/>
    <xf numFmtId="0" fontId="5" fillId="2" borderId="42" xfId="0" applyFont="1" applyFill="1" applyBorder="1" applyAlignment="1"/>
    <xf numFmtId="165" fontId="14" fillId="0" borderId="3" xfId="0" applyNumberFormat="1" applyFont="1" applyBorder="1"/>
    <xf numFmtId="9" fontId="14" fillId="0" borderId="18" xfId="0" applyNumberFormat="1" applyFont="1" applyBorder="1" applyAlignment="1"/>
    <xf numFmtId="170" fontId="13" fillId="0" borderId="61" xfId="0" applyNumberFormat="1" applyFont="1" applyBorder="1"/>
    <xf numFmtId="0" fontId="13" fillId="0" borderId="0" xfId="0" applyFont="1"/>
    <xf numFmtId="3" fontId="14" fillId="0" borderId="3" xfId="0" applyNumberFormat="1" applyFont="1" applyBorder="1"/>
    <xf numFmtId="0" fontId="15" fillId="0" borderId="1" xfId="1" applyFont="1" applyBorder="1" applyAlignment="1"/>
    <xf numFmtId="0" fontId="15" fillId="0" borderId="2" xfId="1" applyFont="1" applyBorder="1"/>
    <xf numFmtId="0" fontId="4" fillId="0" borderId="0" xfId="0" applyFont="1" applyBorder="1"/>
    <xf numFmtId="0" fontId="0" fillId="0" borderId="0" xfId="0" applyFont="1" applyAlignment="1"/>
    <xf numFmtId="0" fontId="5" fillId="2" borderId="70" xfId="0" applyFont="1" applyFill="1" applyBorder="1" applyAlignment="1">
      <alignment horizontal="center"/>
    </xf>
    <xf numFmtId="0" fontId="4" fillId="0" borderId="56" xfId="0" applyFont="1" applyBorder="1"/>
    <xf numFmtId="0" fontId="4" fillId="0" borderId="59" xfId="0" applyFont="1" applyBorder="1"/>
    <xf numFmtId="0" fontId="14" fillId="0" borderId="30" xfId="0" applyFont="1" applyBorder="1" applyAlignment="1"/>
    <xf numFmtId="0" fontId="4" fillId="13" borderId="71" xfId="0" applyFont="1" applyFill="1" applyBorder="1" applyAlignment="1"/>
    <xf numFmtId="0" fontId="4" fillId="12" borderId="71" xfId="0" applyFont="1" applyFill="1" applyBorder="1" applyAlignment="1"/>
    <xf numFmtId="0" fontId="4" fillId="12" borderId="23" xfId="0" applyFont="1" applyFill="1" applyBorder="1" applyAlignment="1"/>
    <xf numFmtId="0" fontId="4" fillId="13" borderId="22" xfId="0" applyFont="1" applyFill="1" applyBorder="1" applyAlignment="1"/>
    <xf numFmtId="0" fontId="5" fillId="2" borderId="19" xfId="0" applyFont="1" applyFill="1" applyBorder="1" applyAlignment="1"/>
    <xf numFmtId="0" fontId="0" fillId="0" borderId="0" xfId="0" applyFont="1" applyAlignment="1"/>
    <xf numFmtId="3" fontId="14" fillId="0" borderId="18" xfId="0" applyNumberFormat="1" applyFont="1" applyBorder="1"/>
    <xf numFmtId="165" fontId="14" fillId="0" borderId="18" xfId="0" applyNumberFormat="1" applyFont="1" applyBorder="1" applyAlignment="1"/>
    <xf numFmtId="0" fontId="4" fillId="0" borderId="18" xfId="0" applyFont="1" applyBorder="1" applyAlignment="1"/>
    <xf numFmtId="165" fontId="4" fillId="0" borderId="18" xfId="0" applyNumberFormat="1" applyFont="1" applyBorder="1"/>
    <xf numFmtId="165" fontId="4" fillId="0" borderId="18" xfId="0" applyNumberFormat="1" applyFont="1" applyBorder="1" applyAlignment="1"/>
    <xf numFmtId="0" fontId="14" fillId="0" borderId="63" xfId="0" applyFont="1" applyBorder="1" applyAlignment="1"/>
    <xf numFmtId="3" fontId="14" fillId="0" borderId="64" xfId="0" applyNumberFormat="1" applyFont="1" applyBorder="1"/>
    <xf numFmtId="165" fontId="14" fillId="0" borderId="64" xfId="0" applyNumberFormat="1" applyFont="1" applyBorder="1" applyAlignment="1"/>
    <xf numFmtId="165" fontId="4" fillId="0" borderId="64" xfId="0" applyNumberFormat="1" applyFont="1" applyBorder="1"/>
    <xf numFmtId="0" fontId="5" fillId="4" borderId="75" xfId="0" applyFont="1" applyFill="1" applyBorder="1" applyAlignment="1"/>
    <xf numFmtId="0" fontId="5" fillId="4" borderId="76" xfId="0" applyFont="1" applyFill="1" applyBorder="1" applyAlignment="1"/>
    <xf numFmtId="165" fontId="14" fillId="0" borderId="31" xfId="0" applyNumberFormat="1" applyFont="1" applyBorder="1"/>
    <xf numFmtId="0" fontId="13" fillId="3" borderId="32" xfId="0" applyFont="1" applyFill="1" applyBorder="1" applyAlignment="1"/>
    <xf numFmtId="165" fontId="13" fillId="3" borderId="33" xfId="0" applyNumberFormat="1" applyFont="1" applyFill="1" applyBorder="1"/>
    <xf numFmtId="3" fontId="13" fillId="3" borderId="33" xfId="0" applyNumberFormat="1" applyFont="1" applyFill="1" applyBorder="1"/>
    <xf numFmtId="1" fontId="13" fillId="3" borderId="33" xfId="0" applyNumberFormat="1" applyFont="1" applyFill="1" applyBorder="1"/>
    <xf numFmtId="165" fontId="13" fillId="3" borderId="34" xfId="0" applyNumberFormat="1" applyFont="1" applyFill="1" applyBorder="1"/>
    <xf numFmtId="0" fontId="14" fillId="0" borderId="38" xfId="0" applyFont="1" applyBorder="1" applyAlignment="1"/>
    <xf numFmtId="165" fontId="14" fillId="0" borderId="6" xfId="0" applyNumberFormat="1" applyFont="1" applyBorder="1" applyAlignment="1"/>
    <xf numFmtId="3" fontId="14" fillId="0" borderId="6" xfId="0" applyNumberFormat="1" applyFont="1" applyBorder="1"/>
    <xf numFmtId="165" fontId="14" fillId="0" borderId="6" xfId="0" applyNumberFormat="1" applyFont="1" applyBorder="1"/>
    <xf numFmtId="1" fontId="14" fillId="0" borderId="6" xfId="0" applyNumberFormat="1" applyFont="1" applyBorder="1"/>
    <xf numFmtId="165" fontId="14" fillId="0" borderId="81" xfId="0" applyNumberFormat="1" applyFont="1" applyBorder="1"/>
    <xf numFmtId="0" fontId="13" fillId="3" borderId="42" xfId="0" applyFont="1" applyFill="1" applyBorder="1" applyAlignment="1">
      <alignment horizontal="left"/>
    </xf>
    <xf numFmtId="0" fontId="13" fillId="3" borderId="43" xfId="0" applyFont="1" applyFill="1" applyBorder="1" applyAlignment="1">
      <alignment horizontal="center"/>
    </xf>
    <xf numFmtId="0" fontId="13" fillId="3" borderId="44" xfId="0" applyFont="1" applyFill="1" applyBorder="1" applyAlignment="1">
      <alignment horizontal="center"/>
    </xf>
    <xf numFmtId="0" fontId="14" fillId="0" borderId="39" xfId="0" applyFont="1" applyBorder="1" applyAlignment="1"/>
    <xf numFmtId="3" fontId="14" fillId="0" borderId="7" xfId="0" applyNumberFormat="1" applyFont="1" applyBorder="1"/>
    <xf numFmtId="1" fontId="14" fillId="17" borderId="43" xfId="0" applyNumberFormat="1" applyFont="1" applyFill="1" applyBorder="1"/>
    <xf numFmtId="0" fontId="13" fillId="18" borderId="43" xfId="0" applyFont="1" applyFill="1" applyBorder="1" applyAlignment="1">
      <alignment horizontal="center"/>
    </xf>
    <xf numFmtId="0" fontId="13" fillId="18" borderId="44" xfId="0" applyFont="1" applyFill="1" applyBorder="1" applyAlignment="1">
      <alignment horizontal="center"/>
    </xf>
    <xf numFmtId="0" fontId="13" fillId="18" borderId="19" xfId="0" applyFont="1" applyFill="1" applyBorder="1" applyAlignment="1">
      <alignment horizontal="left"/>
    </xf>
    <xf numFmtId="165" fontId="4" fillId="0" borderId="2" xfId="0" applyNumberFormat="1" applyFont="1" applyBorder="1"/>
    <xf numFmtId="0" fontId="5" fillId="4" borderId="71" xfId="0" applyFont="1" applyFill="1" applyBorder="1" applyAlignment="1"/>
    <xf numFmtId="166" fontId="4" fillId="0" borderId="31" xfId="0" applyNumberFormat="1" applyFont="1" applyBorder="1"/>
    <xf numFmtId="166" fontId="5" fillId="2" borderId="33" xfId="0" applyNumberFormat="1" applyFont="1" applyFill="1" applyBorder="1"/>
    <xf numFmtId="166" fontId="5" fillId="2" borderId="34" xfId="0" applyNumberFormat="1" applyFont="1" applyFill="1" applyBorder="1"/>
    <xf numFmtId="0" fontId="7" fillId="3" borderId="30" xfId="0" applyFont="1" applyFill="1" applyBorder="1" applyAlignment="1">
      <alignment horizontal="center" wrapText="1"/>
    </xf>
    <xf numFmtId="0" fontId="5" fillId="4" borderId="31" xfId="0" applyFont="1" applyFill="1" applyBorder="1" applyAlignment="1">
      <alignment horizontal="center"/>
    </xf>
    <xf numFmtId="0" fontId="5" fillId="6" borderId="30" xfId="0" applyFont="1" applyFill="1" applyBorder="1" applyAlignment="1"/>
    <xf numFmtId="0" fontId="5" fillId="2" borderId="32" xfId="0" applyFont="1" applyFill="1" applyBorder="1" applyAlignment="1"/>
    <xf numFmtId="0" fontId="5" fillId="3" borderId="31" xfId="0" applyFont="1" applyFill="1" applyBorder="1" applyAlignment="1">
      <alignment horizontal="center"/>
    </xf>
    <xf numFmtId="0" fontId="7" fillId="3" borderId="24" xfId="0" applyFont="1" applyFill="1" applyBorder="1" applyAlignment="1">
      <alignment horizontal="center" wrapText="1"/>
    </xf>
    <xf numFmtId="0" fontId="0" fillId="0" borderId="18" xfId="0" applyFont="1" applyBorder="1" applyAlignment="1">
      <alignment horizontal="center"/>
    </xf>
    <xf numFmtId="0" fontId="5" fillId="4" borderId="73" xfId="0" applyFont="1" applyFill="1" applyBorder="1" applyAlignment="1"/>
    <xf numFmtId="0" fontId="5" fillId="2" borderId="26" xfId="0" applyFont="1" applyFill="1" applyBorder="1" applyAlignment="1"/>
    <xf numFmtId="0" fontId="5" fillId="3" borderId="52" xfId="0" applyFont="1" applyFill="1" applyBorder="1" applyAlignment="1">
      <alignment horizontal="center"/>
    </xf>
    <xf numFmtId="0" fontId="5" fillId="3" borderId="53" xfId="0" applyFont="1" applyFill="1" applyBorder="1" applyAlignment="1">
      <alignment horizontal="center"/>
    </xf>
    <xf numFmtId="0" fontId="5" fillId="3" borderId="54" xfId="0" applyFont="1" applyFill="1" applyBorder="1" applyAlignment="1">
      <alignment horizontal="center"/>
    </xf>
    <xf numFmtId="0" fontId="0" fillId="0" borderId="55" xfId="0" applyFont="1" applyBorder="1" applyAlignment="1">
      <alignment horizontal="center"/>
    </xf>
    <xf numFmtId="0" fontId="0" fillId="0" borderId="56" xfId="0" applyFont="1" applyBorder="1" applyAlignment="1">
      <alignment horizontal="center"/>
    </xf>
    <xf numFmtId="0" fontId="7" fillId="2" borderId="27" xfId="0" applyFont="1" applyFill="1" applyBorder="1" applyAlignment="1">
      <alignment horizontal="center" wrapText="1"/>
    </xf>
    <xf numFmtId="0" fontId="7" fillId="2" borderId="28" xfId="0" applyFont="1" applyFill="1" applyBorder="1" applyAlignment="1">
      <alignment horizontal="center"/>
    </xf>
    <xf numFmtId="0" fontId="7" fillId="2" borderId="28" xfId="0" applyFont="1" applyFill="1" applyBorder="1" applyAlignment="1">
      <alignment horizontal="center" wrapText="1"/>
    </xf>
    <xf numFmtId="0" fontId="7" fillId="2" borderId="29" xfId="0" applyFont="1" applyFill="1" applyBorder="1" applyAlignment="1">
      <alignment horizontal="center"/>
    </xf>
    <xf numFmtId="0" fontId="4" fillId="3" borderId="30" xfId="0" applyFont="1" applyFill="1" applyBorder="1"/>
    <xf numFmtId="0" fontId="4" fillId="3" borderId="31" xfId="0" applyFont="1" applyFill="1" applyBorder="1"/>
    <xf numFmtId="166" fontId="3" fillId="7" borderId="31" xfId="0" applyNumberFormat="1" applyFont="1" applyFill="1" applyBorder="1" applyAlignment="1">
      <alignment horizontal="right"/>
    </xf>
    <xf numFmtId="0" fontId="5" fillId="4" borderId="23" xfId="0" applyFont="1" applyFill="1" applyBorder="1" applyAlignment="1"/>
    <xf numFmtId="165" fontId="9" fillId="0" borderId="33" xfId="0" applyNumberFormat="1" applyFont="1" applyBorder="1" applyAlignment="1"/>
    <xf numFmtId="166" fontId="3" fillId="7" borderId="33" xfId="0" applyNumberFormat="1" applyFont="1" applyFill="1" applyBorder="1" applyAlignment="1">
      <alignment horizontal="right"/>
    </xf>
    <xf numFmtId="166" fontId="3" fillId="7" borderId="34" xfId="0" applyNumberFormat="1" applyFont="1" applyFill="1" applyBorder="1" applyAlignment="1">
      <alignment horizontal="right"/>
    </xf>
    <xf numFmtId="165" fontId="4" fillId="0" borderId="0" xfId="0" applyNumberFormat="1" applyFont="1" applyBorder="1" applyAlignment="1"/>
    <xf numFmtId="165" fontId="4" fillId="0" borderId="1" xfId="0" applyNumberFormat="1" applyFont="1" applyBorder="1" applyAlignment="1"/>
    <xf numFmtId="0" fontId="5" fillId="2" borderId="6" xfId="0" applyFont="1" applyFill="1" applyBorder="1" applyAlignment="1"/>
    <xf numFmtId="0" fontId="5" fillId="2" borderId="27" xfId="0" applyFont="1" applyFill="1" applyBorder="1" applyAlignment="1"/>
    <xf numFmtId="0" fontId="5" fillId="2" borderId="84" xfId="0" applyFont="1" applyFill="1" applyBorder="1" applyAlignment="1">
      <alignment horizontal="center"/>
    </xf>
    <xf numFmtId="0" fontId="5" fillId="2" borderId="67" xfId="0" applyFont="1" applyFill="1" applyBorder="1" applyAlignment="1">
      <alignment horizontal="center"/>
    </xf>
    <xf numFmtId="0" fontId="5" fillId="2" borderId="36" xfId="0" applyFont="1" applyFill="1" applyBorder="1" applyAlignment="1">
      <alignment horizontal="center"/>
    </xf>
    <xf numFmtId="0" fontId="4" fillId="4" borderId="38" xfId="0" applyFont="1" applyFill="1" applyBorder="1" applyAlignment="1"/>
    <xf numFmtId="0" fontId="10" fillId="7" borderId="0" xfId="0" applyFont="1" applyFill="1" applyBorder="1"/>
    <xf numFmtId="0" fontId="4" fillId="4" borderId="30" xfId="0" applyFont="1" applyFill="1" applyBorder="1" applyAlignment="1"/>
    <xf numFmtId="0" fontId="4" fillId="0" borderId="31" xfId="0" applyFont="1" applyBorder="1"/>
    <xf numFmtId="0" fontId="5" fillId="2" borderId="30" xfId="0" applyFont="1" applyFill="1" applyBorder="1" applyAlignment="1"/>
    <xf numFmtId="0" fontId="4" fillId="2" borderId="31" xfId="0" applyFont="1" applyFill="1" applyBorder="1"/>
    <xf numFmtId="0" fontId="5" fillId="2" borderId="33" xfId="0" applyFont="1" applyFill="1" applyBorder="1" applyAlignment="1"/>
    <xf numFmtId="165" fontId="5" fillId="2" borderId="33" xfId="0" applyNumberFormat="1" applyFont="1" applyFill="1" applyBorder="1"/>
    <xf numFmtId="0" fontId="5" fillId="2" borderId="33" xfId="0" applyFont="1" applyFill="1" applyBorder="1"/>
    <xf numFmtId="167" fontId="5" fillId="2" borderId="33" xfId="0" applyNumberFormat="1" applyFont="1" applyFill="1" applyBorder="1"/>
    <xf numFmtId="165" fontId="5" fillId="2" borderId="34" xfId="0" applyNumberFormat="1" applyFont="1" applyFill="1" applyBorder="1"/>
    <xf numFmtId="0" fontId="23" fillId="3" borderId="27" xfId="1" applyFont="1" applyFill="1" applyBorder="1" applyAlignment="1"/>
    <xf numFmtId="165" fontId="4" fillId="0" borderId="28" xfId="0" applyNumberFormat="1" applyFont="1" applyBorder="1"/>
    <xf numFmtId="165" fontId="4" fillId="0" borderId="29" xfId="0" applyNumberFormat="1" applyFont="1" applyBorder="1"/>
    <xf numFmtId="0" fontId="23" fillId="3" borderId="30" xfId="1" applyFont="1" applyFill="1" applyBorder="1" applyAlignment="1"/>
    <xf numFmtId="0" fontId="5" fillId="2" borderId="42" xfId="0" applyFont="1" applyFill="1" applyBorder="1" applyAlignment="1">
      <alignment horizontal="center"/>
    </xf>
    <xf numFmtId="0" fontId="5" fillId="2" borderId="43" xfId="0" applyFont="1" applyFill="1" applyBorder="1" applyAlignment="1">
      <alignment horizontal="center"/>
    </xf>
    <xf numFmtId="0" fontId="5" fillId="2" borderId="44" xfId="0" applyFont="1" applyFill="1" applyBorder="1" applyAlignment="1">
      <alignment horizontal="center"/>
    </xf>
    <xf numFmtId="0" fontId="5" fillId="3" borderId="30" xfId="0" applyFont="1" applyFill="1" applyBorder="1" applyAlignment="1"/>
    <xf numFmtId="165" fontId="5" fillId="3" borderId="31" xfId="0" applyNumberFormat="1" applyFont="1" applyFill="1" applyBorder="1"/>
    <xf numFmtId="0" fontId="5" fillId="3" borderId="32" xfId="0" applyFont="1" applyFill="1" applyBorder="1" applyAlignment="1"/>
    <xf numFmtId="0" fontId="5" fillId="2" borderId="32" xfId="0" applyFont="1" applyFill="1" applyBorder="1" applyAlignment="1">
      <alignment horizontal="right"/>
    </xf>
    <xf numFmtId="0" fontId="5" fillId="2" borderId="82" xfId="0" applyFont="1" applyFill="1" applyBorder="1" applyAlignment="1">
      <alignment horizontal="center"/>
    </xf>
    <xf numFmtId="165" fontId="4" fillId="0" borderId="55" xfId="0" applyNumberFormat="1" applyFont="1" applyBorder="1"/>
    <xf numFmtId="165" fontId="4" fillId="0" borderId="56" xfId="0" applyNumberFormat="1" applyFont="1" applyBorder="1"/>
    <xf numFmtId="165" fontId="4" fillId="0" borderId="57" xfId="0" applyNumberFormat="1" applyFont="1" applyBorder="1"/>
    <xf numFmtId="165" fontId="4" fillId="0" borderId="58" xfId="0" applyNumberFormat="1" applyFont="1" applyBorder="1"/>
    <xf numFmtId="165" fontId="4" fillId="0" borderId="59" xfId="0" applyNumberFormat="1" applyFont="1" applyBorder="1"/>
    <xf numFmtId="0" fontId="5" fillId="3" borderId="27" xfId="0" applyFont="1" applyFill="1" applyBorder="1" applyAlignment="1"/>
    <xf numFmtId="9" fontId="4" fillId="0" borderId="29" xfId="0" applyNumberFormat="1" applyFont="1" applyBorder="1" applyAlignment="1"/>
    <xf numFmtId="9" fontId="4" fillId="15" borderId="34" xfId="0" applyNumberFormat="1" applyFont="1" applyFill="1" applyBorder="1"/>
    <xf numFmtId="0" fontId="22" fillId="0" borderId="0" xfId="0" applyFont="1" applyAlignment="1"/>
    <xf numFmtId="0" fontId="14" fillId="0" borderId="0" xfId="0" applyFont="1" applyAlignment="1"/>
    <xf numFmtId="0" fontId="14" fillId="0" borderId="3" xfId="0" applyFont="1" applyBorder="1" applyAlignment="1">
      <alignment vertical="center" wrapText="1"/>
    </xf>
    <xf numFmtId="0" fontId="14" fillId="0" borderId="57" xfId="0" applyFont="1" applyBorder="1" applyAlignment="1"/>
    <xf numFmtId="0" fontId="14" fillId="0" borderId="55" xfId="0" applyFont="1" applyBorder="1" applyAlignment="1"/>
    <xf numFmtId="0" fontId="0" fillId="0" borderId="0" xfId="0" applyFont="1" applyAlignment="1"/>
    <xf numFmtId="165" fontId="4" fillId="0" borderId="56" xfId="0" applyNumberFormat="1" applyFont="1" applyBorder="1" applyAlignment="1"/>
    <xf numFmtId="0" fontId="4" fillId="0" borderId="58" xfId="0" applyFont="1" applyBorder="1" applyAlignment="1"/>
    <xf numFmtId="165" fontId="4" fillId="0" borderId="59" xfId="0" applyNumberFormat="1" applyFont="1" applyBorder="1" applyAlignment="1"/>
    <xf numFmtId="0" fontId="0" fillId="0" borderId="17" xfId="0" applyFont="1" applyBorder="1" applyAlignment="1"/>
    <xf numFmtId="0" fontId="0" fillId="0" borderId="0" xfId="0" applyFont="1" applyAlignment="1"/>
    <xf numFmtId="171" fontId="0" fillId="0" borderId="0" xfId="0" applyNumberFormat="1" applyFont="1" applyAlignment="1"/>
    <xf numFmtId="0" fontId="5" fillId="2" borderId="39" xfId="0" applyFont="1" applyFill="1" applyBorder="1" applyAlignment="1">
      <alignment horizontal="center"/>
    </xf>
    <xf numFmtId="0" fontId="5" fillId="2" borderId="7" xfId="0" applyFont="1" applyFill="1" applyBorder="1" applyAlignment="1">
      <alignment horizontal="center"/>
    </xf>
    <xf numFmtId="0" fontId="5" fillId="2" borderId="40" xfId="0" applyFont="1" applyFill="1" applyBorder="1" applyAlignment="1">
      <alignment horizontal="center"/>
    </xf>
    <xf numFmtId="165" fontId="5" fillId="3" borderId="99" xfId="0" applyNumberFormat="1" applyFont="1" applyFill="1" applyBorder="1"/>
    <xf numFmtId="165" fontId="5" fillId="3" borderId="100" xfId="0" applyNumberFormat="1" applyFont="1" applyFill="1" applyBorder="1"/>
    <xf numFmtId="165" fontId="5" fillId="3" borderId="101" xfId="0" applyNumberFormat="1" applyFont="1" applyFill="1" applyBorder="1"/>
    <xf numFmtId="165" fontId="4" fillId="0" borderId="73" xfId="0" applyNumberFormat="1" applyFont="1" applyBorder="1" applyAlignment="1"/>
    <xf numFmtId="0" fontId="13" fillId="2" borderId="27" xfId="0" applyFont="1" applyFill="1" applyBorder="1" applyAlignment="1">
      <alignment horizontal="center"/>
    </xf>
    <xf numFmtId="0" fontId="13" fillId="2" borderId="28" xfId="0" applyFont="1" applyFill="1" applyBorder="1" applyAlignment="1">
      <alignment horizontal="center"/>
    </xf>
    <xf numFmtId="0" fontId="13" fillId="2" borderId="29" xfId="0" applyFont="1" applyFill="1" applyBorder="1" applyAlignment="1">
      <alignment horizontal="center"/>
    </xf>
    <xf numFmtId="9" fontId="4" fillId="0" borderId="34" xfId="0" applyNumberFormat="1" applyFont="1" applyBorder="1"/>
    <xf numFmtId="0" fontId="5" fillId="3" borderId="71" xfId="0" applyFont="1" applyFill="1" applyBorder="1" applyAlignment="1"/>
    <xf numFmtId="165" fontId="4" fillId="0" borderId="55" xfId="0" applyNumberFormat="1" applyFont="1" applyBorder="1" applyAlignment="1"/>
    <xf numFmtId="0" fontId="0" fillId="0" borderId="46" xfId="0" applyFont="1" applyBorder="1" applyAlignment="1"/>
    <xf numFmtId="0" fontId="2" fillId="0" borderId="47" xfId="0" applyFont="1" applyBorder="1" applyAlignment="1">
      <alignment horizontal="center"/>
    </xf>
    <xf numFmtId="0" fontId="0" fillId="0" borderId="47" xfId="0" applyFont="1" applyBorder="1" applyAlignment="1"/>
    <xf numFmtId="0" fontId="0" fillId="0" borderId="37" xfId="0" applyFont="1" applyBorder="1" applyAlignment="1"/>
    <xf numFmtId="0" fontId="0" fillId="0" borderId="50" xfId="0" applyFont="1" applyBorder="1" applyAlignment="1"/>
    <xf numFmtId="0" fontId="5" fillId="3" borderId="28" xfId="0" applyFont="1" applyFill="1" applyBorder="1" applyAlignment="1">
      <alignment horizontal="center"/>
    </xf>
    <xf numFmtId="0" fontId="5" fillId="3" borderId="29" xfId="0" applyFont="1" applyFill="1" applyBorder="1" applyAlignment="1">
      <alignment horizontal="center"/>
    </xf>
    <xf numFmtId="0" fontId="4" fillId="0" borderId="30" xfId="0" applyFont="1" applyBorder="1" applyAlignment="1">
      <alignment horizontal="center" vertical="center"/>
    </xf>
    <xf numFmtId="0" fontId="14" fillId="0" borderId="31" xfId="0" applyFont="1" applyBorder="1" applyAlignment="1">
      <alignment vertical="center" wrapText="1"/>
    </xf>
    <xf numFmtId="0" fontId="4" fillId="0" borderId="31" xfId="0" applyFont="1" applyBorder="1" applyAlignment="1">
      <alignment vertical="center" wrapText="1"/>
    </xf>
    <xf numFmtId="0" fontId="11" fillId="7" borderId="31" xfId="0" applyFont="1" applyFill="1" applyBorder="1" applyAlignment="1">
      <alignment horizontal="left" wrapText="1"/>
    </xf>
    <xf numFmtId="0" fontId="4" fillId="0" borderId="32" xfId="0" applyFont="1" applyBorder="1" applyAlignment="1">
      <alignment horizontal="center" vertical="center"/>
    </xf>
    <xf numFmtId="0" fontId="14" fillId="0" borderId="33" xfId="0" applyFont="1" applyBorder="1" applyAlignment="1">
      <alignment vertical="center" wrapText="1"/>
    </xf>
    <xf numFmtId="0" fontId="4" fillId="5" borderId="33" xfId="0" applyFont="1" applyFill="1" applyBorder="1" applyAlignment="1">
      <alignment horizontal="center" vertical="center" wrapText="1"/>
    </xf>
    <xf numFmtId="0" fontId="4" fillId="10" borderId="33" xfId="0" applyFont="1" applyFill="1" applyBorder="1" applyAlignment="1">
      <alignment horizontal="center" vertical="center" wrapText="1"/>
    </xf>
    <xf numFmtId="0" fontId="14" fillId="0" borderId="34" xfId="0" applyFont="1" applyBorder="1" applyAlignment="1">
      <alignment vertical="center" wrapText="1"/>
    </xf>
    <xf numFmtId="165" fontId="4" fillId="11" borderId="31" xfId="0" applyNumberFormat="1" applyFont="1" applyFill="1" applyBorder="1"/>
    <xf numFmtId="0" fontId="5" fillId="2" borderId="43" xfId="0" applyFont="1" applyFill="1" applyBorder="1" applyAlignment="1"/>
    <xf numFmtId="0" fontId="5" fillId="2" borderId="44" xfId="0" applyFont="1" applyFill="1" applyBorder="1" applyAlignment="1"/>
    <xf numFmtId="165" fontId="4" fillId="11" borderId="28" xfId="0" applyNumberFormat="1" applyFont="1" applyFill="1" applyBorder="1"/>
    <xf numFmtId="0" fontId="4" fillId="4" borderId="21" xfId="0" applyFont="1" applyFill="1" applyBorder="1" applyAlignment="1"/>
    <xf numFmtId="0" fontId="4" fillId="4" borderId="71" xfId="0" applyFont="1" applyFill="1" applyBorder="1" applyAlignment="1"/>
    <xf numFmtId="0" fontId="24" fillId="0" borderId="0" xfId="0" applyFont="1" applyBorder="1" applyAlignment="1"/>
    <xf numFmtId="0" fontId="5" fillId="20" borderId="3" xfId="0" applyFont="1" applyFill="1" applyBorder="1" applyAlignment="1"/>
    <xf numFmtId="0" fontId="5" fillId="20" borderId="2" xfId="0" applyFont="1" applyFill="1" applyBorder="1" applyAlignment="1"/>
    <xf numFmtId="165" fontId="13" fillId="21" borderId="32" xfId="0" applyNumberFormat="1" applyFont="1" applyFill="1" applyBorder="1" applyAlignment="1">
      <alignment horizontal="center"/>
    </xf>
    <xf numFmtId="165" fontId="13" fillId="21" borderId="33" xfId="0" applyNumberFormat="1" applyFont="1" applyFill="1" applyBorder="1" applyAlignment="1">
      <alignment horizontal="center"/>
    </xf>
    <xf numFmtId="165" fontId="13" fillId="21" borderId="34" xfId="0" applyNumberFormat="1" applyFont="1" applyFill="1" applyBorder="1" applyAlignment="1">
      <alignment horizontal="center"/>
    </xf>
    <xf numFmtId="165" fontId="4" fillId="22" borderId="29" xfId="0" applyNumberFormat="1" applyFont="1" applyFill="1" applyBorder="1"/>
    <xf numFmtId="0" fontId="0" fillId="0" borderId="0" xfId="0" applyFont="1" applyAlignment="1"/>
    <xf numFmtId="165" fontId="14" fillId="0" borderId="18" xfId="0" applyNumberFormat="1" applyFont="1" applyBorder="1" applyAlignment="1">
      <alignment horizontal="right"/>
    </xf>
    <xf numFmtId="0" fontId="13" fillId="4" borderId="53" xfId="0" applyFont="1" applyFill="1" applyBorder="1" applyAlignment="1">
      <alignment horizontal="center"/>
    </xf>
    <xf numFmtId="0" fontId="0" fillId="0" borderId="17" xfId="0" applyFont="1" applyBorder="1" applyAlignment="1"/>
    <xf numFmtId="0" fontId="0" fillId="0" borderId="0" xfId="0" applyFont="1" applyAlignment="1"/>
    <xf numFmtId="0" fontId="0" fillId="0" borderId="0" xfId="0" applyFont="1" applyAlignment="1"/>
    <xf numFmtId="165" fontId="14" fillId="0" borderId="18" xfId="0" applyNumberFormat="1" applyFont="1" applyBorder="1" applyAlignment="1">
      <alignment horizontal="center"/>
    </xf>
    <xf numFmtId="165" fontId="14" fillId="0" borderId="64" xfId="0" applyNumberFormat="1" applyFont="1" applyBorder="1" applyAlignment="1">
      <alignment horizontal="center"/>
    </xf>
    <xf numFmtId="3" fontId="14" fillId="0" borderId="18" xfId="0" applyNumberFormat="1" applyFont="1" applyBorder="1" applyAlignment="1"/>
    <xf numFmtId="3" fontId="14" fillId="0" borderId="61" xfId="0" applyNumberFormat="1" applyFont="1" applyBorder="1" applyAlignment="1"/>
    <xf numFmtId="0" fontId="13" fillId="4" borderId="53" xfId="0" applyFont="1" applyFill="1" applyBorder="1" applyAlignment="1">
      <alignment vertical="center"/>
    </xf>
    <xf numFmtId="0" fontId="5" fillId="4" borderId="53" xfId="0" applyFont="1" applyFill="1" applyBorder="1" applyAlignment="1">
      <alignment vertical="center"/>
    </xf>
    <xf numFmtId="170" fontId="13" fillId="0" borderId="18" xfId="0" applyNumberFormat="1" applyFont="1" applyBorder="1"/>
    <xf numFmtId="0" fontId="13" fillId="4" borderId="64" xfId="0" applyFont="1" applyFill="1" applyBorder="1" applyAlignment="1">
      <alignment horizontal="center"/>
    </xf>
    <xf numFmtId="0" fontId="13" fillId="4" borderId="64" xfId="0" applyFont="1" applyFill="1" applyBorder="1" applyAlignment="1"/>
    <xf numFmtId="0" fontId="5" fillId="4" borderId="64" xfId="0" applyFont="1" applyFill="1" applyBorder="1" applyAlignment="1"/>
    <xf numFmtId="0" fontId="5" fillId="4" borderId="64" xfId="0" applyFont="1" applyFill="1" applyBorder="1" applyAlignment="1">
      <alignment vertical="center"/>
    </xf>
    <xf numFmtId="165" fontId="14" fillId="0" borderId="61" xfId="0" applyNumberFormat="1" applyFont="1" applyBorder="1" applyAlignment="1">
      <alignment horizontal="center"/>
    </xf>
    <xf numFmtId="3" fontId="13" fillId="0" borderId="61" xfId="0" applyNumberFormat="1" applyFont="1" applyBorder="1" applyAlignment="1"/>
    <xf numFmtId="165" fontId="5" fillId="0" borderId="61" xfId="0" applyNumberFormat="1" applyFont="1" applyBorder="1" applyAlignment="1">
      <alignment horizontal="right"/>
    </xf>
    <xf numFmtId="170" fontId="13" fillId="0" borderId="64" xfId="0" applyNumberFormat="1" applyFont="1" applyBorder="1"/>
    <xf numFmtId="3" fontId="14" fillId="0" borderId="64" xfId="0" applyNumberFormat="1" applyFont="1" applyBorder="1" applyAlignment="1"/>
    <xf numFmtId="0" fontId="5" fillId="4" borderId="111" xfId="0" applyFont="1" applyFill="1" applyBorder="1" applyAlignment="1"/>
    <xf numFmtId="0" fontId="5" fillId="4" borderId="84" xfId="0" applyFont="1" applyFill="1" applyBorder="1" applyAlignment="1"/>
    <xf numFmtId="0" fontId="5" fillId="4" borderId="70" xfId="0" applyFont="1" applyFill="1" applyBorder="1" applyAlignment="1"/>
    <xf numFmtId="0" fontId="5" fillId="4" borderId="112" xfId="0" applyFont="1" applyFill="1" applyBorder="1" applyAlignment="1"/>
    <xf numFmtId="0" fontId="5" fillId="4" borderId="48" xfId="0" applyFont="1" applyFill="1" applyBorder="1" applyAlignment="1"/>
    <xf numFmtId="165" fontId="4" fillId="2" borderId="110" xfId="0" applyNumberFormat="1" applyFont="1" applyFill="1" applyBorder="1"/>
    <xf numFmtId="0" fontId="14" fillId="0" borderId="52" xfId="0" applyFont="1" applyBorder="1" applyAlignment="1"/>
    <xf numFmtId="3" fontId="14" fillId="0" borderId="53" xfId="0" applyNumberFormat="1" applyFont="1" applyBorder="1"/>
    <xf numFmtId="165" fontId="14" fillId="0" borderId="53" xfId="0" applyNumberFormat="1" applyFont="1" applyBorder="1" applyAlignment="1"/>
    <xf numFmtId="0" fontId="4" fillId="0" borderId="53" xfId="0" applyFont="1" applyBorder="1" applyAlignment="1"/>
    <xf numFmtId="165" fontId="4" fillId="0" borderId="53" xfId="0" applyNumberFormat="1" applyFont="1" applyBorder="1"/>
    <xf numFmtId="3" fontId="14" fillId="0" borderId="58" xfId="0" applyNumberFormat="1" applyFont="1" applyBorder="1"/>
    <xf numFmtId="165" fontId="14" fillId="0" borderId="58" xfId="0" applyNumberFormat="1" applyFont="1" applyBorder="1" applyAlignment="1"/>
    <xf numFmtId="0" fontId="5" fillId="4" borderId="113" xfId="0" applyFont="1" applyFill="1" applyBorder="1" applyAlignment="1"/>
    <xf numFmtId="0" fontId="5" fillId="4" borderId="114" xfId="0" applyFont="1" applyFill="1" applyBorder="1" applyAlignment="1"/>
    <xf numFmtId="0" fontId="5" fillId="4" borderId="115" xfId="0" applyFont="1" applyFill="1" applyBorder="1" applyAlignment="1"/>
    <xf numFmtId="0" fontId="4" fillId="2" borderId="76" xfId="0" applyFont="1" applyFill="1" applyBorder="1"/>
    <xf numFmtId="0" fontId="5" fillId="2" borderId="75" xfId="0" applyFont="1" applyFill="1" applyBorder="1" applyAlignment="1"/>
    <xf numFmtId="1" fontId="4" fillId="2" borderId="76" xfId="0" applyNumberFormat="1" applyFont="1" applyFill="1" applyBorder="1"/>
    <xf numFmtId="165" fontId="4" fillId="2" borderId="76" xfId="0" applyNumberFormat="1" applyFont="1" applyFill="1" applyBorder="1"/>
    <xf numFmtId="0" fontId="14" fillId="0" borderId="60" xfId="0" applyFont="1" applyBorder="1" applyAlignment="1"/>
    <xf numFmtId="3" fontId="14" fillId="0" borderId="61" xfId="0" applyNumberFormat="1" applyFont="1" applyBorder="1"/>
    <xf numFmtId="165" fontId="14" fillId="0" borderId="61" xfId="0" applyNumberFormat="1" applyFont="1" applyBorder="1" applyAlignment="1"/>
    <xf numFmtId="0" fontId="4" fillId="0" borderId="61" xfId="0" applyFont="1" applyBorder="1" applyAlignment="1"/>
    <xf numFmtId="165" fontId="4" fillId="0" borderId="61" xfId="0" applyNumberFormat="1" applyFont="1" applyBorder="1"/>
    <xf numFmtId="0" fontId="5" fillId="2" borderId="77" xfId="0" applyFont="1" applyFill="1" applyBorder="1" applyAlignment="1"/>
    <xf numFmtId="1" fontId="4" fillId="2" borderId="78" xfId="0" applyNumberFormat="1" applyFont="1" applyFill="1" applyBorder="1"/>
    <xf numFmtId="165" fontId="4" fillId="2" borderId="78" xfId="0" applyNumberFormat="1" applyFont="1" applyFill="1" applyBorder="1"/>
    <xf numFmtId="0" fontId="4" fillId="2" borderId="78" xfId="0" applyFont="1" applyFill="1" applyBorder="1"/>
    <xf numFmtId="165" fontId="4" fillId="2" borderId="51" xfId="0" applyNumberFormat="1" applyFont="1" applyFill="1" applyBorder="1"/>
    <xf numFmtId="165" fontId="4" fillId="0" borderId="54" xfId="0" applyNumberFormat="1" applyFont="1" applyBorder="1" applyAlignment="1"/>
    <xf numFmtId="0" fontId="4" fillId="23" borderId="78" xfId="0" applyFont="1" applyFill="1" applyBorder="1" applyAlignment="1"/>
    <xf numFmtId="165" fontId="4" fillId="23" borderId="78" xfId="0" applyNumberFormat="1" applyFont="1" applyFill="1" applyBorder="1"/>
    <xf numFmtId="0" fontId="5" fillId="4" borderId="112" xfId="0" applyFont="1" applyFill="1" applyBorder="1" applyAlignment="1">
      <alignment horizontal="center" vertical="center"/>
    </xf>
    <xf numFmtId="0" fontId="5" fillId="4" borderId="48" xfId="0" applyFont="1" applyFill="1" applyBorder="1" applyAlignment="1">
      <alignment horizontal="center" vertical="center"/>
    </xf>
    <xf numFmtId="0" fontId="5" fillId="4" borderId="82" xfId="0" applyFont="1" applyFill="1" applyBorder="1" applyAlignment="1">
      <alignment horizontal="center" vertical="center"/>
    </xf>
    <xf numFmtId="0" fontId="4" fillId="23" borderId="114" xfId="0" applyFont="1" applyFill="1" applyBorder="1" applyAlignment="1"/>
    <xf numFmtId="165" fontId="4" fillId="23" borderId="114" xfId="0" applyNumberFormat="1" applyFont="1" applyFill="1" applyBorder="1"/>
    <xf numFmtId="0" fontId="5" fillId="24" borderId="76" xfId="0" applyFont="1" applyFill="1" applyBorder="1" applyAlignment="1">
      <alignment horizontal="center"/>
    </xf>
    <xf numFmtId="165" fontId="4" fillId="23" borderId="116" xfId="0" applyNumberFormat="1" applyFont="1" applyFill="1" applyBorder="1" applyAlignment="1"/>
    <xf numFmtId="165" fontId="4" fillId="0" borderId="62" xfId="0" applyNumberFormat="1" applyFont="1" applyBorder="1" applyAlignment="1"/>
    <xf numFmtId="0" fontId="5" fillId="24" borderId="78" xfId="0" applyFont="1" applyFill="1" applyBorder="1" applyAlignment="1">
      <alignment horizontal="center"/>
    </xf>
    <xf numFmtId="165" fontId="4" fillId="23" borderId="79" xfId="0" applyNumberFormat="1" applyFont="1" applyFill="1" applyBorder="1" applyAlignment="1"/>
    <xf numFmtId="0" fontId="4" fillId="23" borderId="76" xfId="0" applyFont="1" applyFill="1" applyBorder="1" applyAlignment="1"/>
    <xf numFmtId="165" fontId="4" fillId="23" borderId="76" xfId="0" applyNumberFormat="1" applyFont="1" applyFill="1" applyBorder="1"/>
    <xf numFmtId="165" fontId="4" fillId="23" borderId="116" xfId="0" applyNumberFormat="1" applyFont="1" applyFill="1" applyBorder="1"/>
    <xf numFmtId="0" fontId="4" fillId="0" borderId="0" xfId="0" applyFont="1" applyBorder="1" applyAlignment="1">
      <alignment horizontal="center"/>
    </xf>
    <xf numFmtId="0" fontId="4" fillId="0" borderId="0" xfId="0" applyFont="1" applyFill="1" applyBorder="1" applyAlignment="1"/>
    <xf numFmtId="0" fontId="4" fillId="0" borderId="64" xfId="0" applyFont="1" applyBorder="1" applyAlignment="1"/>
    <xf numFmtId="165" fontId="4" fillId="0" borderId="106" xfId="0" applyNumberFormat="1" applyFont="1" applyBorder="1" applyAlignment="1"/>
    <xf numFmtId="0" fontId="5" fillId="4" borderId="76" xfId="0" applyFont="1" applyFill="1" applyBorder="1" applyAlignment="1">
      <alignment horizontal="center" vertical="center"/>
    </xf>
    <xf numFmtId="0" fontId="5" fillId="4" borderId="116" xfId="0" applyFont="1" applyFill="1" applyBorder="1" applyAlignment="1">
      <alignment horizontal="center" vertical="center"/>
    </xf>
    <xf numFmtId="0" fontId="5" fillId="4" borderId="117" xfId="0" applyFont="1" applyFill="1" applyBorder="1" applyAlignment="1">
      <alignment horizontal="center" vertical="center"/>
    </xf>
    <xf numFmtId="165" fontId="4" fillId="23" borderId="79" xfId="0" applyNumberFormat="1" applyFont="1" applyFill="1" applyBorder="1"/>
    <xf numFmtId="0" fontId="5" fillId="3" borderId="27" xfId="0" applyFont="1" applyFill="1" applyBorder="1" applyAlignment="1">
      <alignment vertical="top"/>
    </xf>
    <xf numFmtId="0" fontId="5" fillId="2" borderId="29" xfId="0" applyFont="1" applyFill="1" applyBorder="1" applyAlignment="1"/>
    <xf numFmtId="0" fontId="4" fillId="2" borderId="34" xfId="0" applyFont="1" applyFill="1" applyBorder="1"/>
    <xf numFmtId="0" fontId="4" fillId="2" borderId="27" xfId="0" applyFont="1" applyFill="1" applyBorder="1"/>
    <xf numFmtId="0" fontId="5" fillId="0" borderId="17" xfId="0" applyFont="1" applyBorder="1" applyAlignment="1"/>
    <xf numFmtId="0" fontId="5" fillId="19" borderId="39" xfId="0" applyFont="1" applyFill="1" applyBorder="1" applyAlignment="1">
      <alignment vertical="center"/>
    </xf>
    <xf numFmtId="0" fontId="0" fillId="0" borderId="0" xfId="0" applyFont="1" applyAlignment="1"/>
    <xf numFmtId="165" fontId="0" fillId="0" borderId="0" xfId="0" applyNumberFormat="1" applyFont="1" applyAlignment="1"/>
    <xf numFmtId="166" fontId="5" fillId="2" borderId="99" xfId="0" applyNumberFormat="1" applyFont="1" applyFill="1" applyBorder="1"/>
    <xf numFmtId="166" fontId="5" fillId="2" borderId="100" xfId="0" applyNumberFormat="1" applyFont="1" applyFill="1" applyBorder="1"/>
    <xf numFmtId="166" fontId="5" fillId="2" borderId="101" xfId="0" applyNumberFormat="1" applyFont="1" applyFill="1" applyBorder="1"/>
    <xf numFmtId="167" fontId="4" fillId="0" borderId="18" xfId="0" applyNumberFormat="1" applyFont="1" applyBorder="1" applyAlignment="1"/>
    <xf numFmtId="166" fontId="4" fillId="0" borderId="18" xfId="0" applyNumberFormat="1" applyFont="1" applyBorder="1"/>
    <xf numFmtId="167" fontId="4" fillId="0" borderId="55" xfId="0" applyNumberFormat="1" applyFont="1" applyBorder="1" applyAlignment="1"/>
    <xf numFmtId="166" fontId="4" fillId="0" borderId="56" xfId="0" applyNumberFormat="1" applyFont="1" applyBorder="1"/>
    <xf numFmtId="166" fontId="4" fillId="0" borderId="55" xfId="0" applyNumberFormat="1" applyFont="1" applyBorder="1"/>
    <xf numFmtId="0" fontId="0" fillId="0" borderId="0" xfId="0" applyFont="1" applyAlignment="1"/>
    <xf numFmtId="0" fontId="0" fillId="0" borderId="0" xfId="0" applyFont="1" applyBorder="1" applyAlignment="1">
      <alignment horizontal="left" vertical="center"/>
    </xf>
    <xf numFmtId="0" fontId="2" fillId="0" borderId="0" xfId="0" applyFont="1" applyBorder="1" applyAlignment="1">
      <alignment horizontal="center" vertical="center"/>
    </xf>
    <xf numFmtId="0" fontId="0" fillId="0" borderId="17" xfId="0" applyFont="1" applyBorder="1" applyAlignment="1"/>
    <xf numFmtId="0" fontId="0" fillId="0" borderId="0" xfId="0" applyFont="1" applyAlignment="1"/>
    <xf numFmtId="165" fontId="4" fillId="0" borderId="3" xfId="0" applyNumberFormat="1" applyFont="1" applyBorder="1" applyAlignment="1"/>
    <xf numFmtId="166" fontId="3" fillId="7" borderId="3" xfId="0" applyNumberFormat="1" applyFont="1" applyFill="1" applyBorder="1" applyAlignment="1">
      <alignment horizontal="right"/>
    </xf>
    <xf numFmtId="0" fontId="5" fillId="4" borderId="71" xfId="0" applyFont="1" applyFill="1" applyBorder="1" applyAlignment="1"/>
    <xf numFmtId="166" fontId="3" fillId="7" borderId="31" xfId="0" applyNumberFormat="1" applyFont="1" applyFill="1" applyBorder="1" applyAlignment="1">
      <alignment horizontal="right"/>
    </xf>
    <xf numFmtId="0" fontId="0" fillId="0" borderId="0" xfId="0" applyFont="1" applyAlignment="1"/>
    <xf numFmtId="165" fontId="4" fillId="0" borderId="3" xfId="0" applyNumberFormat="1" applyFont="1" applyBorder="1" applyAlignment="1"/>
    <xf numFmtId="166" fontId="4" fillId="0" borderId="3" xfId="0" applyNumberFormat="1" applyFont="1" applyBorder="1"/>
    <xf numFmtId="166" fontId="4" fillId="8" borderId="3" xfId="0" applyNumberFormat="1" applyFont="1" applyFill="1" applyBorder="1"/>
    <xf numFmtId="165" fontId="4" fillId="0" borderId="31" xfId="0" applyNumberFormat="1" applyFont="1" applyBorder="1"/>
    <xf numFmtId="166" fontId="4" fillId="0" borderId="31" xfId="0" applyNumberFormat="1" applyFont="1" applyBorder="1"/>
    <xf numFmtId="0" fontId="5" fillId="4" borderId="73" xfId="0" applyFont="1" applyFill="1" applyBorder="1" applyAlignment="1"/>
    <xf numFmtId="0" fontId="5" fillId="6" borderId="30" xfId="0" applyFont="1" applyFill="1" applyBorder="1" applyAlignment="1"/>
    <xf numFmtId="0" fontId="5" fillId="6" borderId="30" xfId="0" applyFont="1" applyFill="1" applyBorder="1" applyAlignment="1"/>
    <xf numFmtId="165" fontId="4" fillId="0" borderId="3" xfId="0" applyNumberFormat="1" applyFont="1" applyBorder="1" applyAlignment="1"/>
    <xf numFmtId="166" fontId="4" fillId="0" borderId="3" xfId="0" applyNumberFormat="1" applyFont="1" applyBorder="1"/>
    <xf numFmtId="166" fontId="4" fillId="8" borderId="3" xfId="0" applyNumberFormat="1" applyFont="1" applyFill="1" applyBorder="1"/>
    <xf numFmtId="0" fontId="5" fillId="6" borderId="30" xfId="0" applyFont="1" applyFill="1" applyBorder="1" applyAlignment="1"/>
    <xf numFmtId="0" fontId="0" fillId="0" borderId="0" xfId="0" applyFont="1" applyAlignment="1"/>
    <xf numFmtId="165" fontId="5" fillId="2" borderId="74" xfId="0" applyNumberFormat="1" applyFont="1" applyFill="1" applyBorder="1"/>
    <xf numFmtId="0" fontId="4" fillId="0" borderId="55" xfId="0" applyFont="1" applyBorder="1" applyAlignment="1"/>
    <xf numFmtId="0" fontId="4" fillId="0" borderId="57" xfId="0" applyFont="1" applyBorder="1" applyAlignment="1"/>
    <xf numFmtId="165" fontId="4" fillId="0" borderId="58" xfId="0" applyNumberFormat="1" applyFont="1" applyBorder="1" applyAlignment="1"/>
    <xf numFmtId="0" fontId="5" fillId="2" borderId="118" xfId="0" applyFont="1" applyFill="1" applyBorder="1" applyAlignment="1"/>
    <xf numFmtId="0" fontId="4" fillId="2" borderId="48" xfId="0" applyFont="1" applyFill="1" applyBorder="1"/>
    <xf numFmtId="0" fontId="14" fillId="13" borderId="55" xfId="0" applyFont="1" applyFill="1" applyBorder="1" applyAlignment="1"/>
    <xf numFmtId="0" fontId="4" fillId="0" borderId="56" xfId="0" applyFont="1" applyBorder="1" applyAlignment="1"/>
    <xf numFmtId="0" fontId="4" fillId="12" borderId="55" xfId="0" applyFont="1" applyFill="1" applyBorder="1" applyAlignment="1"/>
    <xf numFmtId="0" fontId="4" fillId="12" borderId="57" xfId="0" applyFont="1" applyFill="1" applyBorder="1" applyAlignment="1"/>
    <xf numFmtId="0" fontId="4" fillId="0" borderId="59" xfId="0" applyFont="1" applyBorder="1" applyAlignment="1"/>
    <xf numFmtId="0" fontId="4" fillId="0" borderId="18" xfId="0" applyFont="1" applyBorder="1" applyAlignment="1">
      <alignment horizontal="center" vertical="center"/>
    </xf>
    <xf numFmtId="0" fontId="4" fillId="0" borderId="27" xfId="0" applyFont="1" applyBorder="1"/>
    <xf numFmtId="0" fontId="4" fillId="0" borderId="30" xfId="0" applyFont="1" applyBorder="1"/>
    <xf numFmtId="0" fontId="5" fillId="3" borderId="30" xfId="0" applyFont="1" applyFill="1" applyBorder="1"/>
    <xf numFmtId="165" fontId="4" fillId="0" borderId="30" xfId="0" applyNumberFormat="1" applyFont="1" applyBorder="1"/>
    <xf numFmtId="165" fontId="4" fillId="0" borderId="55" xfId="0" applyNumberFormat="1" applyFont="1" applyFill="1" applyBorder="1"/>
    <xf numFmtId="0" fontId="0" fillId="0" borderId="0" xfId="0" applyFont="1" applyAlignment="1"/>
    <xf numFmtId="165" fontId="4" fillId="0" borderId="105" xfId="0" applyNumberFormat="1" applyFont="1" applyFill="1" applyBorder="1" applyAlignment="1"/>
    <xf numFmtId="165" fontId="4" fillId="0" borderId="105" xfId="0" applyNumberFormat="1" applyFont="1" applyFill="1" applyBorder="1"/>
    <xf numFmtId="165" fontId="4" fillId="0" borderId="105" xfId="0" applyNumberFormat="1" applyFont="1" applyBorder="1"/>
    <xf numFmtId="165" fontId="4" fillId="0" borderId="105" xfId="0" applyNumberFormat="1" applyFont="1" applyBorder="1" applyAlignment="1"/>
    <xf numFmtId="165" fontId="5" fillId="3" borderId="110" xfId="0" applyNumberFormat="1" applyFont="1" applyFill="1" applyBorder="1"/>
    <xf numFmtId="0" fontId="5" fillId="2" borderId="52" xfId="0" applyFont="1" applyFill="1" applyBorder="1" applyAlignment="1">
      <alignment horizontal="center"/>
    </xf>
    <xf numFmtId="0" fontId="5" fillId="2" borderId="53" xfId="0" applyFont="1" applyFill="1" applyBorder="1" applyAlignment="1">
      <alignment horizontal="center"/>
    </xf>
    <xf numFmtId="0" fontId="4" fillId="4" borderId="39" xfId="0" applyFont="1" applyFill="1" applyBorder="1" applyAlignment="1"/>
    <xf numFmtId="0" fontId="4" fillId="0" borderId="67" xfId="0" applyFont="1" applyBorder="1"/>
    <xf numFmtId="0" fontId="4" fillId="0" borderId="2" xfId="0" applyFont="1" applyBorder="1"/>
    <xf numFmtId="0" fontId="5" fillId="3" borderId="2" xfId="0" applyFont="1" applyFill="1" applyBorder="1"/>
    <xf numFmtId="165" fontId="5" fillId="3" borderId="98" xfId="0" applyNumberFormat="1" applyFont="1" applyFill="1" applyBorder="1"/>
    <xf numFmtId="165" fontId="4" fillId="0" borderId="1" xfId="0" applyNumberFormat="1" applyFont="1" applyBorder="1"/>
    <xf numFmtId="165" fontId="4" fillId="0" borderId="72" xfId="0" applyNumberFormat="1" applyFont="1" applyBorder="1"/>
    <xf numFmtId="165" fontId="4" fillId="11" borderId="84" xfId="0" applyNumberFormat="1" applyFont="1" applyFill="1" applyBorder="1"/>
    <xf numFmtId="165" fontId="5" fillId="3" borderId="6" xfId="0" applyNumberFormat="1" applyFont="1" applyFill="1" applyBorder="1"/>
    <xf numFmtId="165" fontId="4" fillId="11" borderId="18" xfId="0" applyNumberFormat="1" applyFont="1" applyFill="1" applyBorder="1"/>
    <xf numFmtId="0" fontId="15" fillId="0" borderId="1" xfId="1" applyFont="1" applyBorder="1" applyAlignment="1"/>
    <xf numFmtId="0" fontId="15" fillId="0" borderId="2" xfId="1" applyFont="1" applyBorder="1"/>
    <xf numFmtId="0" fontId="14" fillId="0" borderId="0" xfId="0" applyFont="1" applyBorder="1" applyAlignment="1">
      <alignment horizontal="left" vertical="center"/>
    </xf>
    <xf numFmtId="0" fontId="0" fillId="0" borderId="0" xfId="0" applyFont="1" applyBorder="1" applyAlignment="1">
      <alignment horizontal="left" vertical="center"/>
    </xf>
    <xf numFmtId="0" fontId="2" fillId="0" borderId="47" xfId="0" applyFont="1" applyBorder="1" applyAlignment="1">
      <alignment horizontal="center" vertical="center"/>
    </xf>
    <xf numFmtId="0" fontId="16" fillId="0" borderId="1" xfId="0" applyFont="1" applyBorder="1" applyAlignment="1"/>
    <xf numFmtId="0" fontId="17" fillId="0" borderId="2" xfId="0" applyFont="1" applyBorder="1"/>
    <xf numFmtId="0" fontId="5" fillId="4" borderId="85" xfId="0" applyFont="1" applyFill="1" applyBorder="1" applyAlignment="1">
      <alignment horizontal="center"/>
    </xf>
    <xf numFmtId="0" fontId="13" fillId="4" borderId="87" xfId="0" applyFont="1" applyFill="1" applyBorder="1" applyAlignment="1">
      <alignment horizontal="center"/>
    </xf>
    <xf numFmtId="0" fontId="13" fillId="4" borderId="88" xfId="0" applyFont="1" applyFill="1" applyBorder="1" applyAlignment="1">
      <alignment horizontal="center"/>
    </xf>
    <xf numFmtId="165" fontId="14" fillId="0" borderId="96" xfId="0" applyNumberFormat="1" applyFont="1" applyBorder="1" applyAlignment="1">
      <alignment horizontal="right"/>
    </xf>
    <xf numFmtId="165" fontId="14" fillId="0" borderId="16" xfId="0" applyNumberFormat="1" applyFont="1" applyBorder="1" applyAlignment="1">
      <alignment horizontal="right"/>
    </xf>
    <xf numFmtId="165" fontId="14" fillId="0" borderId="97" xfId="0" applyNumberFormat="1" applyFont="1" applyBorder="1" applyAlignment="1">
      <alignment horizontal="right"/>
    </xf>
    <xf numFmtId="0" fontId="13" fillId="4" borderId="108" xfId="0" applyFont="1" applyFill="1" applyBorder="1" applyAlignment="1">
      <alignment horizontal="left"/>
    </xf>
    <xf numFmtId="0" fontId="13" fillId="4" borderId="87" xfId="0" applyFont="1" applyFill="1" applyBorder="1" applyAlignment="1">
      <alignment horizontal="left"/>
    </xf>
    <xf numFmtId="0" fontId="13" fillId="4" borderId="86" xfId="0" applyFont="1" applyFill="1" applyBorder="1" applyAlignment="1">
      <alignment horizontal="left"/>
    </xf>
    <xf numFmtId="0" fontId="14" fillId="0" borderId="107" xfId="0" applyFont="1" applyBorder="1" applyAlignment="1">
      <alignment horizontal="left"/>
    </xf>
    <xf numFmtId="0" fontId="14" fillId="0" borderId="16" xfId="0" applyFont="1" applyBorder="1" applyAlignment="1">
      <alignment horizontal="left"/>
    </xf>
    <xf numFmtId="0" fontId="14" fillId="0" borderId="83" xfId="0" applyFont="1" applyBorder="1" applyAlignment="1">
      <alignment horizontal="left"/>
    </xf>
    <xf numFmtId="3" fontId="14" fillId="0" borderId="0" xfId="0" applyNumberFormat="1" applyFont="1" applyBorder="1" applyAlignment="1">
      <alignment horizontal="left"/>
    </xf>
    <xf numFmtId="0" fontId="13" fillId="0" borderId="55" xfId="0" applyFont="1" applyBorder="1" applyAlignment="1"/>
    <xf numFmtId="0" fontId="14" fillId="0" borderId="18" xfId="0" applyFont="1" applyBorder="1"/>
    <xf numFmtId="0" fontId="13" fillId="0" borderId="60" xfId="0" applyFont="1" applyBorder="1" applyAlignment="1"/>
    <xf numFmtId="0" fontId="14" fillId="0" borderId="61" xfId="0" applyFont="1" applyBorder="1"/>
    <xf numFmtId="165" fontId="14" fillId="0" borderId="18" xfId="0" applyNumberFormat="1" applyFont="1" applyBorder="1" applyAlignment="1">
      <alignment horizontal="center"/>
    </xf>
    <xf numFmtId="165" fontId="14" fillId="0" borderId="56" xfId="0" applyNumberFormat="1" applyFont="1" applyBorder="1" applyAlignment="1">
      <alignment horizontal="center"/>
    </xf>
    <xf numFmtId="165" fontId="14" fillId="0" borderId="61" xfId="0" applyNumberFormat="1" applyFont="1" applyBorder="1" applyAlignment="1">
      <alignment horizontal="center"/>
    </xf>
    <xf numFmtId="165" fontId="14" fillId="0" borderId="62" xfId="0" applyNumberFormat="1" applyFont="1" applyBorder="1" applyAlignment="1">
      <alignment horizontal="center"/>
    </xf>
    <xf numFmtId="0" fontId="13" fillId="4" borderId="52" xfId="0" applyFont="1" applyFill="1" applyBorder="1" applyAlignment="1">
      <alignment horizontal="center" vertical="center"/>
    </xf>
    <xf numFmtId="0" fontId="13" fillId="4" borderId="53" xfId="0" applyFont="1" applyFill="1" applyBorder="1" applyAlignment="1">
      <alignment horizontal="center" vertical="center"/>
    </xf>
    <xf numFmtId="0" fontId="13" fillId="4" borderId="54" xfId="0" applyFont="1" applyFill="1" applyBorder="1" applyAlignment="1">
      <alignment horizontal="center" vertical="center"/>
    </xf>
    <xf numFmtId="0" fontId="13" fillId="4" borderId="57" xfId="0" applyFont="1" applyFill="1" applyBorder="1" applyAlignment="1">
      <alignment horizontal="center" vertical="center"/>
    </xf>
    <xf numFmtId="0" fontId="13" fillId="4" borderId="58" xfId="0" applyFont="1" applyFill="1" applyBorder="1" applyAlignment="1">
      <alignment horizontal="center" vertical="center"/>
    </xf>
    <xf numFmtId="0" fontId="13" fillId="4" borderId="59" xfId="0" applyFont="1" applyFill="1" applyBorder="1" applyAlignment="1">
      <alignment horizontal="center" vertical="center"/>
    </xf>
    <xf numFmtId="0" fontId="5" fillId="4" borderId="53" xfId="0" applyFont="1" applyFill="1" applyBorder="1" applyAlignment="1">
      <alignment horizontal="center" vertical="center"/>
    </xf>
    <xf numFmtId="165" fontId="14" fillId="0" borderId="64" xfId="0" applyNumberFormat="1" applyFont="1" applyBorder="1" applyAlignment="1">
      <alignment horizontal="center"/>
    </xf>
    <xf numFmtId="165" fontId="14" fillId="0" borderId="106" xfId="0" applyNumberFormat="1" applyFont="1" applyBorder="1" applyAlignment="1">
      <alignment horizontal="center"/>
    </xf>
    <xf numFmtId="0" fontId="13" fillId="0" borderId="63" xfId="0" applyFont="1" applyBorder="1" applyAlignment="1"/>
    <xf numFmtId="0" fontId="14" fillId="0" borderId="64" xfId="0" applyFont="1" applyBorder="1"/>
    <xf numFmtId="0" fontId="2" fillId="0" borderId="0" xfId="0" applyFont="1" applyBorder="1" applyAlignment="1">
      <alignment horizontal="center" vertical="center"/>
    </xf>
    <xf numFmtId="0" fontId="14" fillId="0" borderId="55"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14" fillId="0" borderId="56" xfId="0" applyFont="1" applyFill="1" applyBorder="1" applyAlignment="1">
      <alignment horizontal="center" vertical="center" wrapText="1"/>
    </xf>
    <xf numFmtId="0" fontId="16" fillId="4" borderId="52" xfId="0" applyFont="1" applyFill="1" applyBorder="1" applyAlignment="1">
      <alignment horizontal="center" vertical="center"/>
    </xf>
    <xf numFmtId="0" fontId="16" fillId="4" borderId="53" xfId="0" applyFont="1" applyFill="1" applyBorder="1" applyAlignment="1">
      <alignment horizontal="center" vertical="center"/>
    </xf>
    <xf numFmtId="0" fontId="16" fillId="4" borderId="54" xfId="0" applyFont="1" applyFill="1" applyBorder="1" applyAlignment="1">
      <alignment horizontal="center" vertical="center"/>
    </xf>
    <xf numFmtId="0" fontId="16" fillId="4" borderId="55" xfId="0" applyFont="1" applyFill="1" applyBorder="1" applyAlignment="1">
      <alignment horizontal="center" vertical="center"/>
    </xf>
    <xf numFmtId="0" fontId="16" fillId="4" borderId="18" xfId="0" applyFont="1" applyFill="1" applyBorder="1" applyAlignment="1">
      <alignment horizontal="center" vertical="center"/>
    </xf>
    <xf numFmtId="0" fontId="16" fillId="4" borderId="56" xfId="0" applyFont="1" applyFill="1" applyBorder="1" applyAlignment="1">
      <alignment horizontal="center" vertical="center"/>
    </xf>
    <xf numFmtId="0" fontId="4" fillId="0" borderId="55" xfId="0" applyFont="1" applyFill="1" applyBorder="1" applyAlignment="1">
      <alignment horizontal="center" vertical="center" wrapText="1"/>
    </xf>
    <xf numFmtId="0" fontId="16" fillId="4" borderId="57" xfId="0" applyFont="1" applyFill="1" applyBorder="1" applyAlignment="1">
      <alignment horizontal="center" vertical="center"/>
    </xf>
    <xf numFmtId="0" fontId="16" fillId="4" borderId="58" xfId="0" applyFont="1" applyFill="1" applyBorder="1" applyAlignment="1">
      <alignment horizontal="center" vertical="center"/>
    </xf>
    <xf numFmtId="0" fontId="16" fillId="4" borderId="59" xfId="0" applyFont="1" applyFill="1" applyBorder="1" applyAlignment="1">
      <alignment horizontal="center" vertical="center"/>
    </xf>
    <xf numFmtId="0" fontId="5" fillId="4" borderId="64" xfId="0" applyFont="1" applyFill="1" applyBorder="1" applyAlignment="1">
      <alignment horizontal="center" vertical="center"/>
    </xf>
    <xf numFmtId="0" fontId="13" fillId="4" borderId="64" xfId="0" applyFont="1" applyFill="1" applyBorder="1" applyAlignment="1">
      <alignment horizontal="center" vertical="center"/>
    </xf>
    <xf numFmtId="0" fontId="13" fillId="4" borderId="106" xfId="0" applyFont="1" applyFill="1" applyBorder="1" applyAlignment="1">
      <alignment horizontal="center" vertical="center"/>
    </xf>
    <xf numFmtId="165" fontId="5" fillId="0" borderId="61" xfId="0" applyNumberFormat="1" applyFont="1" applyBorder="1" applyAlignment="1">
      <alignment horizontal="center"/>
    </xf>
    <xf numFmtId="165" fontId="5" fillId="0" borderId="62" xfId="0" applyNumberFormat="1" applyFont="1" applyBorder="1" applyAlignment="1">
      <alignment horizontal="center"/>
    </xf>
    <xf numFmtId="0" fontId="14" fillId="4" borderId="63" xfId="0" applyFont="1" applyFill="1" applyBorder="1" applyAlignment="1">
      <alignment horizontal="center"/>
    </xf>
    <xf numFmtId="0" fontId="14" fillId="4" borderId="64" xfId="0" applyFont="1" applyFill="1" applyBorder="1" applyAlignment="1">
      <alignment horizontal="center"/>
    </xf>
    <xf numFmtId="0" fontId="5" fillId="0" borderId="60" xfId="0" applyFont="1" applyBorder="1" applyAlignment="1">
      <alignment horizontal="left"/>
    </xf>
    <xf numFmtId="0" fontId="5" fillId="0" borderId="61" xfId="0" applyFont="1" applyBorder="1" applyAlignment="1">
      <alignment horizontal="left"/>
    </xf>
    <xf numFmtId="0" fontId="13" fillId="0" borderId="55" xfId="0" applyFont="1" applyBorder="1" applyAlignment="1">
      <alignment horizontal="left"/>
    </xf>
    <xf numFmtId="0" fontId="13" fillId="0" borderId="18" xfId="0" applyFont="1" applyBorder="1" applyAlignment="1">
      <alignment horizontal="left"/>
    </xf>
    <xf numFmtId="165" fontId="14" fillId="0" borderId="89" xfId="0" applyNumberFormat="1" applyFont="1" applyBorder="1" applyAlignment="1">
      <alignment horizontal="right"/>
    </xf>
    <xf numFmtId="165" fontId="14" fillId="0" borderId="92" xfId="0" applyNumberFormat="1" applyFont="1" applyBorder="1" applyAlignment="1">
      <alignment horizontal="right"/>
    </xf>
    <xf numFmtId="165" fontId="14" fillId="0" borderId="93" xfId="0" applyNumberFormat="1" applyFont="1" applyBorder="1" applyAlignment="1">
      <alignment horizontal="right"/>
    </xf>
    <xf numFmtId="165" fontId="14" fillId="0" borderId="90" xfId="0" applyNumberFormat="1" applyFont="1" applyBorder="1" applyAlignment="1">
      <alignment horizontal="right"/>
    </xf>
    <xf numFmtId="165" fontId="14" fillId="0" borderId="94" xfId="0" applyNumberFormat="1" applyFont="1" applyBorder="1" applyAlignment="1">
      <alignment horizontal="right"/>
    </xf>
    <xf numFmtId="165" fontId="14" fillId="0" borderId="95" xfId="0" applyNumberFormat="1" applyFont="1" applyBorder="1" applyAlignment="1">
      <alignment horizontal="right"/>
    </xf>
    <xf numFmtId="0" fontId="14" fillId="0" borderId="104" xfId="0" applyFont="1" applyBorder="1" applyAlignment="1">
      <alignment horizontal="left"/>
    </xf>
    <xf numFmtId="0" fontId="14" fillId="0" borderId="92" xfId="0" applyFont="1" applyBorder="1" applyAlignment="1">
      <alignment horizontal="left"/>
    </xf>
    <xf numFmtId="0" fontId="14" fillId="0" borderId="105" xfId="0" applyFont="1" applyBorder="1" applyAlignment="1">
      <alignment horizontal="left"/>
    </xf>
    <xf numFmtId="0" fontId="14" fillId="0" borderId="109" xfId="0" applyFont="1" applyBorder="1" applyAlignment="1">
      <alignment horizontal="left"/>
    </xf>
    <xf numFmtId="0" fontId="14" fillId="0" borderId="94" xfId="0" applyFont="1" applyBorder="1" applyAlignment="1">
      <alignment horizontal="left"/>
    </xf>
    <xf numFmtId="0" fontId="14" fillId="0" borderId="91" xfId="0" applyFont="1" applyBorder="1" applyAlignment="1">
      <alignment horizontal="left"/>
    </xf>
    <xf numFmtId="0" fontId="4" fillId="0" borderId="18" xfId="0" applyFont="1" applyBorder="1" applyAlignment="1">
      <alignment horizontal="center"/>
    </xf>
    <xf numFmtId="0" fontId="4" fillId="0" borderId="18" xfId="0" applyFont="1" applyBorder="1"/>
    <xf numFmtId="0" fontId="4" fillId="0" borderId="55" xfId="0" applyFont="1" applyBorder="1"/>
    <xf numFmtId="0" fontId="4" fillId="0" borderId="55" xfId="0" applyFont="1" applyBorder="1" applyAlignment="1">
      <alignment horizontal="center"/>
    </xf>
    <xf numFmtId="0" fontId="4" fillId="0" borderId="57" xfId="0" applyFont="1" applyBorder="1"/>
    <xf numFmtId="0" fontId="4" fillId="0" borderId="58" xfId="0" applyFont="1" applyBorder="1"/>
    <xf numFmtId="0" fontId="4" fillId="0" borderId="58" xfId="0" applyFont="1" applyBorder="1" applyAlignment="1">
      <alignment horizontal="center"/>
    </xf>
    <xf numFmtId="0" fontId="21" fillId="2" borderId="69" xfId="0" applyFont="1" applyFill="1" applyBorder="1" applyAlignment="1">
      <alignment horizontal="center"/>
    </xf>
    <xf numFmtId="0" fontId="4" fillId="0" borderId="68" xfId="0" applyFont="1" applyBorder="1"/>
    <xf numFmtId="0" fontId="5" fillId="2" borderId="69" xfId="0" applyFont="1" applyFill="1" applyBorder="1" applyAlignment="1">
      <alignment horizontal="center"/>
    </xf>
    <xf numFmtId="0" fontId="5" fillId="16" borderId="20" xfId="0" applyFont="1" applyFill="1" applyBorder="1" applyAlignment="1">
      <alignment horizontal="center"/>
    </xf>
    <xf numFmtId="0" fontId="4" fillId="16" borderId="65" xfId="0" applyFont="1" applyFill="1" applyBorder="1" applyAlignment="1">
      <alignment horizontal="center"/>
    </xf>
    <xf numFmtId="0" fontId="4" fillId="16" borderId="66" xfId="0" applyFont="1" applyFill="1" applyBorder="1" applyAlignment="1">
      <alignment horizontal="center"/>
    </xf>
    <xf numFmtId="0" fontId="5" fillId="2" borderId="46" xfId="0" applyFont="1" applyFill="1" applyBorder="1" applyAlignment="1">
      <alignment horizontal="center"/>
    </xf>
    <xf numFmtId="0" fontId="4" fillId="0" borderId="48" xfId="0" applyFont="1" applyBorder="1"/>
    <xf numFmtId="0" fontId="5" fillId="14" borderId="46" xfId="0" applyFont="1" applyFill="1" applyBorder="1" applyAlignment="1">
      <alignment horizontal="center"/>
    </xf>
    <xf numFmtId="0" fontId="4" fillId="15" borderId="48" xfId="0" applyFont="1" applyFill="1" applyBorder="1"/>
    <xf numFmtId="0" fontId="4" fillId="0" borderId="37"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9"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51" xfId="0" applyFont="1" applyBorder="1" applyAlignment="1">
      <alignment horizontal="center" vertical="center" wrapText="1"/>
    </xf>
    <xf numFmtId="0" fontId="5" fillId="3" borderId="20" xfId="0" applyFont="1" applyFill="1" applyBorder="1" applyAlignment="1">
      <alignment horizontal="center" vertical="top" wrapText="1"/>
    </xf>
    <xf numFmtId="0" fontId="5" fillId="3" borderId="65" xfId="0" applyFont="1" applyFill="1" applyBorder="1" applyAlignment="1">
      <alignment horizontal="center" vertical="top" wrapText="1"/>
    </xf>
    <xf numFmtId="0" fontId="5" fillId="3" borderId="66" xfId="0" applyFont="1" applyFill="1" applyBorder="1" applyAlignment="1">
      <alignment horizontal="center" vertical="top" wrapText="1"/>
    </xf>
    <xf numFmtId="0" fontId="5" fillId="2" borderId="50" xfId="0" applyFont="1" applyFill="1" applyBorder="1" applyAlignment="1">
      <alignment horizontal="left"/>
    </xf>
    <xf numFmtId="0" fontId="5" fillId="2" borderId="17" xfId="0" applyFont="1" applyFill="1" applyBorder="1" applyAlignment="1">
      <alignment horizontal="left"/>
    </xf>
    <xf numFmtId="0" fontId="5" fillId="2" borderId="113" xfId="0" applyFont="1" applyFill="1" applyBorder="1" applyAlignment="1">
      <alignment horizontal="left"/>
    </xf>
    <xf numFmtId="0" fontId="5" fillId="2" borderId="114" xfId="0" applyFont="1" applyFill="1" applyBorder="1" applyAlignment="1">
      <alignment horizontal="left"/>
    </xf>
    <xf numFmtId="0" fontId="5" fillId="4" borderId="20" xfId="0" applyFont="1" applyFill="1" applyBorder="1" applyAlignment="1">
      <alignment horizontal="center"/>
    </xf>
    <xf numFmtId="0" fontId="5" fillId="4" borderId="66" xfId="0" applyFont="1" applyFill="1" applyBorder="1" applyAlignment="1">
      <alignment horizontal="center"/>
    </xf>
    <xf numFmtId="0" fontId="21" fillId="2" borderId="46" xfId="0" applyFont="1" applyFill="1" applyBorder="1" applyAlignment="1">
      <alignment horizontal="center"/>
    </xf>
    <xf numFmtId="0" fontId="5" fillId="4" borderId="46" xfId="0" applyFont="1" applyFill="1" applyBorder="1" applyAlignment="1">
      <alignment horizontal="center"/>
    </xf>
    <xf numFmtId="0" fontId="5" fillId="4" borderId="48" xfId="0" applyFont="1" applyFill="1" applyBorder="1" applyAlignment="1">
      <alignment horizontal="center"/>
    </xf>
    <xf numFmtId="0" fontId="14" fillId="16" borderId="20" xfId="0" applyFont="1" applyFill="1" applyBorder="1" applyAlignment="1">
      <alignment horizontal="center"/>
    </xf>
    <xf numFmtId="0" fontId="14" fillId="16" borderId="65" xfId="0" applyFont="1" applyFill="1" applyBorder="1" applyAlignment="1">
      <alignment horizontal="center"/>
    </xf>
    <xf numFmtId="0" fontId="14" fillId="16" borderId="66" xfId="0" applyFont="1" applyFill="1" applyBorder="1" applyAlignment="1">
      <alignment horizontal="center"/>
    </xf>
    <xf numFmtId="0" fontId="5" fillId="4" borderId="46" xfId="0" applyFont="1" applyFill="1" applyBorder="1" applyAlignment="1">
      <alignment horizontal="left"/>
    </xf>
    <xf numFmtId="0" fontId="5" fillId="4" borderId="47" xfId="0" applyFont="1" applyFill="1" applyBorder="1" applyAlignment="1">
      <alignment horizontal="left"/>
    </xf>
    <xf numFmtId="0" fontId="5" fillId="4" borderId="48" xfId="0" applyFont="1" applyFill="1" applyBorder="1" applyAlignment="1">
      <alignment horizontal="left"/>
    </xf>
    <xf numFmtId="0" fontId="5" fillId="2" borderId="77" xfId="0" applyFont="1" applyFill="1" applyBorder="1" applyAlignment="1">
      <alignment horizontal="left"/>
    </xf>
    <xf numFmtId="0" fontId="5" fillId="2" borderId="78" xfId="0" applyFont="1" applyFill="1" applyBorder="1" applyAlignment="1">
      <alignment horizontal="left"/>
    </xf>
    <xf numFmtId="0" fontId="5" fillId="2" borderId="75" xfId="0" applyFont="1" applyFill="1" applyBorder="1" applyAlignment="1">
      <alignment horizontal="left"/>
    </xf>
    <xf numFmtId="0" fontId="5" fillId="2" borderId="76" xfId="0" applyFont="1" applyFill="1" applyBorder="1" applyAlignment="1">
      <alignment horizontal="left"/>
    </xf>
    <xf numFmtId="0" fontId="5" fillId="0" borderId="17" xfId="0" applyFont="1" applyBorder="1" applyAlignment="1">
      <alignment horizontal="left"/>
    </xf>
    <xf numFmtId="0" fontId="13" fillId="18" borderId="20" xfId="0" applyFont="1" applyFill="1" applyBorder="1" applyAlignment="1">
      <alignment horizontal="center"/>
    </xf>
    <xf numFmtId="0" fontId="13" fillId="18" borderId="66" xfId="0" applyFont="1" applyFill="1" applyBorder="1" applyAlignment="1">
      <alignment horizontal="center"/>
    </xf>
    <xf numFmtId="0" fontId="13" fillId="2" borderId="46" xfId="0" applyFont="1" applyFill="1" applyBorder="1" applyAlignment="1">
      <alignment horizontal="center" vertical="top"/>
    </xf>
    <xf numFmtId="0" fontId="14" fillId="0" borderId="47" xfId="0" applyFont="1" applyBorder="1"/>
    <xf numFmtId="0" fontId="13" fillId="2" borderId="69" xfId="0" applyFont="1" applyFill="1" applyBorder="1" applyAlignment="1">
      <alignment horizontal="center" vertical="top"/>
    </xf>
    <xf numFmtId="0" fontId="14" fillId="0" borderId="68" xfId="0" applyFont="1" applyBorder="1"/>
    <xf numFmtId="0" fontId="14" fillId="0" borderId="48" xfId="0" applyFont="1" applyBorder="1"/>
    <xf numFmtId="0" fontId="5" fillId="0" borderId="17" xfId="0" applyFont="1" applyBorder="1" applyAlignment="1"/>
    <xf numFmtId="0" fontId="0" fillId="0" borderId="17" xfId="0" applyFont="1" applyBorder="1" applyAlignment="1"/>
    <xf numFmtId="0" fontId="5" fillId="19" borderId="39" xfId="0" applyFont="1" applyFill="1" applyBorder="1" applyAlignment="1">
      <alignment vertical="center"/>
    </xf>
    <xf numFmtId="0" fontId="5" fillId="19" borderId="41" xfId="0" applyFont="1" applyFill="1" applyBorder="1" applyAlignment="1">
      <alignment vertical="center"/>
    </xf>
    <xf numFmtId="0" fontId="4" fillId="15" borderId="38" xfId="0" applyFont="1" applyFill="1" applyBorder="1" applyAlignment="1">
      <alignment vertical="center"/>
    </xf>
    <xf numFmtId="0" fontId="5" fillId="2" borderId="26" xfId="0" applyFont="1" applyFill="1" applyBorder="1" applyAlignment="1"/>
    <xf numFmtId="0" fontId="4" fillId="0" borderId="98" xfId="0" applyFont="1" applyBorder="1"/>
    <xf numFmtId="0" fontId="5" fillId="19" borderId="39"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8" xfId="0" applyFont="1" applyFill="1" applyBorder="1" applyAlignment="1">
      <alignment horizontal="center" vertical="center"/>
    </xf>
    <xf numFmtId="0" fontId="5" fillId="2" borderId="24" xfId="0" applyFont="1" applyFill="1" applyBorder="1" applyAlignment="1">
      <alignment horizontal="center"/>
    </xf>
    <xf numFmtId="0" fontId="4" fillId="0" borderId="35" xfId="0" applyFont="1" applyBorder="1"/>
    <xf numFmtId="0" fontId="4" fillId="0" borderId="36" xfId="0" applyFont="1" applyBorder="1"/>
    <xf numFmtId="0" fontId="4" fillId="15" borderId="102" xfId="0" applyFont="1" applyFill="1" applyBorder="1" applyAlignment="1">
      <alignment horizontal="center" vertical="center" wrapText="1"/>
    </xf>
    <xf numFmtId="0" fontId="4" fillId="15" borderId="5" xfId="0" applyFont="1" applyFill="1" applyBorder="1" applyAlignment="1">
      <alignment horizontal="center" vertical="center"/>
    </xf>
    <xf numFmtId="0" fontId="4" fillId="15" borderId="103" xfId="0" applyFont="1" applyFill="1" applyBorder="1" applyAlignment="1">
      <alignment horizontal="center" vertical="center"/>
    </xf>
    <xf numFmtId="0" fontId="4" fillId="15" borderId="37" xfId="0" applyFont="1" applyFill="1" applyBorder="1" applyAlignment="1">
      <alignment horizontal="center" vertical="center" wrapText="1"/>
    </xf>
    <xf numFmtId="0" fontId="4" fillId="15" borderId="0" xfId="0" applyFont="1" applyFill="1" applyBorder="1" applyAlignment="1">
      <alignment horizontal="center" vertical="center"/>
    </xf>
    <xf numFmtId="0" fontId="4" fillId="15" borderId="49" xfId="0" applyFont="1" applyFill="1" applyBorder="1" applyAlignment="1">
      <alignment horizontal="center" vertical="center"/>
    </xf>
    <xf numFmtId="0" fontId="4" fillId="15" borderId="37" xfId="0" applyFont="1" applyFill="1" applyBorder="1" applyAlignment="1">
      <alignment horizontal="center" vertical="center"/>
    </xf>
    <xf numFmtId="0" fontId="0" fillId="15" borderId="0" xfId="0" applyFont="1" applyFill="1" applyBorder="1" applyAlignment="1">
      <alignment horizontal="center" vertical="center"/>
    </xf>
    <xf numFmtId="0" fontId="4" fillId="15" borderId="50" xfId="0" applyFont="1" applyFill="1" applyBorder="1" applyAlignment="1">
      <alignment horizontal="center" vertical="center"/>
    </xf>
    <xf numFmtId="0" fontId="4" fillId="15" borderId="17" xfId="0" applyFont="1" applyFill="1" applyBorder="1" applyAlignment="1">
      <alignment horizontal="center" vertical="center"/>
    </xf>
    <xf numFmtId="0" fontId="4" fillId="15" borderId="51" xfId="0" applyFont="1" applyFill="1" applyBorder="1" applyAlignment="1">
      <alignment horizontal="center" vertical="center"/>
    </xf>
    <xf numFmtId="0" fontId="5" fillId="4" borderId="24" xfId="0" applyFont="1" applyFill="1" applyBorder="1" applyAlignment="1"/>
    <xf numFmtId="0" fontId="12" fillId="0" borderId="58" xfId="1" applyBorder="1" applyAlignment="1"/>
    <xf numFmtId="0" fontId="4" fillId="0" borderId="59" xfId="0" applyFont="1" applyBorder="1"/>
    <xf numFmtId="0" fontId="12" fillId="0" borderId="18" xfId="1" applyBorder="1" applyAlignment="1"/>
    <xf numFmtId="0" fontId="4" fillId="0" borderId="56" xfId="0" applyFont="1" applyBorder="1"/>
    <xf numFmtId="0" fontId="5" fillId="2" borderId="80" xfId="0" applyFont="1" applyFill="1" applyBorder="1" applyAlignment="1">
      <alignment horizontal="center"/>
    </xf>
    <xf numFmtId="0" fontId="4" fillId="0" borderId="45" xfId="0" applyFont="1" applyBorder="1"/>
    <xf numFmtId="0" fontId="5" fillId="2" borderId="20" xfId="0" applyFont="1" applyFill="1" applyBorder="1" applyAlignment="1">
      <alignment horizontal="center"/>
    </xf>
    <xf numFmtId="0" fontId="4" fillId="0" borderId="66" xfId="0" applyFont="1" applyBorder="1"/>
    <xf numFmtId="0" fontId="5" fillId="2" borderId="53" xfId="0" applyFont="1" applyFill="1" applyBorder="1" applyAlignment="1">
      <alignment horizontal="center"/>
    </xf>
    <xf numFmtId="0" fontId="4" fillId="0" borderId="53" xfId="0" applyFont="1" applyBorder="1"/>
    <xf numFmtId="0" fontId="4" fillId="0" borderId="54" xfId="0" applyFont="1" applyBorder="1"/>
    <xf numFmtId="0" fontId="14" fillId="0" borderId="102" xfId="0" applyFont="1" applyBorder="1" applyAlignment="1">
      <alignment vertical="top" wrapText="1"/>
    </xf>
    <xf numFmtId="0" fontId="4" fillId="0" borderId="5" xfId="0" applyFont="1" applyBorder="1"/>
    <xf numFmtId="0" fontId="4" fillId="0" borderId="103" xfId="0" applyFont="1" applyBorder="1"/>
    <xf numFmtId="0" fontId="4" fillId="0" borderId="50" xfId="0" applyFont="1" applyBorder="1"/>
    <xf numFmtId="0" fontId="4" fillId="0" borderId="17" xfId="0" applyFont="1" applyBorder="1"/>
    <xf numFmtId="0" fontId="4" fillId="0" borderId="51" xfId="0" applyFont="1" applyBorder="1"/>
    <xf numFmtId="0" fontId="14" fillId="0" borderId="8" xfId="0" applyFont="1" applyBorder="1" applyAlignment="1">
      <alignment vertical="top" wrapText="1"/>
    </xf>
    <xf numFmtId="0" fontId="4" fillId="0" borderId="9" xfId="0" applyFont="1" applyBorder="1"/>
    <xf numFmtId="0" fontId="4" fillId="0" borderId="10" xfId="0" applyFont="1" applyBorder="1"/>
    <xf numFmtId="0" fontId="4" fillId="0" borderId="11" xfId="0" applyFont="1" applyBorder="1"/>
    <xf numFmtId="0" fontId="0" fillId="0" borderId="0" xfId="0" applyFont="1" applyAlignment="1"/>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22" fillId="7" borderId="73" xfId="0" applyFont="1" applyFill="1" applyBorder="1" applyAlignment="1"/>
    <xf numFmtId="0" fontId="4" fillId="0" borderId="4" xfId="0" applyFont="1" applyBorder="1"/>
    <xf numFmtId="0" fontId="4" fillId="0" borderId="72" xfId="0" applyFont="1" applyBorder="1"/>
    <xf numFmtId="0" fontId="13" fillId="4" borderId="24" xfId="0" applyFont="1" applyFill="1" applyBorder="1" applyAlignment="1"/>
    <xf numFmtId="0" fontId="4" fillId="0" borderId="102" xfId="0" applyFont="1" applyBorder="1" applyAlignment="1">
      <alignment wrapText="1"/>
    </xf>
    <xf numFmtId="0" fontId="4" fillId="0" borderId="8" xfId="0" applyFont="1" applyBorder="1" applyAlignment="1">
      <alignment vertical="top" wrapText="1"/>
    </xf>
    <xf numFmtId="0" fontId="0" fillId="7" borderId="73" xfId="0" applyFont="1" applyFill="1" applyBorder="1" applyAlignment="1"/>
    <xf numFmtId="0" fontId="4" fillId="0" borderId="102" xfId="0" applyFont="1" applyBorder="1" applyAlignment="1">
      <alignment vertical="top" wrapText="1"/>
    </xf>
    <xf numFmtId="0" fontId="4" fillId="0" borderId="73" xfId="0" applyFont="1" applyBorder="1" applyAlignment="1"/>
  </cellXfs>
  <cellStyles count="16">
    <cellStyle name="Hipervínculo" xfId="1" builtinId="8"/>
    <cellStyle name="Hipervínculo 2" xfId="9" xr:uid="{A2E420B9-F990-48A8-91E7-4CD1F28FCCF4}"/>
    <cellStyle name="Hipervínculo 3" xfId="5" xr:uid="{D3EE2ED5-4BC8-4661-90ED-AEBEEA2F8AB3}"/>
    <cellStyle name="Millares 2" xfId="4" xr:uid="{92A316AB-4E1D-4D42-9EA9-F74887F49C82}"/>
    <cellStyle name="Moneda" xfId="2" builtinId="4"/>
    <cellStyle name="Moneda 2" xfId="12" xr:uid="{7DE203BC-8F3D-4D8B-BB8C-94FE2DB9DCF4}"/>
    <cellStyle name="Moneda 3" xfId="13" xr:uid="{208721D0-B816-42E2-B467-1EA1CA531BF9}"/>
    <cellStyle name="Moneda 4" xfId="14" xr:uid="{23ABA444-FDAF-4687-B5A3-D23CC3996A28}"/>
    <cellStyle name="Normal" xfId="0" builtinId="0"/>
    <cellStyle name="Normal 2" xfId="6" xr:uid="{1A45EF8F-EA0F-4C19-AB3D-AD3937F61550}"/>
    <cellStyle name="Normal 3" xfId="11" xr:uid="{66E30237-3BEB-46AA-A14C-207388C7DEBD}"/>
    <cellStyle name="Normal 3 2" xfId="10" xr:uid="{3B48DE36-B43C-4BB5-8C57-06B38078E603}"/>
    <cellStyle name="Normal 4" xfId="3" xr:uid="{8DE87412-DE78-484C-82E5-17061F285FB4}"/>
    <cellStyle name="Normal 5" xfId="7" xr:uid="{239D121C-895D-48D1-A8F2-96B30483F014}"/>
    <cellStyle name="Normal 7" xfId="8" xr:uid="{3750E97E-048C-4223-9C32-634F2CF0456D}"/>
    <cellStyle name="Porcentaje 2" xfId="15" xr:uid="{45D6BD13-B07C-47A2-8445-3745C4CFF1B8}"/>
  </cellStyles>
  <dxfs count="1">
    <dxf>
      <fill>
        <gradientFill type="path">
          <stop position="0">
            <color theme="0"/>
          </stop>
          <stop position="1">
            <color theme="4"/>
          </stop>
        </gradientFill>
      </fill>
    </dxf>
  </dxfs>
  <tableStyles count="1" defaultTableStyle="TableStyleMedium2" defaultPivotStyle="PivotStyleLight16">
    <tableStyle name="Estilo de tabla 1" pivot="0" count="1" xr9:uid="{2103AD95-8332-427A-80D0-34015D93BFD9}">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Modelo de Ingresos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5EE-44D3-8F92-D6822AC44B78}"/>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A5EE-44D3-8F92-D6822AC44B78}"/>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5EE-44D3-8F92-D6822AC44B78}"/>
              </c:ext>
            </c:extLst>
          </c:dPt>
          <c:dLbls>
            <c:dLbl>
              <c:idx val="0"/>
              <c:tx>
                <c:rich>
                  <a:bodyPr/>
                  <a:lstStyle/>
                  <a:p>
                    <a:r>
                      <a:rPr lang="en-US"/>
                      <a:t>Año</a:t>
                    </a:r>
                    <a:r>
                      <a:rPr lang="en-US" baseline="0"/>
                      <a:t> </a:t>
                    </a:r>
                    <a:fld id="{D8FFBC0A-38A1-4AD0-9DCB-CDA0595B0861}" type="CATEGORYNAME">
                      <a:rPr lang="en-US"/>
                      <a:pPr/>
                      <a:t>[NOMBRE DE CATEGORÍA]</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5EE-44D3-8F92-D6822AC44B78}"/>
                </c:ext>
              </c:extLst>
            </c:dLbl>
            <c:dLbl>
              <c:idx val="1"/>
              <c:tx>
                <c:rich>
                  <a:bodyPr/>
                  <a:lstStyle/>
                  <a:p>
                    <a:r>
                      <a:rPr lang="en-US" sz="2400" b="0" i="0" u="none" strike="noStrike" kern="1200" baseline="0">
                        <a:solidFill>
                          <a:sysClr val="window" lastClr="FFFFFF">
                            <a:lumMod val="85000"/>
                          </a:sysClr>
                        </a:solidFill>
                      </a:rPr>
                      <a:t>Año </a:t>
                    </a:r>
                    <a:fld id="{F1C4A9B8-52FC-4361-838B-691E9C4ADC02}" type="CATEGORYNAME">
                      <a:rPr lang="en-US"/>
                      <a:pPr/>
                      <a:t>[NOMBRE DE CATEGORÍA]</a:t>
                    </a:fld>
                    <a:endParaRPr lang="en-US" sz="2400" b="0" i="0" u="none" strike="noStrike" kern="1200" baseline="0">
                      <a:solidFill>
                        <a:sysClr val="window" lastClr="FFFFFF">
                          <a:lumMod val="85000"/>
                        </a:sysClr>
                      </a:solidFill>
                    </a:endParaRPr>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5EE-44D3-8F92-D6822AC44B78}"/>
                </c:ext>
              </c:extLst>
            </c:dLbl>
            <c:dLbl>
              <c:idx val="2"/>
              <c:tx>
                <c:rich>
                  <a:bodyPr/>
                  <a:lstStyle/>
                  <a:p>
                    <a:r>
                      <a:rPr lang="en-US" sz="2400" b="0" i="0" u="none" strike="noStrike" kern="1200" baseline="0">
                        <a:solidFill>
                          <a:sysClr val="window" lastClr="FFFFFF">
                            <a:lumMod val="85000"/>
                          </a:sysClr>
                        </a:solidFill>
                      </a:rPr>
                      <a:t>Año </a:t>
                    </a:r>
                    <a:fld id="{E4CDDF1C-7096-46AC-AD38-77AEADF2CEAB}" type="CATEGORYNAME">
                      <a:rPr lang="en-US"/>
                      <a:pPr/>
                      <a:t>[NOMBRE DE CATEGORÍA]</a:t>
                    </a:fld>
                    <a:endParaRPr lang="en-US" sz="2400" b="0" i="0" u="none" strike="noStrike" kern="1200" baseline="0">
                      <a:solidFill>
                        <a:sysClr val="window" lastClr="FFFFFF">
                          <a:lumMod val="85000"/>
                        </a:sysClr>
                      </a:solidFill>
                    </a:endParaRPr>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5EE-44D3-8F92-D6822AC44B78}"/>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mn-lt"/>
                    <a:ea typeface="+mn-ea"/>
                    <a:cs typeface="+mn-cs"/>
                  </a:defRPr>
                </a:pPr>
                <a:endParaRPr lang="es-AR"/>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'Modelo de ingresos'!$F$10:$H$10</c:f>
              <c:numCache>
                <c:formatCode>[$ $]#,##0</c:formatCode>
                <c:ptCount val="3"/>
                <c:pt idx="0">
                  <c:v>12902940</c:v>
                </c:pt>
                <c:pt idx="1">
                  <c:v>27167660</c:v>
                </c:pt>
                <c:pt idx="2">
                  <c:v>35114730</c:v>
                </c:pt>
              </c:numCache>
            </c:numRef>
          </c:val>
          <c:extLst>
            <c:ext xmlns:c16="http://schemas.microsoft.com/office/drawing/2014/chart" uri="{C3380CC4-5D6E-409C-BE32-E72D297353CC}">
              <c16:uniqueId val="{00000000-A5EE-44D3-8F92-D6822AC44B78}"/>
            </c:ext>
          </c:extLst>
        </c:ser>
        <c:dLbls>
          <c:dLblPos val="outEnd"/>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98F-46E6-80EB-6634DCFFBB0B}"/>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98F-46E6-80EB-6634DCFFBB0B}"/>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A98F-46E6-80EB-6634DCFFBB0B}"/>
              </c:ext>
            </c:extLst>
          </c:dPt>
          <c:dLbls>
            <c:dLbl>
              <c:idx val="0"/>
              <c:tx>
                <c:rich>
                  <a:bodyPr/>
                  <a:lstStyle/>
                  <a:p>
                    <a:r>
                      <a:rPr lang="en-US"/>
                      <a:t>Año </a:t>
                    </a:r>
                    <a:fld id="{F816467E-8217-4112-BB15-96F01A548FE9}" type="CATEGORYNAME">
                      <a:rPr lang="en-US"/>
                      <a:pPr/>
                      <a:t>[NOMBRE DE CATEGORÍA]</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98F-46E6-80EB-6634DCFFBB0B}"/>
                </c:ext>
              </c:extLst>
            </c:dLbl>
            <c:dLbl>
              <c:idx val="1"/>
              <c:tx>
                <c:rich>
                  <a:bodyPr/>
                  <a:lstStyle/>
                  <a:p>
                    <a:r>
                      <a:rPr lang="en-US"/>
                      <a:t>Año </a:t>
                    </a:r>
                    <a:fld id="{B42B33AC-80C3-422D-B67A-5202DFDF075B}" type="CATEGORYNAME">
                      <a:rPr lang="en-US"/>
                      <a:pPr/>
                      <a:t>[NOMBRE DE CATEGORÍA]</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98F-46E6-80EB-6634DCFFBB0B}"/>
                </c:ext>
              </c:extLst>
            </c:dLbl>
            <c:dLbl>
              <c:idx val="2"/>
              <c:tx>
                <c:rich>
                  <a:bodyPr/>
                  <a:lstStyle/>
                  <a:p>
                    <a:r>
                      <a:rPr lang="en-US"/>
                      <a:t>Año </a:t>
                    </a:r>
                    <a:fld id="{E5474CA5-3ADC-438F-AC46-CDD01F178B36}" type="CATEGORYNAME">
                      <a:rPr lang="en-US"/>
                      <a:pPr/>
                      <a:t>[NOMBRE DE CATEGORÍA]</a:t>
                    </a:fld>
                    <a:endParaRPr lang="en-US"/>
                  </a:p>
                </c:rich>
              </c:tx>
              <c:dLblPos val="outEnd"/>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98F-46E6-80EB-6634DCFFBB0B}"/>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mn-lt"/>
                    <a:ea typeface="+mn-ea"/>
                    <a:cs typeface="+mn-cs"/>
                  </a:defRPr>
                </a:pPr>
                <a:endParaRPr lang="es-AR"/>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'Modelo de egresos'!$D$13:$F$13</c:f>
              <c:numCache>
                <c:formatCode>[$ $]#,##0</c:formatCode>
                <c:ptCount val="3"/>
                <c:pt idx="0">
                  <c:v>13003978</c:v>
                </c:pt>
                <c:pt idx="1">
                  <c:v>23223801.199999999</c:v>
                </c:pt>
                <c:pt idx="2">
                  <c:v>28156004.600000001</c:v>
                </c:pt>
              </c:numCache>
            </c:numRef>
          </c:val>
          <c:extLst>
            <c:ext xmlns:c16="http://schemas.microsoft.com/office/drawing/2014/chart" uri="{C3380CC4-5D6E-409C-BE32-E72D297353CC}">
              <c16:uniqueId val="{00000000-A98F-46E6-80EB-6634DCFFBB0B}"/>
            </c:ext>
          </c:extLst>
        </c:ser>
        <c:dLbls>
          <c:dLblPos val="outEnd"/>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Costos Fijos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'Costos fijos'!$C$24:$E$24</c:f>
              <c:numCache>
                <c:formatCode>[$ $]#,##0</c:formatCode>
                <c:ptCount val="3"/>
                <c:pt idx="0">
                  <c:v>6085000</c:v>
                </c:pt>
                <c:pt idx="1">
                  <c:v>7913000</c:v>
                </c:pt>
                <c:pt idx="2">
                  <c:v>8893400</c:v>
                </c:pt>
              </c:numCache>
            </c:numRef>
          </c:val>
          <c:extLst>
            <c:ext xmlns:c16="http://schemas.microsoft.com/office/drawing/2014/chart" uri="{C3380CC4-5D6E-409C-BE32-E72D297353CC}">
              <c16:uniqueId val="{00000000-A4D5-43BB-8678-C5CB8F671623}"/>
            </c:ext>
          </c:extLst>
        </c:ser>
        <c:dLbls>
          <c:showLegendKey val="0"/>
          <c:showVal val="0"/>
          <c:showCatName val="0"/>
          <c:showSerName val="0"/>
          <c:showPercent val="0"/>
          <c:showBubbleSize val="0"/>
        </c:dLbls>
        <c:gapWidth val="150"/>
        <c:shape val="box"/>
        <c:axId val="504774544"/>
        <c:axId val="504780776"/>
        <c:axId val="0"/>
      </c:bar3DChart>
      <c:catAx>
        <c:axId val="5047745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s-AR"/>
          </a:p>
        </c:txPr>
        <c:crossAx val="504780776"/>
        <c:crosses val="autoZero"/>
        <c:auto val="1"/>
        <c:lblAlgn val="ctr"/>
        <c:lblOffset val="100"/>
        <c:noMultiLvlLbl val="0"/>
      </c:catAx>
      <c:valAx>
        <c:axId val="504780776"/>
        <c:scaling>
          <c:orientation val="minMax"/>
        </c:scaling>
        <c:delete val="0"/>
        <c:axPos val="l"/>
        <c:majorGridlines>
          <c:spPr>
            <a:ln w="9525" cap="flat" cmpd="sng" algn="ctr">
              <a:solidFill>
                <a:schemeClr val="dk1">
                  <a:lumMod val="50000"/>
                  <a:lumOff val="5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AR"/>
          </a:p>
        </c:txPr>
        <c:crossAx val="50477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AR"/>
              <a:t>Costo de RRHH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val>
            <c:numRef>
              <c:f>'Costos RRHH'!$C$21:$E$21</c:f>
              <c:numCache>
                <c:formatCode>\$\ #,##0</c:formatCode>
                <c:ptCount val="3"/>
                <c:pt idx="0">
                  <c:v>6037200</c:v>
                </c:pt>
                <c:pt idx="1">
                  <c:v>12592800</c:v>
                </c:pt>
                <c:pt idx="2">
                  <c:v>15674400</c:v>
                </c:pt>
              </c:numCache>
            </c:numRef>
          </c:val>
          <c:extLst>
            <c:ext xmlns:c16="http://schemas.microsoft.com/office/drawing/2014/chart" uri="{C3380CC4-5D6E-409C-BE32-E72D297353CC}">
              <c16:uniqueId val="{00000000-04E0-4D5F-98DB-FEF38B925152}"/>
            </c:ext>
          </c:extLst>
        </c:ser>
        <c:dLbls>
          <c:showLegendKey val="0"/>
          <c:showVal val="0"/>
          <c:showCatName val="0"/>
          <c:showSerName val="0"/>
          <c:showPercent val="0"/>
          <c:showBubbleSize val="0"/>
        </c:dLbls>
        <c:gapWidth val="150"/>
        <c:shape val="box"/>
        <c:axId val="443230040"/>
        <c:axId val="443230368"/>
        <c:axId val="0"/>
      </c:bar3DChart>
      <c:catAx>
        <c:axId val="44323004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s-AR"/>
          </a:p>
        </c:txPr>
        <c:crossAx val="443230368"/>
        <c:crosses val="autoZero"/>
        <c:auto val="1"/>
        <c:lblAlgn val="ctr"/>
        <c:lblOffset val="100"/>
        <c:noMultiLvlLbl val="0"/>
      </c:catAx>
      <c:valAx>
        <c:axId val="443230368"/>
        <c:scaling>
          <c:orientation val="minMax"/>
        </c:scaling>
        <c:delete val="0"/>
        <c:axPos val="l"/>
        <c:majorGridlines>
          <c:spPr>
            <a:ln w="9525" cap="flat" cmpd="sng" algn="ctr">
              <a:solidFill>
                <a:schemeClr val="dk1">
                  <a:lumMod val="50000"/>
                  <a:lumOff val="5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AR"/>
          </a:p>
        </c:txPr>
        <c:crossAx val="443230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57150</xdr:colOff>
      <xdr:row>1</xdr:row>
      <xdr:rowOff>19050</xdr:rowOff>
    </xdr:from>
    <xdr:to>
      <xdr:col>6</xdr:col>
      <xdr:colOff>180986</xdr:colOff>
      <xdr:row>3</xdr:row>
      <xdr:rowOff>125879</xdr:rowOff>
    </xdr:to>
    <xdr:pic>
      <xdr:nvPicPr>
        <xdr:cNvPr id="3" name="Picture 2">
          <a:extLst>
            <a:ext uri="{FF2B5EF4-FFF2-40B4-BE49-F238E27FC236}">
              <a16:creationId xmlns:a16="http://schemas.microsoft.com/office/drawing/2014/main" id="{0C636B3E-B883-42E7-87BB-5626C679CEF1}"/>
            </a:ext>
          </a:extLst>
        </xdr:cNvPr>
        <xdr:cNvPicPr>
          <a:picLocks noChangeAspect="1"/>
        </xdr:cNvPicPr>
      </xdr:nvPicPr>
      <xdr:blipFill rotWithShape="1">
        <a:blip xmlns:r="http://schemas.openxmlformats.org/officeDocument/2006/relationships" r:embed="rId1"/>
        <a:srcRect l="15857" t="26144" r="18685" b="22345"/>
        <a:stretch/>
      </xdr:blipFill>
      <xdr:spPr>
        <a:xfrm>
          <a:off x="5086350" y="215900"/>
          <a:ext cx="1133486" cy="468779"/>
        </a:xfrm>
        <a:prstGeom prst="rect">
          <a:avLst/>
        </a:prstGeom>
      </xdr:spPr>
    </xdr:pic>
    <xdr:clientData/>
  </xdr:twoCellAnchor>
  <xdr:twoCellAnchor editAs="oneCell">
    <xdr:from>
      <xdr:col>4</xdr:col>
      <xdr:colOff>742950</xdr:colOff>
      <xdr:row>8</xdr:row>
      <xdr:rowOff>44450</xdr:rowOff>
    </xdr:from>
    <xdr:to>
      <xdr:col>6</xdr:col>
      <xdr:colOff>492557</xdr:colOff>
      <xdr:row>17</xdr:row>
      <xdr:rowOff>60731</xdr:rowOff>
    </xdr:to>
    <xdr:pic>
      <xdr:nvPicPr>
        <xdr:cNvPr id="4" name="Picture 3">
          <a:extLst>
            <a:ext uri="{FF2B5EF4-FFF2-40B4-BE49-F238E27FC236}">
              <a16:creationId xmlns:a16="http://schemas.microsoft.com/office/drawing/2014/main" id="{068580F2-A67F-4C8D-9574-3B7D44468D3A}"/>
            </a:ext>
          </a:extLst>
        </xdr:cNvPr>
        <xdr:cNvPicPr>
          <a:picLocks noChangeAspect="1"/>
        </xdr:cNvPicPr>
      </xdr:nvPicPr>
      <xdr:blipFill>
        <a:blip xmlns:r="http://schemas.openxmlformats.org/officeDocument/2006/relationships" r:embed="rId2"/>
        <a:stretch>
          <a:fillRect/>
        </a:stretch>
      </xdr:blipFill>
      <xdr:spPr>
        <a:xfrm>
          <a:off x="4762500" y="1587500"/>
          <a:ext cx="1768907" cy="16355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69850</xdr:rowOff>
    </xdr:from>
    <xdr:to>
      <xdr:col>2</xdr:col>
      <xdr:colOff>295275</xdr:colOff>
      <xdr:row>3</xdr:row>
      <xdr:rowOff>145811</xdr:rowOff>
    </xdr:to>
    <xdr:pic>
      <xdr:nvPicPr>
        <xdr:cNvPr id="3" name="Picture 2">
          <a:extLst>
            <a:ext uri="{FF2B5EF4-FFF2-40B4-BE49-F238E27FC236}">
              <a16:creationId xmlns:a16="http://schemas.microsoft.com/office/drawing/2014/main" id="{032FC6E5-F9AB-43E8-B3E7-2C15D819DCF2}"/>
            </a:ext>
          </a:extLst>
        </xdr:cNvPr>
        <xdr:cNvPicPr>
          <a:picLocks noChangeAspect="1"/>
        </xdr:cNvPicPr>
      </xdr:nvPicPr>
      <xdr:blipFill rotWithShape="1">
        <a:blip xmlns:r="http://schemas.openxmlformats.org/officeDocument/2006/relationships" r:embed="rId1"/>
        <a:srcRect l="15857" t="26144" r="18685" b="22345"/>
        <a:stretch/>
      </xdr:blipFill>
      <xdr:spPr>
        <a:xfrm>
          <a:off x="101600" y="69850"/>
          <a:ext cx="1238250" cy="6030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76200</xdr:rowOff>
    </xdr:from>
    <xdr:to>
      <xdr:col>1</xdr:col>
      <xdr:colOff>650886</xdr:colOff>
      <xdr:row>3</xdr:row>
      <xdr:rowOff>82550</xdr:rowOff>
    </xdr:to>
    <xdr:pic>
      <xdr:nvPicPr>
        <xdr:cNvPr id="5" name="Picture 4">
          <a:extLst>
            <a:ext uri="{FF2B5EF4-FFF2-40B4-BE49-F238E27FC236}">
              <a16:creationId xmlns:a16="http://schemas.microsoft.com/office/drawing/2014/main" id="{127A8ECF-1A10-4D7B-811D-EA34AF0090C5}"/>
            </a:ext>
          </a:extLst>
        </xdr:cNvPr>
        <xdr:cNvPicPr>
          <a:picLocks noChangeAspect="1"/>
        </xdr:cNvPicPr>
      </xdr:nvPicPr>
      <xdr:blipFill rotWithShape="1">
        <a:blip xmlns:r="http://schemas.openxmlformats.org/officeDocument/2006/relationships" r:embed="rId1"/>
        <a:srcRect l="15857" t="26144" r="18685" b="22345"/>
        <a:stretch/>
      </xdr:blipFill>
      <xdr:spPr>
        <a:xfrm>
          <a:off x="127000" y="76200"/>
          <a:ext cx="1165236" cy="533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69850</xdr:rowOff>
    </xdr:from>
    <xdr:to>
      <xdr:col>1</xdr:col>
      <xdr:colOff>1111250</xdr:colOff>
      <xdr:row>3</xdr:row>
      <xdr:rowOff>133350</xdr:rowOff>
    </xdr:to>
    <xdr:pic>
      <xdr:nvPicPr>
        <xdr:cNvPr id="4" name="Picture 3">
          <a:extLst>
            <a:ext uri="{FF2B5EF4-FFF2-40B4-BE49-F238E27FC236}">
              <a16:creationId xmlns:a16="http://schemas.microsoft.com/office/drawing/2014/main" id="{78EBD029-CDC3-409D-B6A3-814ADB6B34B1}"/>
            </a:ext>
          </a:extLst>
        </xdr:cNvPr>
        <xdr:cNvPicPr>
          <a:picLocks noChangeAspect="1"/>
        </xdr:cNvPicPr>
      </xdr:nvPicPr>
      <xdr:blipFill rotWithShape="1">
        <a:blip xmlns:r="http://schemas.openxmlformats.org/officeDocument/2006/relationships" r:embed="rId1"/>
        <a:srcRect l="15857" t="26144" r="18685" b="22345"/>
        <a:stretch/>
      </xdr:blipFill>
      <xdr:spPr>
        <a:xfrm>
          <a:off x="127000" y="69850"/>
          <a:ext cx="1155700" cy="590550"/>
        </a:xfrm>
        <a:prstGeom prst="rect">
          <a:avLst/>
        </a:prstGeom>
      </xdr:spPr>
    </xdr:pic>
    <xdr:clientData/>
  </xdr:twoCellAnchor>
  <xdr:twoCellAnchor>
    <xdr:from>
      <xdr:col>1</xdr:col>
      <xdr:colOff>2724149</xdr:colOff>
      <xdr:row>25</xdr:row>
      <xdr:rowOff>123825</xdr:rowOff>
    </xdr:from>
    <xdr:to>
      <xdr:col>8</xdr:col>
      <xdr:colOff>790574</xdr:colOff>
      <xdr:row>39</xdr:row>
      <xdr:rowOff>161925</xdr:rowOff>
    </xdr:to>
    <xdr:graphicFrame macro="">
      <xdr:nvGraphicFramePr>
        <xdr:cNvPr id="3" name="Gráfico 2">
          <a:extLst>
            <a:ext uri="{FF2B5EF4-FFF2-40B4-BE49-F238E27FC236}">
              <a16:creationId xmlns:a16="http://schemas.microsoft.com/office/drawing/2014/main" id="{DC4EB26B-08C3-4375-AC07-C537BEA1E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0.70303</cdr:x>
      <cdr:y>0.19128</cdr:y>
    </cdr:from>
    <cdr:to>
      <cdr:x>0.91717</cdr:x>
      <cdr:y>0.36577</cdr:y>
    </cdr:to>
    <cdr:sp macro="" textlink="">
      <cdr:nvSpPr>
        <cdr:cNvPr id="2" name="CuadroTexto 1">
          <a:extLst xmlns:a="http://schemas.openxmlformats.org/drawingml/2006/main">
            <a:ext uri="{FF2B5EF4-FFF2-40B4-BE49-F238E27FC236}">
              <a16:creationId xmlns:a16="http://schemas.microsoft.com/office/drawing/2014/main" id="{C6CE0A44-CA0E-4BE9-8AC0-0CC15FE54214}"/>
            </a:ext>
          </a:extLst>
        </cdr:cNvPr>
        <cdr:cNvSpPr txBox="1"/>
      </cdr:nvSpPr>
      <cdr:spPr>
        <a:xfrm xmlns:a="http://schemas.openxmlformats.org/drawingml/2006/main">
          <a:off x="3314701" y="542925"/>
          <a:ext cx="1009650" cy="495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AR" sz="1100"/>
        </a:p>
      </cdr:txBody>
    </cdr:sp>
  </cdr:relSizeAnchor>
  <cdr:relSizeAnchor xmlns:cdr="http://schemas.openxmlformats.org/drawingml/2006/chartDrawing">
    <cdr:from>
      <cdr:x>0.70909</cdr:x>
      <cdr:y>0.21141</cdr:y>
    </cdr:from>
    <cdr:to>
      <cdr:x>0.90303</cdr:x>
      <cdr:y>0.53356</cdr:y>
    </cdr:to>
    <cdr:sp macro="" textlink="">
      <cdr:nvSpPr>
        <cdr:cNvPr id="3" name="CuadroTexto 2">
          <a:extLst xmlns:a="http://schemas.openxmlformats.org/drawingml/2006/main">
            <a:ext uri="{FF2B5EF4-FFF2-40B4-BE49-F238E27FC236}">
              <a16:creationId xmlns:a16="http://schemas.microsoft.com/office/drawing/2014/main" id="{A42A2959-E44F-49C1-BEBA-6E86A36C65F0}"/>
            </a:ext>
          </a:extLst>
        </cdr:cNvPr>
        <cdr:cNvSpPr txBox="1"/>
      </cdr:nvSpPr>
      <cdr:spPr>
        <a:xfrm xmlns:a="http://schemas.openxmlformats.org/drawingml/2006/main">
          <a:off x="3343276" y="60007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AR" sz="1100"/>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88900</xdr:colOff>
      <xdr:row>0</xdr:row>
      <xdr:rowOff>82550</xdr:rowOff>
    </xdr:from>
    <xdr:to>
      <xdr:col>1</xdr:col>
      <xdr:colOff>212736</xdr:colOff>
      <xdr:row>3</xdr:row>
      <xdr:rowOff>107950</xdr:rowOff>
    </xdr:to>
    <xdr:pic>
      <xdr:nvPicPr>
        <xdr:cNvPr id="4" name="Picture 3">
          <a:extLst>
            <a:ext uri="{FF2B5EF4-FFF2-40B4-BE49-F238E27FC236}">
              <a16:creationId xmlns:a16="http://schemas.microsoft.com/office/drawing/2014/main" id="{7D2D4BB2-0CFE-48C6-9F06-81023F039A96}"/>
            </a:ext>
          </a:extLst>
        </xdr:cNvPr>
        <xdr:cNvPicPr>
          <a:picLocks noChangeAspect="1"/>
        </xdr:cNvPicPr>
      </xdr:nvPicPr>
      <xdr:blipFill rotWithShape="1">
        <a:blip xmlns:r="http://schemas.openxmlformats.org/officeDocument/2006/relationships" r:embed="rId1"/>
        <a:srcRect l="15857" t="26144" r="18685" b="22345"/>
        <a:stretch/>
      </xdr:blipFill>
      <xdr:spPr>
        <a:xfrm>
          <a:off x="88900" y="82550"/>
          <a:ext cx="1133486" cy="552450"/>
        </a:xfrm>
        <a:prstGeom prst="rect">
          <a:avLst/>
        </a:prstGeom>
      </xdr:spPr>
    </xdr:pic>
    <xdr:clientData/>
  </xdr:twoCellAnchor>
  <xdr:twoCellAnchor>
    <xdr:from>
      <xdr:col>1</xdr:col>
      <xdr:colOff>323850</xdr:colOff>
      <xdr:row>14</xdr:row>
      <xdr:rowOff>0</xdr:rowOff>
    </xdr:from>
    <xdr:to>
      <xdr:col>6</xdr:col>
      <xdr:colOff>457200</xdr:colOff>
      <xdr:row>27</xdr:row>
      <xdr:rowOff>142875</xdr:rowOff>
    </xdr:to>
    <xdr:graphicFrame macro="">
      <xdr:nvGraphicFramePr>
        <xdr:cNvPr id="3" name="Gráfico 2">
          <a:extLst>
            <a:ext uri="{FF2B5EF4-FFF2-40B4-BE49-F238E27FC236}">
              <a16:creationId xmlns:a16="http://schemas.microsoft.com/office/drawing/2014/main" id="{EA85B45E-4BFC-4871-AFEC-F923EFD2D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91627</xdr:rowOff>
    </xdr:from>
    <xdr:to>
      <xdr:col>1</xdr:col>
      <xdr:colOff>406400</xdr:colOff>
      <xdr:row>3</xdr:row>
      <xdr:rowOff>127000</xdr:rowOff>
    </xdr:to>
    <xdr:pic>
      <xdr:nvPicPr>
        <xdr:cNvPr id="4" name="Picture 3">
          <a:extLst>
            <a:ext uri="{FF2B5EF4-FFF2-40B4-BE49-F238E27FC236}">
              <a16:creationId xmlns:a16="http://schemas.microsoft.com/office/drawing/2014/main" id="{FD9EF2BF-209B-46BA-BF5E-0206DF71BED8}"/>
            </a:ext>
          </a:extLst>
        </xdr:cNvPr>
        <xdr:cNvPicPr>
          <a:picLocks noChangeAspect="1"/>
        </xdr:cNvPicPr>
      </xdr:nvPicPr>
      <xdr:blipFill rotWithShape="1">
        <a:blip xmlns:r="http://schemas.openxmlformats.org/officeDocument/2006/relationships" r:embed="rId1"/>
        <a:srcRect l="15857" t="26144" r="18685" b="22345"/>
        <a:stretch/>
      </xdr:blipFill>
      <xdr:spPr>
        <a:xfrm>
          <a:off x="114300" y="91627"/>
          <a:ext cx="1181100" cy="562423"/>
        </a:xfrm>
        <a:prstGeom prst="rect">
          <a:avLst/>
        </a:prstGeom>
      </xdr:spPr>
    </xdr:pic>
    <xdr:clientData/>
  </xdr:twoCellAnchor>
  <xdr:twoCellAnchor>
    <xdr:from>
      <xdr:col>5</xdr:col>
      <xdr:colOff>276225</xdr:colOff>
      <xdr:row>6</xdr:row>
      <xdr:rowOff>190500</xdr:rowOff>
    </xdr:from>
    <xdr:to>
      <xdr:col>9</xdr:col>
      <xdr:colOff>923925</xdr:colOff>
      <xdr:row>20</xdr:row>
      <xdr:rowOff>133350</xdr:rowOff>
    </xdr:to>
    <xdr:graphicFrame macro="">
      <xdr:nvGraphicFramePr>
        <xdr:cNvPr id="3" name="Gráfico 2">
          <a:extLst>
            <a:ext uri="{FF2B5EF4-FFF2-40B4-BE49-F238E27FC236}">
              <a16:creationId xmlns:a16="http://schemas.microsoft.com/office/drawing/2014/main" id="{C432EC32-1F62-4D76-88C3-8A49623A4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120650</xdr:colOff>
      <xdr:row>0</xdr:row>
      <xdr:rowOff>91894</xdr:rowOff>
    </xdr:from>
    <xdr:ext cx="1200150" cy="632006"/>
    <xdr:pic>
      <xdr:nvPicPr>
        <xdr:cNvPr id="5" name="Picture 4">
          <a:extLst>
            <a:ext uri="{FF2B5EF4-FFF2-40B4-BE49-F238E27FC236}">
              <a16:creationId xmlns:a16="http://schemas.microsoft.com/office/drawing/2014/main" id="{3E958F9E-0F94-4F6A-9693-EAF4F5C77DEF}"/>
            </a:ext>
          </a:extLst>
        </xdr:cNvPr>
        <xdr:cNvPicPr>
          <a:picLocks noChangeAspect="1"/>
        </xdr:cNvPicPr>
      </xdr:nvPicPr>
      <xdr:blipFill rotWithShape="1">
        <a:blip xmlns:r="http://schemas.openxmlformats.org/officeDocument/2006/relationships" r:embed="rId1"/>
        <a:srcRect l="15857" t="26144" r="18685" b="22345"/>
        <a:stretch/>
      </xdr:blipFill>
      <xdr:spPr>
        <a:xfrm>
          <a:off x="120650" y="91894"/>
          <a:ext cx="1200150" cy="632006"/>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77532</xdr:rowOff>
    </xdr:from>
    <xdr:to>
      <xdr:col>1</xdr:col>
      <xdr:colOff>717550</xdr:colOff>
      <xdr:row>3</xdr:row>
      <xdr:rowOff>152400</xdr:rowOff>
    </xdr:to>
    <xdr:pic>
      <xdr:nvPicPr>
        <xdr:cNvPr id="4" name="Picture 3">
          <a:extLst>
            <a:ext uri="{FF2B5EF4-FFF2-40B4-BE49-F238E27FC236}">
              <a16:creationId xmlns:a16="http://schemas.microsoft.com/office/drawing/2014/main" id="{75124D34-9107-4B28-B80D-B35EE471BFB5}"/>
            </a:ext>
          </a:extLst>
        </xdr:cNvPr>
        <xdr:cNvPicPr>
          <a:picLocks noChangeAspect="1"/>
        </xdr:cNvPicPr>
      </xdr:nvPicPr>
      <xdr:blipFill rotWithShape="1">
        <a:blip xmlns:r="http://schemas.openxmlformats.org/officeDocument/2006/relationships" r:embed="rId1"/>
        <a:srcRect l="15857" t="26144" r="18685" b="22345"/>
        <a:stretch/>
      </xdr:blipFill>
      <xdr:spPr>
        <a:xfrm>
          <a:off x="127000" y="77532"/>
          <a:ext cx="1301750" cy="601918"/>
        </a:xfrm>
        <a:prstGeom prst="rect">
          <a:avLst/>
        </a:prstGeom>
      </xdr:spPr>
    </xdr:pic>
    <xdr:clientData/>
  </xdr:twoCellAnchor>
  <xdr:twoCellAnchor>
    <xdr:from>
      <xdr:col>5</xdr:col>
      <xdr:colOff>238124</xdr:colOff>
      <xdr:row>6</xdr:row>
      <xdr:rowOff>152399</xdr:rowOff>
    </xdr:from>
    <xdr:to>
      <xdr:col>9</xdr:col>
      <xdr:colOff>695324</xdr:colOff>
      <xdr:row>21</xdr:row>
      <xdr:rowOff>138111</xdr:rowOff>
    </xdr:to>
    <xdr:graphicFrame macro="">
      <xdr:nvGraphicFramePr>
        <xdr:cNvPr id="2" name="Gráfico 1">
          <a:extLst>
            <a:ext uri="{FF2B5EF4-FFF2-40B4-BE49-F238E27FC236}">
              <a16:creationId xmlns:a16="http://schemas.microsoft.com/office/drawing/2014/main" id="{2AEC3555-C28E-4885-809D-9B059A1E1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139700</xdr:colOff>
      <xdr:row>0</xdr:row>
      <xdr:rowOff>66885</xdr:rowOff>
    </xdr:from>
    <xdr:to>
      <xdr:col>1</xdr:col>
      <xdr:colOff>847725</xdr:colOff>
      <xdr:row>3</xdr:row>
      <xdr:rowOff>133350</xdr:rowOff>
    </xdr:to>
    <xdr:pic>
      <xdr:nvPicPr>
        <xdr:cNvPr id="4" name="Picture 3">
          <a:extLst>
            <a:ext uri="{FF2B5EF4-FFF2-40B4-BE49-F238E27FC236}">
              <a16:creationId xmlns:a16="http://schemas.microsoft.com/office/drawing/2014/main" id="{BB530E1D-2391-4EE5-AF82-27EF0680FFCB}"/>
            </a:ext>
          </a:extLst>
        </xdr:cNvPr>
        <xdr:cNvPicPr>
          <a:picLocks noChangeAspect="1"/>
        </xdr:cNvPicPr>
      </xdr:nvPicPr>
      <xdr:blipFill rotWithShape="1">
        <a:blip xmlns:r="http://schemas.openxmlformats.org/officeDocument/2006/relationships" r:embed="rId1"/>
        <a:srcRect l="15857" t="26144" r="18685" b="22345"/>
        <a:stretch/>
      </xdr:blipFill>
      <xdr:spPr>
        <a:xfrm>
          <a:off x="139700" y="66885"/>
          <a:ext cx="1231900" cy="593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133350</xdr:colOff>
      <xdr:row>0</xdr:row>
      <xdr:rowOff>79905</xdr:rowOff>
    </xdr:from>
    <xdr:to>
      <xdr:col>1</xdr:col>
      <xdr:colOff>387350</xdr:colOff>
      <xdr:row>3</xdr:row>
      <xdr:rowOff>133350</xdr:rowOff>
    </xdr:to>
    <xdr:pic>
      <xdr:nvPicPr>
        <xdr:cNvPr id="4" name="Picture 3">
          <a:extLst>
            <a:ext uri="{FF2B5EF4-FFF2-40B4-BE49-F238E27FC236}">
              <a16:creationId xmlns:a16="http://schemas.microsoft.com/office/drawing/2014/main" id="{9ED0949E-2441-4082-B6D0-28FF163910D6}"/>
            </a:ext>
          </a:extLst>
        </xdr:cNvPr>
        <xdr:cNvPicPr>
          <a:picLocks noChangeAspect="1"/>
        </xdr:cNvPicPr>
      </xdr:nvPicPr>
      <xdr:blipFill rotWithShape="1">
        <a:blip xmlns:r="http://schemas.openxmlformats.org/officeDocument/2006/relationships" r:embed="rId1"/>
        <a:srcRect l="15857" t="26144" r="18685" b="22345"/>
        <a:stretch/>
      </xdr:blipFill>
      <xdr:spPr>
        <a:xfrm>
          <a:off x="133350" y="79905"/>
          <a:ext cx="1263650" cy="58049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146050</xdr:colOff>
      <xdr:row>0</xdr:row>
      <xdr:rowOff>101392</xdr:rowOff>
    </xdr:from>
    <xdr:to>
      <xdr:col>1</xdr:col>
      <xdr:colOff>368300</xdr:colOff>
      <xdr:row>3</xdr:row>
      <xdr:rowOff>133350</xdr:rowOff>
    </xdr:to>
    <xdr:pic>
      <xdr:nvPicPr>
        <xdr:cNvPr id="4" name="Picture 3">
          <a:extLst>
            <a:ext uri="{FF2B5EF4-FFF2-40B4-BE49-F238E27FC236}">
              <a16:creationId xmlns:a16="http://schemas.microsoft.com/office/drawing/2014/main" id="{F18A6B09-1E73-4CDB-9D04-2EDD4072D957}"/>
            </a:ext>
          </a:extLst>
        </xdr:cNvPr>
        <xdr:cNvPicPr>
          <a:picLocks noChangeAspect="1"/>
        </xdr:cNvPicPr>
      </xdr:nvPicPr>
      <xdr:blipFill rotWithShape="1">
        <a:blip xmlns:r="http://schemas.openxmlformats.org/officeDocument/2006/relationships" r:embed="rId1"/>
        <a:srcRect l="15857" t="26144" r="18685" b="22345"/>
        <a:stretch/>
      </xdr:blipFill>
      <xdr:spPr>
        <a:xfrm>
          <a:off x="146050" y="101392"/>
          <a:ext cx="1231900" cy="55900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165100</xdr:colOff>
      <xdr:row>0</xdr:row>
      <xdr:rowOff>76832</xdr:rowOff>
    </xdr:from>
    <xdr:to>
      <xdr:col>2</xdr:col>
      <xdr:colOff>0</xdr:colOff>
      <xdr:row>3</xdr:row>
      <xdr:rowOff>139700</xdr:rowOff>
    </xdr:to>
    <xdr:pic>
      <xdr:nvPicPr>
        <xdr:cNvPr id="4" name="Picture 3">
          <a:extLst>
            <a:ext uri="{FF2B5EF4-FFF2-40B4-BE49-F238E27FC236}">
              <a16:creationId xmlns:a16="http://schemas.microsoft.com/office/drawing/2014/main" id="{BB56E831-067F-41C2-827A-D2938793E56F}"/>
            </a:ext>
          </a:extLst>
        </xdr:cNvPr>
        <xdr:cNvPicPr>
          <a:picLocks noChangeAspect="1"/>
        </xdr:cNvPicPr>
      </xdr:nvPicPr>
      <xdr:blipFill rotWithShape="1">
        <a:blip xmlns:r="http://schemas.openxmlformats.org/officeDocument/2006/relationships" r:embed="rId1"/>
        <a:srcRect l="15857" t="26144" r="18685" b="22345"/>
        <a:stretch/>
      </xdr:blipFill>
      <xdr:spPr>
        <a:xfrm>
          <a:off x="165100" y="76832"/>
          <a:ext cx="1231900" cy="58991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146050</xdr:colOff>
      <xdr:row>0</xdr:row>
      <xdr:rowOff>75085</xdr:rowOff>
    </xdr:from>
    <xdr:to>
      <xdr:col>1</xdr:col>
      <xdr:colOff>393700</xdr:colOff>
      <xdr:row>3</xdr:row>
      <xdr:rowOff>139700</xdr:rowOff>
    </xdr:to>
    <xdr:pic>
      <xdr:nvPicPr>
        <xdr:cNvPr id="4" name="Picture 3">
          <a:extLst>
            <a:ext uri="{FF2B5EF4-FFF2-40B4-BE49-F238E27FC236}">
              <a16:creationId xmlns:a16="http://schemas.microsoft.com/office/drawing/2014/main" id="{EBD768EA-46FF-4A82-9B0B-D59D43262FC1}"/>
            </a:ext>
          </a:extLst>
        </xdr:cNvPr>
        <xdr:cNvPicPr>
          <a:picLocks noChangeAspect="1"/>
        </xdr:cNvPicPr>
      </xdr:nvPicPr>
      <xdr:blipFill rotWithShape="1">
        <a:blip xmlns:r="http://schemas.openxmlformats.org/officeDocument/2006/relationships" r:embed="rId1"/>
        <a:srcRect l="15857" t="26144" r="18685" b="22345"/>
        <a:stretch/>
      </xdr:blipFill>
      <xdr:spPr>
        <a:xfrm>
          <a:off x="146050" y="75085"/>
          <a:ext cx="1257300" cy="59166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120650</xdr:colOff>
      <xdr:row>0</xdr:row>
      <xdr:rowOff>50801</xdr:rowOff>
    </xdr:from>
    <xdr:to>
      <xdr:col>1</xdr:col>
      <xdr:colOff>386172</xdr:colOff>
      <xdr:row>3</xdr:row>
      <xdr:rowOff>152401</xdr:rowOff>
    </xdr:to>
    <xdr:pic>
      <xdr:nvPicPr>
        <xdr:cNvPr id="8" name="Picture 7">
          <a:extLst>
            <a:ext uri="{FF2B5EF4-FFF2-40B4-BE49-F238E27FC236}">
              <a16:creationId xmlns:a16="http://schemas.microsoft.com/office/drawing/2014/main" id="{BEA6A4CA-BBC9-4078-AA9D-1090CB36C865}"/>
            </a:ext>
          </a:extLst>
        </xdr:cNvPr>
        <xdr:cNvPicPr>
          <a:picLocks noChangeAspect="1"/>
        </xdr:cNvPicPr>
      </xdr:nvPicPr>
      <xdr:blipFill rotWithShape="1">
        <a:blip xmlns:r="http://schemas.openxmlformats.org/officeDocument/2006/relationships" r:embed="rId1"/>
        <a:srcRect l="15857" t="26144" r="18685" b="22345"/>
        <a:stretch/>
      </xdr:blipFill>
      <xdr:spPr>
        <a:xfrm>
          <a:off x="120650" y="50801"/>
          <a:ext cx="1275172" cy="6286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88900</xdr:colOff>
      <xdr:row>0</xdr:row>
      <xdr:rowOff>61460</xdr:rowOff>
    </xdr:from>
    <xdr:to>
      <xdr:col>1</xdr:col>
      <xdr:colOff>361950</xdr:colOff>
      <xdr:row>3</xdr:row>
      <xdr:rowOff>152400</xdr:rowOff>
    </xdr:to>
    <xdr:pic>
      <xdr:nvPicPr>
        <xdr:cNvPr id="6" name="Picture 5">
          <a:extLst>
            <a:ext uri="{FF2B5EF4-FFF2-40B4-BE49-F238E27FC236}">
              <a16:creationId xmlns:a16="http://schemas.microsoft.com/office/drawing/2014/main" id="{87C59D1E-ADA6-4425-BDFF-EBD4C2E4D3B8}"/>
            </a:ext>
          </a:extLst>
        </xdr:cNvPr>
        <xdr:cNvPicPr>
          <a:picLocks noChangeAspect="1"/>
        </xdr:cNvPicPr>
      </xdr:nvPicPr>
      <xdr:blipFill rotWithShape="1">
        <a:blip xmlns:r="http://schemas.openxmlformats.org/officeDocument/2006/relationships" r:embed="rId1"/>
        <a:srcRect l="15857" t="26144" r="18685" b="22345"/>
        <a:stretch/>
      </xdr:blipFill>
      <xdr:spPr>
        <a:xfrm>
          <a:off x="88900" y="61460"/>
          <a:ext cx="1282700" cy="61799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67810</xdr:rowOff>
    </xdr:from>
    <xdr:to>
      <xdr:col>1</xdr:col>
      <xdr:colOff>342900</xdr:colOff>
      <xdr:row>3</xdr:row>
      <xdr:rowOff>158750</xdr:rowOff>
    </xdr:to>
    <xdr:pic>
      <xdr:nvPicPr>
        <xdr:cNvPr id="6" name="Picture 5">
          <a:extLst>
            <a:ext uri="{FF2B5EF4-FFF2-40B4-BE49-F238E27FC236}">
              <a16:creationId xmlns:a16="http://schemas.microsoft.com/office/drawing/2014/main" id="{9CE1954E-4CDF-4186-94EF-4E197250F329}"/>
            </a:ext>
          </a:extLst>
        </xdr:cNvPr>
        <xdr:cNvPicPr>
          <a:picLocks noChangeAspect="1"/>
        </xdr:cNvPicPr>
      </xdr:nvPicPr>
      <xdr:blipFill rotWithShape="1">
        <a:blip xmlns:r="http://schemas.openxmlformats.org/officeDocument/2006/relationships" r:embed="rId1"/>
        <a:srcRect l="15857" t="26144" r="18685" b="22345"/>
        <a:stretch/>
      </xdr:blipFill>
      <xdr:spPr>
        <a:xfrm>
          <a:off x="114300" y="67810"/>
          <a:ext cx="1282700" cy="6179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8" Type="http://schemas.openxmlformats.org/officeDocument/2006/relationships/hyperlink" Target="https://articulo.mercadolibre.com.ar/MLA-700655078-escritorio-en-l-mesa-de-pc-lado-b-haya-y-negro-004-fan-022-_JM?quantity=1&amp;variation=30854013175" TargetMode="External"/><Relationship Id="rId13" Type="http://schemas.openxmlformats.org/officeDocument/2006/relationships/hyperlink" Target="https://www.mercadolibre.com.ar/p/MLA6352027" TargetMode="External"/><Relationship Id="rId3" Type="http://schemas.openxmlformats.org/officeDocument/2006/relationships/hyperlink" Target="https://articulo.mercadolibre.com.ar/MLA-726753286-sillon-ejecutivo-gerencial-bajo-silla-pc-envios-disenos--_JM?searchVariation=36486402153&amp;quantity=1&amp;variation=36486402153" TargetMode="External"/><Relationship Id="rId7" Type="http://schemas.openxmlformats.org/officeDocument/2006/relationships/hyperlink" Target="https://articulo.mercadolibre.com.ar/MLA-689230949-router-cisco-16-puertos-dual-wan-giga-vpn-ipsec-firewall-gtia-oficial-de-1-ano-factura-a-y-b-_JM?quantity=1" TargetMode="External"/><Relationship Id="rId12" Type="http://schemas.openxmlformats.org/officeDocument/2006/relationships/hyperlink" Target="https://articulo.mercadolibre.com.ar/MLA-814407323-heladera-samsung-rt43k6235bs-black-inox-70cm-_JM?quantity=1&amp;variation=43316269526" TargetMode="External"/><Relationship Id="rId17" Type="http://schemas.openxmlformats.org/officeDocument/2006/relationships/comments" Target="../comments4.xml"/><Relationship Id="rId2" Type="http://schemas.openxmlformats.org/officeDocument/2006/relationships/hyperlink" Target="https://articulo.mercadolibre.com.ar/MLA-748568029-puesto-de-trabajo-platinum-escritorio-rinconero-mesa-pc-_JM?quantity=1&amp;variation=27557480479" TargetMode="External"/><Relationship Id="rId16" Type="http://schemas.openxmlformats.org/officeDocument/2006/relationships/vmlDrawing" Target="../drawings/vmlDrawing4.vml"/><Relationship Id="rId1" Type="http://schemas.openxmlformats.org/officeDocument/2006/relationships/hyperlink" Target="https://articulo.mercadolibre.com.ar/MLA-799521033-isla-de-trabajo-operativa-de-cuatro-puestos-linea-allegro-_JM?quantity=1&amp;variation=40277740333" TargetMode="External"/><Relationship Id="rId6" Type="http://schemas.openxmlformats.org/officeDocument/2006/relationships/hyperlink" Target="https://articulo.mercadolibre.com.ar/MLA-780722070-switch-cisco-sg110-16-16-port-gigabit-rack-sg100-16-mexx-2-_JM?quantity=1" TargetMode="External"/><Relationship Id="rId11" Type="http://schemas.openxmlformats.org/officeDocument/2006/relationships/hyperlink" Target="https://articulo.mercadolibre.com.ar/MLA-687477926-cafetera-automatica-expendedora-coffee-pro-advance-red-10-s-_JM?quantity=1&amp;variation=36141430335" TargetMode="External"/><Relationship Id="rId5" Type="http://schemas.openxmlformats.org/officeDocument/2006/relationships/hyperlink" Target="https://articulo.mercadolibre.com.ar/MLA-620180612-impresora-brother-dcp-1617nw-multi-wifi-toner-de-regalo-_JM?searchVariation=37261660059&amp;quantity=1&amp;variation=37261660059" TargetMode="External"/><Relationship Id="rId15" Type="http://schemas.openxmlformats.org/officeDocument/2006/relationships/drawing" Target="../drawings/drawing10.xml"/><Relationship Id="rId10" Type="http://schemas.openxmlformats.org/officeDocument/2006/relationships/hyperlink" Target="https://articulo.mercadolibre.com.ar/MLA-818437526-unidad-smart-ups-srt-de-apc-10000-va-y-230-v-srt10kxli-_JM" TargetMode="External"/><Relationship Id="rId4" Type="http://schemas.openxmlformats.org/officeDocument/2006/relationships/hyperlink" Target="https://articulo.mercadolibre.com.ar/MLA-742321093-notebook-lenovo-thinkpad-t480-i7-ssd-m2-512gb-8gb-win10pro-_JM?quantity=1" TargetMode="External"/><Relationship Id="rId9" Type="http://schemas.openxmlformats.org/officeDocument/2006/relationships/hyperlink" Target="https://www.mercadolibre.com.ar/p/MLA9051118" TargetMode="External"/><Relationship Id="rId14" Type="http://schemas.openxmlformats.org/officeDocument/2006/relationships/hyperlink" Target="https://articulo.mercadolibre.com.ar/MLA-798182359-dispenser-de-agua-frio-calor-mas-frio-ahorro-de-energia-_JM?quantity=1&amp;variation=40019348983"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
  <sheetViews>
    <sheetView showGridLines="0" tabSelected="1" workbookViewId="0">
      <pane ySplit="6" topLeftCell="A7" activePane="bottomLeft" state="frozen"/>
      <selection pane="bottomLeft"/>
    </sheetView>
  </sheetViews>
  <sheetFormatPr baseColWidth="10" defaultColWidth="14.42578125" defaultRowHeight="15.75" customHeight="1" x14ac:dyDescent="0.2"/>
  <cols>
    <col min="1" max="1" width="9.7109375" customWidth="1"/>
    <col min="2" max="2" width="16.85546875" customWidth="1"/>
    <col min="3" max="3" width="16.5703125" customWidth="1"/>
  </cols>
  <sheetData>
    <row r="1" spans="1:7" s="217" customFormat="1" ht="15.75" customHeight="1" x14ac:dyDescent="0.25">
      <c r="A1" s="215"/>
      <c r="B1" s="398" t="s">
        <v>0</v>
      </c>
      <c r="C1" s="398"/>
      <c r="D1" s="398"/>
      <c r="E1" s="398"/>
      <c r="F1" s="398"/>
      <c r="G1" s="216"/>
    </row>
    <row r="2" spans="1:7" s="42" customFormat="1" ht="12.75" x14ac:dyDescent="0.2">
      <c r="A2" s="218"/>
      <c r="B2" s="396" t="s">
        <v>143</v>
      </c>
      <c r="C2" s="397"/>
      <c r="D2" s="397"/>
      <c r="E2" s="397"/>
    </row>
    <row r="3" spans="1:7" s="42" customFormat="1" ht="15.75" customHeight="1" x14ac:dyDescent="0.2">
      <c r="A3" s="218"/>
      <c r="B3" s="396" t="s">
        <v>140</v>
      </c>
      <c r="C3" s="397"/>
      <c r="D3" s="397"/>
      <c r="E3" s="397"/>
    </row>
    <row r="4" spans="1:7" s="42" customFormat="1" ht="15.75" customHeight="1" x14ac:dyDescent="0.2">
      <c r="A4" s="218"/>
      <c r="B4" s="396" t="s">
        <v>141</v>
      </c>
      <c r="C4" s="397"/>
      <c r="D4" s="397"/>
      <c r="E4" s="397"/>
    </row>
    <row r="5" spans="1:7" s="42" customFormat="1" ht="15.75" customHeight="1" x14ac:dyDescent="0.2">
      <c r="A5" s="218"/>
      <c r="B5" s="396" t="s">
        <v>142</v>
      </c>
      <c r="C5" s="397"/>
      <c r="D5" s="397"/>
      <c r="E5" s="397"/>
    </row>
    <row r="6" spans="1:7" s="199" customFormat="1" ht="15.75" customHeight="1" thickBot="1" x14ac:dyDescent="0.25">
      <c r="A6" s="219"/>
    </row>
    <row r="9" spans="1:7" ht="15.75" customHeight="1" x14ac:dyDescent="0.25">
      <c r="B9" s="399" t="s">
        <v>2</v>
      </c>
      <c r="C9" s="400"/>
    </row>
    <row r="10" spans="1:7" ht="14.25" x14ac:dyDescent="0.2">
      <c r="B10" s="394" t="s">
        <v>3</v>
      </c>
      <c r="C10" s="395"/>
    </row>
    <row r="11" spans="1:7" ht="14.25" x14ac:dyDescent="0.2">
      <c r="B11" s="394" t="s">
        <v>4</v>
      </c>
      <c r="C11" s="395"/>
    </row>
    <row r="12" spans="1:7" ht="14.25" x14ac:dyDescent="0.2">
      <c r="B12" s="76" t="s">
        <v>5</v>
      </c>
      <c r="C12" s="77"/>
    </row>
    <row r="13" spans="1:7" ht="14.25" x14ac:dyDescent="0.2">
      <c r="B13" s="76" t="s">
        <v>6</v>
      </c>
      <c r="C13" s="77"/>
    </row>
    <row r="14" spans="1:7" ht="14.25" x14ac:dyDescent="0.2">
      <c r="B14" s="76" t="s">
        <v>7</v>
      </c>
      <c r="C14" s="77"/>
    </row>
    <row r="15" spans="1:7" ht="14.25" x14ac:dyDescent="0.2">
      <c r="B15" s="76" t="s">
        <v>8</v>
      </c>
      <c r="C15" s="77"/>
    </row>
    <row r="16" spans="1:7" ht="14.25" x14ac:dyDescent="0.2">
      <c r="B16" s="76" t="s">
        <v>9</v>
      </c>
      <c r="C16" s="77"/>
    </row>
    <row r="17" spans="2:3" s="79" customFormat="1" ht="14.25" x14ac:dyDescent="0.2">
      <c r="B17" s="76" t="s">
        <v>10</v>
      </c>
      <c r="C17" s="77"/>
    </row>
    <row r="18" spans="2:3" ht="14.25" x14ac:dyDescent="0.2">
      <c r="B18" s="76" t="s">
        <v>84</v>
      </c>
      <c r="C18" s="77"/>
    </row>
    <row r="19" spans="2:3" ht="14.25" x14ac:dyDescent="0.2">
      <c r="B19" s="76" t="s">
        <v>11</v>
      </c>
      <c r="C19" s="77"/>
    </row>
    <row r="20" spans="2:3" ht="14.25" x14ac:dyDescent="0.2">
      <c r="B20" s="76" t="s">
        <v>13</v>
      </c>
      <c r="C20" s="77"/>
    </row>
    <row r="21" spans="2:3" ht="14.25" x14ac:dyDescent="0.2">
      <c r="B21" s="76" t="s">
        <v>14</v>
      </c>
      <c r="C21" s="77"/>
    </row>
    <row r="22" spans="2:3" ht="14.25" x14ac:dyDescent="0.2">
      <c r="B22" s="76" t="s">
        <v>15</v>
      </c>
      <c r="C22" s="77"/>
    </row>
    <row r="23" spans="2:3" ht="14.25" x14ac:dyDescent="0.2">
      <c r="B23" s="76" t="s">
        <v>16</v>
      </c>
      <c r="C23" s="77"/>
    </row>
    <row r="24" spans="2:3" ht="14.25" x14ac:dyDescent="0.2">
      <c r="B24" s="76" t="s">
        <v>17</v>
      </c>
      <c r="C24" s="77"/>
    </row>
  </sheetData>
  <mergeCells count="8">
    <mergeCell ref="B11:C11"/>
    <mergeCell ref="B2:E2"/>
    <mergeCell ref="B1:F1"/>
    <mergeCell ref="B10:C10"/>
    <mergeCell ref="B9:C9"/>
    <mergeCell ref="B3:E3"/>
    <mergeCell ref="B4:E4"/>
    <mergeCell ref="B5:E5"/>
  </mergeCells>
  <hyperlinks>
    <hyperlink ref="B10" location="Hipotesis!A1" display="Hipótesis" xr:uid="{00000000-0004-0000-0000-000000000000}"/>
    <hyperlink ref="B11" location="Proyección de Ingresos!A1" display="Proyeccion de Ingresos" xr:uid="{00000000-0004-0000-0000-000001000000}"/>
    <hyperlink ref="B12" location="Modelo de ingresos!A1" display="Modelo de ingresos" xr:uid="{00000000-0004-0000-0000-000002000000}"/>
    <hyperlink ref="B13" location="Modelo de egresos!A1" display="Modelo de egresos" xr:uid="{00000000-0004-0000-0000-000003000000}"/>
    <hyperlink ref="B14" location="Costos fijos!A1" display="Costos fijos" xr:uid="{00000000-0004-0000-0000-000004000000}"/>
    <hyperlink ref="B15" location="Costos variables!A1" display="Costos variables" xr:uid="{00000000-0004-0000-0000-000005000000}"/>
    <hyperlink ref="B16" location="Costos RRHH!A1" display="Costos RRHH" xr:uid="{00000000-0004-0000-0000-000006000000}"/>
    <hyperlink ref="B18" location="Modelo de inversion!A1" display="Modelo de inversion" xr:uid="{00000000-0004-0000-0000-000007000000}"/>
    <hyperlink ref="B19" location="Presupuesto financiero!A1" display="Presupuesto financiero" xr:uid="{00000000-0004-0000-0000-000008000000}"/>
    <hyperlink ref="B20" location="Matriz de riesgo!A1" display="Matriz de riesgo" xr:uid="{00000000-0004-0000-0000-000009000000}"/>
    <hyperlink ref="B21" location="Escenario 2!A1" display="Escenario 1" xr:uid="{00000000-0004-0000-0000-00000A000000}"/>
    <hyperlink ref="B22" location="Escenario 1!A1" display="Escenario 2" xr:uid="{00000000-0004-0000-0000-00000B000000}"/>
    <hyperlink ref="B23" location="Escenario 3!A1" display="Escenario 3" xr:uid="{00000000-0004-0000-0000-00000C000000}"/>
    <hyperlink ref="B24" location="Plan cont. Esc. 3!A1" display="Plan de contingencia Escenario 3" xr:uid="{00000000-0004-0000-0000-00000D000000}"/>
    <hyperlink ref="B11:C11" location="'Proyección de Ingresos'!A1" display="Proyeccion de Ingresos" xr:uid="{ECA15546-B930-4708-90B0-FFA3F5E79D86}"/>
    <hyperlink ref="B12:C12" location="'Modelo de ingresos'!A1" display="Modelo de ingresos" xr:uid="{A79E971A-7A28-401A-85C9-C5C8DF5E0749}"/>
    <hyperlink ref="B13:C13" location="'Modelo de egresos'!A1" display="Modelo de egresos" xr:uid="{55D75925-DD69-4D92-80A0-126BA67F70C0}"/>
    <hyperlink ref="B14:C14" location="'Costos fijos'!A1" display="Costos fijos" xr:uid="{FA1FE602-95C2-4695-B9F8-BAB101F6B026}"/>
    <hyperlink ref="B15:C15" location="'Costos variables'!A1" display="Costos variables" xr:uid="{6A300F1A-10E8-4711-AB42-377C83487C47}"/>
    <hyperlink ref="B16:C16" location="'Costos RRHH'!A1" display="Costos RRHH" xr:uid="{CDE7AF87-BE62-42F6-A777-776643267AF4}"/>
    <hyperlink ref="B18:C18" location="Amortización!A1" display="Amortización" xr:uid="{6C2CD9A2-3D2C-4EE2-BF2E-888B4D2C758E}"/>
    <hyperlink ref="B19:C19" location="'Presupuesto financiero'!A1" display="Presupuesto financiero" xr:uid="{D8AF5BF4-49D2-4488-B976-51B3FCCD77CE}"/>
    <hyperlink ref="B20:C20" location="'Matriz de riesgo'!A1" display="Matriz de riesgo" xr:uid="{E6419E40-F2E5-4F86-9462-63D8AE0936F6}"/>
    <hyperlink ref="B21:C21" location="'Escenario 1'!A1" display="Escenario 1" xr:uid="{BA1CBACF-33E3-44B2-B77C-924C94A7628A}"/>
    <hyperlink ref="B22:C22" location="'Escenario 2'!A1" display="Escenario 2" xr:uid="{0ECD7A7C-84C9-401E-8625-637E6FA7A195}"/>
    <hyperlink ref="B23:C23" location="'Escenario 3'!A1" display="Escenario 3" xr:uid="{0E062AB8-519E-48E6-9977-2526E0B2BD0F}"/>
    <hyperlink ref="B24:C24" location="'Plan cont. Esc. 3'!A1" display="Plan de contingencia Escenario 3" xr:uid="{16F2044D-D186-4F48-A837-A06DDDA85640}"/>
    <hyperlink ref="B10:C10" location="Hipótesis!A1" display="Hipótesis" xr:uid="{3411A7F0-0200-4A4D-9400-F63ABCBDDAC2}"/>
    <hyperlink ref="B17" location="Modelo de inversion!A1" display="Modelo de inversion" xr:uid="{57F9C5F6-0A45-473A-A60C-8BC935D2DC03}"/>
    <hyperlink ref="B17:C17" location="'Modelo de inversion'!A1" display="Modelo de inversion" xr:uid="{02FEE421-B849-4210-959D-CB525A33F5E4}"/>
  </hyperlinks>
  <pageMargins left="0.25" right="0.25"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355A-C9D5-4502-A6A4-EE341D405839}">
  <dimension ref="A1:S54"/>
  <sheetViews>
    <sheetView showGridLines="0" workbookViewId="0">
      <pane ySplit="6" topLeftCell="A7" activePane="bottomLeft" state="frozen"/>
      <selection pane="bottomLeft" activeCell="A37" sqref="A37"/>
    </sheetView>
  </sheetViews>
  <sheetFormatPr baseColWidth="10" defaultColWidth="9.140625" defaultRowHeight="12.75" x14ac:dyDescent="0.2"/>
  <cols>
    <col min="2" max="2" width="5.5703125" customWidth="1"/>
    <col min="3" max="3" width="6.140625" customWidth="1"/>
    <col min="6" max="6" width="5.7109375" bestFit="1" customWidth="1"/>
    <col min="7" max="7" width="12.140625" bestFit="1" customWidth="1"/>
    <col min="8" max="8" width="13.7109375" bestFit="1" customWidth="1"/>
    <col min="9" max="9" width="15.28515625" bestFit="1" customWidth="1"/>
    <col min="10" max="10" width="15.140625" style="248" bestFit="1" customWidth="1"/>
    <col min="14" max="14" width="14.5703125" bestFit="1" customWidth="1"/>
    <col min="15" max="15" width="13.5703125" bestFit="1" customWidth="1"/>
    <col min="16" max="16" width="9.7109375" bestFit="1" customWidth="1"/>
  </cols>
  <sheetData>
    <row r="1" spans="1:13" s="42" customFormat="1" ht="15" x14ac:dyDescent="0.2">
      <c r="D1" s="433" t="s">
        <v>0</v>
      </c>
      <c r="E1" s="433"/>
      <c r="F1" s="433"/>
      <c r="G1" s="433"/>
      <c r="H1" s="45"/>
    </row>
    <row r="2" spans="1:13" s="42" customFormat="1" ht="15" x14ac:dyDescent="0.25">
      <c r="A2" s="46"/>
      <c r="D2" s="396" t="s">
        <v>143</v>
      </c>
      <c r="E2" s="397"/>
      <c r="F2" s="397"/>
      <c r="G2" s="397"/>
    </row>
    <row r="3" spans="1:13" s="42" customFormat="1" x14ac:dyDescent="0.2">
      <c r="A3" s="44"/>
      <c r="D3" s="396" t="s">
        <v>140</v>
      </c>
      <c r="E3" s="397"/>
      <c r="F3" s="397"/>
      <c r="G3" s="397"/>
    </row>
    <row r="4" spans="1:13" s="42" customFormat="1" x14ac:dyDescent="0.2">
      <c r="A4" s="47"/>
      <c r="D4" s="396" t="s">
        <v>141</v>
      </c>
      <c r="E4" s="397"/>
      <c r="F4" s="397"/>
      <c r="G4" s="397"/>
    </row>
    <row r="5" spans="1:13" s="42" customFormat="1" ht="14.25" x14ac:dyDescent="0.2">
      <c r="A5" s="237" t="s">
        <v>1</v>
      </c>
      <c r="D5" s="396" t="s">
        <v>142</v>
      </c>
      <c r="E5" s="397"/>
      <c r="F5" s="397"/>
      <c r="G5" s="397"/>
    </row>
    <row r="6" spans="1:13" s="43" customFormat="1" ht="13.5" customHeight="1" thickBot="1" x14ac:dyDescent="0.25">
      <c r="A6" s="48" t="s">
        <v>3</v>
      </c>
      <c r="J6" s="247"/>
    </row>
    <row r="7" spans="1:13" ht="13.5" thickBot="1" x14ac:dyDescent="0.25"/>
    <row r="8" spans="1:13" ht="12.6" customHeight="1" x14ac:dyDescent="0.2">
      <c r="D8" s="437" t="s">
        <v>160</v>
      </c>
      <c r="E8" s="438"/>
      <c r="F8" s="438"/>
      <c r="G8" s="438"/>
      <c r="H8" s="438"/>
      <c r="I8" s="438"/>
      <c r="J8" s="438"/>
      <c r="K8" s="438"/>
      <c r="L8" s="438"/>
      <c r="M8" s="439"/>
    </row>
    <row r="9" spans="1:13" x14ac:dyDescent="0.2">
      <c r="D9" s="440"/>
      <c r="E9" s="441"/>
      <c r="F9" s="441"/>
      <c r="G9" s="441"/>
      <c r="H9" s="441"/>
      <c r="I9" s="441"/>
      <c r="J9" s="441"/>
      <c r="K9" s="441"/>
      <c r="L9" s="441"/>
      <c r="M9" s="442"/>
    </row>
    <row r="10" spans="1:13" ht="12.6" customHeight="1" x14ac:dyDescent="0.2">
      <c r="D10" s="434" t="s">
        <v>189</v>
      </c>
      <c r="E10" s="435"/>
      <c r="F10" s="435"/>
      <c r="G10" s="435"/>
      <c r="H10" s="435"/>
      <c r="I10" s="435"/>
      <c r="J10" s="435"/>
      <c r="K10" s="435"/>
      <c r="L10" s="435"/>
      <c r="M10" s="436"/>
    </row>
    <row r="11" spans="1:13" x14ac:dyDescent="0.2">
      <c r="D11" s="434"/>
      <c r="E11" s="435"/>
      <c r="F11" s="435"/>
      <c r="G11" s="435"/>
      <c r="H11" s="435"/>
      <c r="I11" s="435"/>
      <c r="J11" s="435"/>
      <c r="K11" s="435"/>
      <c r="L11" s="435"/>
      <c r="M11" s="436"/>
    </row>
    <row r="12" spans="1:13" x14ac:dyDescent="0.2">
      <c r="D12" s="434"/>
      <c r="E12" s="435"/>
      <c r="F12" s="435"/>
      <c r="G12" s="435"/>
      <c r="H12" s="435"/>
      <c r="I12" s="435"/>
      <c r="J12" s="435"/>
      <c r="K12" s="435"/>
      <c r="L12" s="435"/>
      <c r="M12" s="436"/>
    </row>
    <row r="13" spans="1:13" x14ac:dyDescent="0.2">
      <c r="D13" s="434"/>
      <c r="E13" s="435"/>
      <c r="F13" s="435"/>
      <c r="G13" s="435"/>
      <c r="H13" s="435"/>
      <c r="I13" s="435"/>
      <c r="J13" s="435"/>
      <c r="K13" s="435"/>
      <c r="L13" s="435"/>
      <c r="M13" s="436"/>
    </row>
    <row r="14" spans="1:13" x14ac:dyDescent="0.2">
      <c r="D14" s="434"/>
      <c r="E14" s="435"/>
      <c r="F14" s="435"/>
      <c r="G14" s="435"/>
      <c r="H14" s="435"/>
      <c r="I14" s="435"/>
      <c r="J14" s="435"/>
      <c r="K14" s="435"/>
      <c r="L14" s="435"/>
      <c r="M14" s="436"/>
    </row>
    <row r="15" spans="1:13" x14ac:dyDescent="0.2">
      <c r="D15" s="434"/>
      <c r="E15" s="435"/>
      <c r="F15" s="435"/>
      <c r="G15" s="435"/>
      <c r="H15" s="435"/>
      <c r="I15" s="435"/>
      <c r="J15" s="435"/>
      <c r="K15" s="435"/>
      <c r="L15" s="435"/>
      <c r="M15" s="436"/>
    </row>
    <row r="16" spans="1:13" x14ac:dyDescent="0.2">
      <c r="D16" s="434"/>
      <c r="E16" s="435"/>
      <c r="F16" s="435"/>
      <c r="G16" s="435"/>
      <c r="H16" s="435"/>
      <c r="I16" s="435"/>
      <c r="J16" s="435"/>
      <c r="K16" s="435"/>
      <c r="L16" s="435"/>
      <c r="M16" s="436"/>
    </row>
    <row r="17" spans="4:13" ht="12.6" customHeight="1" x14ac:dyDescent="0.2">
      <c r="D17" s="440" t="s">
        <v>161</v>
      </c>
      <c r="E17" s="441"/>
      <c r="F17" s="441"/>
      <c r="G17" s="441"/>
      <c r="H17" s="441"/>
      <c r="I17" s="441"/>
      <c r="J17" s="441"/>
      <c r="K17" s="441"/>
      <c r="L17" s="441"/>
      <c r="M17" s="442"/>
    </row>
    <row r="18" spans="4:13" x14ac:dyDescent="0.2">
      <c r="D18" s="440"/>
      <c r="E18" s="441"/>
      <c r="F18" s="441"/>
      <c r="G18" s="441"/>
      <c r="H18" s="441"/>
      <c r="I18" s="441"/>
      <c r="J18" s="441"/>
      <c r="K18" s="441"/>
      <c r="L18" s="441"/>
      <c r="M18" s="442"/>
    </row>
    <row r="19" spans="4:13" x14ac:dyDescent="0.2">
      <c r="D19" s="443" t="s">
        <v>228</v>
      </c>
      <c r="E19" s="435"/>
      <c r="F19" s="435"/>
      <c r="G19" s="435"/>
      <c r="H19" s="435"/>
      <c r="I19" s="435"/>
      <c r="J19" s="435"/>
      <c r="K19" s="435"/>
      <c r="L19" s="435"/>
      <c r="M19" s="436"/>
    </row>
    <row r="20" spans="4:13" x14ac:dyDescent="0.2">
      <c r="D20" s="434"/>
      <c r="E20" s="435"/>
      <c r="F20" s="435"/>
      <c r="G20" s="435"/>
      <c r="H20" s="435"/>
      <c r="I20" s="435"/>
      <c r="J20" s="435"/>
      <c r="K20" s="435"/>
      <c r="L20" s="435"/>
      <c r="M20" s="436"/>
    </row>
    <row r="21" spans="4:13" x14ac:dyDescent="0.2">
      <c r="D21" s="434"/>
      <c r="E21" s="435"/>
      <c r="F21" s="435"/>
      <c r="G21" s="435"/>
      <c r="H21" s="435"/>
      <c r="I21" s="435"/>
      <c r="J21" s="435"/>
      <c r="K21" s="435"/>
      <c r="L21" s="435"/>
      <c r="M21" s="436"/>
    </row>
    <row r="22" spans="4:13" s="244" customFormat="1" x14ac:dyDescent="0.2">
      <c r="D22" s="434"/>
      <c r="E22" s="435"/>
      <c r="F22" s="435"/>
      <c r="G22" s="435"/>
      <c r="H22" s="435"/>
      <c r="I22" s="435"/>
      <c r="J22" s="435"/>
      <c r="K22" s="435"/>
      <c r="L22" s="435"/>
      <c r="M22" s="436"/>
    </row>
    <row r="23" spans="4:13" s="244" customFormat="1" x14ac:dyDescent="0.2">
      <c r="D23" s="434"/>
      <c r="E23" s="435"/>
      <c r="F23" s="435"/>
      <c r="G23" s="435"/>
      <c r="H23" s="435"/>
      <c r="I23" s="435"/>
      <c r="J23" s="435"/>
      <c r="K23" s="435"/>
      <c r="L23" s="435"/>
      <c r="M23" s="436"/>
    </row>
    <row r="24" spans="4:13" s="244" customFormat="1" x14ac:dyDescent="0.2">
      <c r="D24" s="434"/>
      <c r="E24" s="435"/>
      <c r="F24" s="435"/>
      <c r="G24" s="435"/>
      <c r="H24" s="435"/>
      <c r="I24" s="435"/>
      <c r="J24" s="435"/>
      <c r="K24" s="435"/>
      <c r="L24" s="435"/>
      <c r="M24" s="436"/>
    </row>
    <row r="25" spans="4:13" s="244" customFormat="1" x14ac:dyDescent="0.2">
      <c r="D25" s="434"/>
      <c r="E25" s="435"/>
      <c r="F25" s="435"/>
      <c r="G25" s="435"/>
      <c r="H25" s="435"/>
      <c r="I25" s="435"/>
      <c r="J25" s="435"/>
      <c r="K25" s="435"/>
      <c r="L25" s="435"/>
      <c r="M25" s="436"/>
    </row>
    <row r="26" spans="4:13" s="244" customFormat="1" x14ac:dyDescent="0.2">
      <c r="D26" s="434"/>
      <c r="E26" s="435"/>
      <c r="F26" s="435"/>
      <c r="G26" s="435"/>
      <c r="H26" s="435"/>
      <c r="I26" s="435"/>
      <c r="J26" s="435"/>
      <c r="K26" s="435"/>
      <c r="L26" s="435"/>
      <c r="M26" s="436"/>
    </row>
    <row r="27" spans="4:13" x14ac:dyDescent="0.2">
      <c r="D27" s="434"/>
      <c r="E27" s="435"/>
      <c r="F27" s="435"/>
      <c r="G27" s="435"/>
      <c r="H27" s="435"/>
      <c r="I27" s="435"/>
      <c r="J27" s="435"/>
      <c r="K27" s="435"/>
      <c r="L27" s="435"/>
      <c r="M27" s="436"/>
    </row>
    <row r="28" spans="4:13" x14ac:dyDescent="0.2">
      <c r="D28" s="434"/>
      <c r="E28" s="435"/>
      <c r="F28" s="435"/>
      <c r="G28" s="435"/>
      <c r="H28" s="435"/>
      <c r="I28" s="435"/>
      <c r="J28" s="435"/>
      <c r="K28" s="435"/>
      <c r="L28" s="435"/>
      <c r="M28" s="436"/>
    </row>
    <row r="29" spans="4:13" x14ac:dyDescent="0.2">
      <c r="D29" s="434"/>
      <c r="E29" s="435"/>
      <c r="F29" s="435"/>
      <c r="G29" s="435"/>
      <c r="H29" s="435"/>
      <c r="I29" s="435"/>
      <c r="J29" s="435"/>
      <c r="K29" s="435"/>
      <c r="L29" s="435"/>
      <c r="M29" s="436"/>
    </row>
    <row r="30" spans="4:13" s="89" customFormat="1" x14ac:dyDescent="0.2">
      <c r="D30" s="434"/>
      <c r="E30" s="435"/>
      <c r="F30" s="435"/>
      <c r="G30" s="435"/>
      <c r="H30" s="435"/>
      <c r="I30" s="435"/>
      <c r="J30" s="435"/>
      <c r="K30" s="435"/>
      <c r="L30" s="435"/>
      <c r="M30" s="436"/>
    </row>
    <row r="31" spans="4:13" ht="13.5" thickBot="1" x14ac:dyDescent="0.25">
      <c r="D31" s="434"/>
      <c r="E31" s="435"/>
      <c r="F31" s="435"/>
      <c r="G31" s="435"/>
      <c r="H31" s="435"/>
      <c r="I31" s="435"/>
      <c r="J31" s="435"/>
      <c r="K31" s="435"/>
      <c r="L31" s="435"/>
      <c r="M31" s="436"/>
    </row>
    <row r="32" spans="4:13" ht="12.6" customHeight="1" x14ac:dyDescent="0.2">
      <c r="D32" s="437" t="s">
        <v>162</v>
      </c>
      <c r="E32" s="438"/>
      <c r="F32" s="438"/>
      <c r="G32" s="438"/>
      <c r="H32" s="438"/>
      <c r="I32" s="438"/>
      <c r="J32" s="438"/>
      <c r="K32" s="438"/>
      <c r="L32" s="438"/>
      <c r="M32" s="439"/>
    </row>
    <row r="33" spans="2:19" ht="13.5" thickBot="1" x14ac:dyDescent="0.25">
      <c r="D33" s="444"/>
      <c r="E33" s="445"/>
      <c r="F33" s="445"/>
      <c r="G33" s="445"/>
      <c r="H33" s="445"/>
      <c r="I33" s="445"/>
      <c r="J33" s="445"/>
      <c r="K33" s="445"/>
      <c r="L33" s="445"/>
      <c r="M33" s="446"/>
    </row>
    <row r="34" spans="2:19" x14ac:dyDescent="0.2">
      <c r="D34" s="452"/>
      <c r="E34" s="453"/>
      <c r="F34" s="257" t="s">
        <v>148</v>
      </c>
      <c r="G34" s="258" t="s">
        <v>222</v>
      </c>
      <c r="H34" s="259" t="s">
        <v>230</v>
      </c>
      <c r="I34" s="259" t="s">
        <v>231</v>
      </c>
      <c r="J34" s="260" t="s">
        <v>229</v>
      </c>
      <c r="K34" s="447" t="s">
        <v>233</v>
      </c>
      <c r="L34" s="448"/>
      <c r="M34" s="449"/>
    </row>
    <row r="35" spans="2:19" x14ac:dyDescent="0.2">
      <c r="D35" s="456" t="s">
        <v>223</v>
      </c>
      <c r="E35" s="457"/>
      <c r="F35" s="72">
        <v>1</v>
      </c>
      <c r="G35" s="252">
        <v>553900</v>
      </c>
      <c r="H35" s="252">
        <v>569800</v>
      </c>
      <c r="I35" s="245">
        <v>170550600</v>
      </c>
      <c r="J35" s="245">
        <f>(G35*I46)*12</f>
        <v>531744000</v>
      </c>
      <c r="K35" s="418">
        <f>J35+I35</f>
        <v>702294600</v>
      </c>
      <c r="L35" s="418"/>
      <c r="M35" s="419"/>
    </row>
    <row r="36" spans="2:19" ht="13.5" thickBot="1" x14ac:dyDescent="0.25">
      <c r="D36" s="454" t="s">
        <v>232</v>
      </c>
      <c r="E36" s="455"/>
      <c r="F36" s="73">
        <v>0.05</v>
      </c>
      <c r="G36" s="262">
        <f>G35*F36</f>
        <v>27695</v>
      </c>
      <c r="H36" s="262">
        <v>28490</v>
      </c>
      <c r="I36" s="263">
        <v>8527530</v>
      </c>
      <c r="J36" s="263">
        <f>(G36*I46)*12</f>
        <v>26587200</v>
      </c>
      <c r="K36" s="450">
        <f>J36+I36</f>
        <v>35114730</v>
      </c>
      <c r="L36" s="450"/>
      <c r="M36" s="451"/>
    </row>
    <row r="37" spans="2:19" ht="12.6" customHeight="1" x14ac:dyDescent="0.2">
      <c r="D37" s="422" t="s">
        <v>163</v>
      </c>
      <c r="E37" s="423"/>
      <c r="F37" s="423"/>
      <c r="G37" s="423"/>
      <c r="H37" s="423"/>
      <c r="I37" s="423"/>
      <c r="J37" s="423"/>
      <c r="K37" s="423"/>
      <c r="L37" s="423"/>
      <c r="M37" s="424"/>
    </row>
    <row r="38" spans="2:19" ht="13.5" thickBot="1" x14ac:dyDescent="0.25">
      <c r="D38" s="425"/>
      <c r="E38" s="426"/>
      <c r="F38" s="426"/>
      <c r="G38" s="426"/>
      <c r="H38" s="426"/>
      <c r="I38" s="426"/>
      <c r="J38" s="426"/>
      <c r="K38" s="426"/>
      <c r="L38" s="426"/>
      <c r="M38" s="427"/>
    </row>
    <row r="39" spans="2:19" s="89" customFormat="1" x14ac:dyDescent="0.2">
      <c r="D39" s="422" t="s">
        <v>224</v>
      </c>
      <c r="E39" s="423"/>
      <c r="F39" s="246" t="s">
        <v>148</v>
      </c>
      <c r="G39" s="254" t="s">
        <v>222</v>
      </c>
      <c r="H39" s="255" t="s">
        <v>230</v>
      </c>
      <c r="I39" s="255" t="s">
        <v>231</v>
      </c>
      <c r="J39" s="255" t="s">
        <v>229</v>
      </c>
      <c r="K39" s="428" t="s">
        <v>233</v>
      </c>
      <c r="L39" s="423"/>
      <c r="M39" s="424"/>
      <c r="Q39" s="42"/>
    </row>
    <row r="40" spans="2:19" x14ac:dyDescent="0.2">
      <c r="D40" s="431" t="s">
        <v>164</v>
      </c>
      <c r="E40" s="432"/>
      <c r="F40" s="264">
        <v>2.7E-2</v>
      </c>
      <c r="G40" s="265">
        <f>G35*F40</f>
        <v>14955.3</v>
      </c>
      <c r="H40" s="265">
        <v>16520</v>
      </c>
      <c r="I40" s="251">
        <v>1200000</v>
      </c>
      <c r="J40" s="251">
        <f>((G40*I46)*12)</f>
        <v>14357088</v>
      </c>
      <c r="K40" s="429">
        <f>I40+J40</f>
        <v>15557088</v>
      </c>
      <c r="L40" s="429"/>
      <c r="M40" s="430"/>
      <c r="N40" s="413"/>
      <c r="O40" s="413"/>
      <c r="P40" s="413"/>
      <c r="Q40" s="42"/>
    </row>
    <row r="41" spans="2:19" x14ac:dyDescent="0.2">
      <c r="B41" s="248"/>
      <c r="C41" s="248"/>
      <c r="D41" s="414" t="s">
        <v>165</v>
      </c>
      <c r="E41" s="415"/>
      <c r="F41" s="256">
        <v>4.2000000000000003E-2</v>
      </c>
      <c r="G41" s="252">
        <f>F41*G35</f>
        <v>23263.800000000003</v>
      </c>
      <c r="H41" s="252">
        <v>24350</v>
      </c>
      <c r="I41" s="250">
        <v>4568540</v>
      </c>
      <c r="J41" s="250">
        <f>(G41*I46)*12</f>
        <v>22333248.000000004</v>
      </c>
      <c r="K41" s="418">
        <f>I41+J41</f>
        <v>26901788.000000004</v>
      </c>
      <c r="L41" s="418"/>
      <c r="M41" s="419"/>
      <c r="N41" s="413"/>
      <c r="O41" s="413"/>
      <c r="P41" s="413"/>
      <c r="Q41" s="42"/>
      <c r="R41" s="79"/>
      <c r="S41" s="79"/>
    </row>
    <row r="42" spans="2:19" ht="13.5" thickBot="1" x14ac:dyDescent="0.25">
      <c r="B42" s="248"/>
      <c r="C42" s="248"/>
      <c r="D42" s="416" t="s">
        <v>166</v>
      </c>
      <c r="E42" s="417"/>
      <c r="F42" s="73">
        <v>0.05</v>
      </c>
      <c r="G42" s="253">
        <f>G35*F42</f>
        <v>27695</v>
      </c>
      <c r="H42" s="253">
        <v>28490</v>
      </c>
      <c r="I42" s="261">
        <v>8527530</v>
      </c>
      <c r="J42" s="261">
        <f>(G42*I46)*12</f>
        <v>26587200</v>
      </c>
      <c r="K42" s="420">
        <f>I42+J42</f>
        <v>35114730</v>
      </c>
      <c r="L42" s="420"/>
      <c r="M42" s="421"/>
      <c r="N42" s="413"/>
      <c r="O42" s="413"/>
      <c r="P42" s="413"/>
      <c r="Q42" s="42"/>
    </row>
    <row r="43" spans="2:19" ht="12.6" customHeight="1" x14ac:dyDescent="0.2">
      <c r="D43" s="422" t="s">
        <v>167</v>
      </c>
      <c r="E43" s="423"/>
      <c r="F43" s="423"/>
      <c r="G43" s="423"/>
      <c r="H43" s="423"/>
      <c r="I43" s="423"/>
      <c r="J43" s="423"/>
      <c r="K43" s="423"/>
      <c r="L43" s="423"/>
      <c r="M43" s="424"/>
    </row>
    <row r="44" spans="2:19" ht="13.5" thickBot="1" x14ac:dyDescent="0.25">
      <c r="D44" s="425"/>
      <c r="E44" s="426"/>
      <c r="F44" s="426"/>
      <c r="G44" s="426"/>
      <c r="H44" s="426"/>
      <c r="I44" s="426"/>
      <c r="J44" s="426"/>
      <c r="K44" s="426"/>
      <c r="L44" s="426"/>
      <c r="M44" s="427"/>
    </row>
    <row r="45" spans="2:19" x14ac:dyDescent="0.2">
      <c r="D45" s="407" t="s">
        <v>152</v>
      </c>
      <c r="E45" s="408"/>
      <c r="F45" s="408"/>
      <c r="G45" s="408"/>
      <c r="H45" s="409"/>
      <c r="I45" s="401" t="s">
        <v>42</v>
      </c>
      <c r="J45" s="402"/>
      <c r="K45" s="402"/>
      <c r="L45" s="402"/>
      <c r="M45" s="403"/>
    </row>
    <row r="46" spans="2:19" x14ac:dyDescent="0.2">
      <c r="D46" s="410" t="s">
        <v>157</v>
      </c>
      <c r="E46" s="411"/>
      <c r="F46" s="411"/>
      <c r="G46" s="411"/>
      <c r="H46" s="412"/>
      <c r="I46" s="404">
        <v>80</v>
      </c>
      <c r="J46" s="405"/>
      <c r="K46" s="405"/>
      <c r="L46" s="405"/>
      <c r="M46" s="406"/>
    </row>
    <row r="47" spans="2:19" x14ac:dyDescent="0.2">
      <c r="D47" s="464" t="s">
        <v>158</v>
      </c>
      <c r="E47" s="465"/>
      <c r="F47" s="465"/>
      <c r="G47" s="465"/>
      <c r="H47" s="466"/>
      <c r="I47" s="458">
        <v>125</v>
      </c>
      <c r="J47" s="459"/>
      <c r="K47" s="459"/>
      <c r="L47" s="459"/>
      <c r="M47" s="460"/>
    </row>
    <row r="48" spans="2:19" x14ac:dyDescent="0.2">
      <c r="D48" s="464" t="s">
        <v>159</v>
      </c>
      <c r="E48" s="465"/>
      <c r="F48" s="465"/>
      <c r="G48" s="465"/>
      <c r="H48" s="466"/>
      <c r="I48" s="458">
        <v>195</v>
      </c>
      <c r="J48" s="459"/>
      <c r="K48" s="459"/>
      <c r="L48" s="459"/>
      <c r="M48" s="460"/>
    </row>
    <row r="49" spans="4:13" x14ac:dyDescent="0.2">
      <c r="D49" s="464" t="s">
        <v>168</v>
      </c>
      <c r="E49" s="465"/>
      <c r="F49" s="465"/>
      <c r="G49" s="465"/>
      <c r="H49" s="466"/>
      <c r="I49" s="458">
        <v>300</v>
      </c>
      <c r="J49" s="459"/>
      <c r="K49" s="459"/>
      <c r="L49" s="459"/>
      <c r="M49" s="460"/>
    </row>
    <row r="50" spans="4:13" x14ac:dyDescent="0.2">
      <c r="D50" s="464" t="s">
        <v>170</v>
      </c>
      <c r="E50" s="465"/>
      <c r="F50" s="465"/>
      <c r="G50" s="465"/>
      <c r="H50" s="466"/>
      <c r="I50" s="458">
        <v>160</v>
      </c>
      <c r="J50" s="459"/>
      <c r="K50" s="459"/>
      <c r="L50" s="459"/>
      <c r="M50" s="460"/>
    </row>
    <row r="51" spans="4:13" x14ac:dyDescent="0.2">
      <c r="D51" s="464" t="s">
        <v>169</v>
      </c>
      <c r="E51" s="465"/>
      <c r="F51" s="465"/>
      <c r="G51" s="465"/>
      <c r="H51" s="466"/>
      <c r="I51" s="458">
        <v>160</v>
      </c>
      <c r="J51" s="459"/>
      <c r="K51" s="459"/>
      <c r="L51" s="459"/>
      <c r="M51" s="460"/>
    </row>
    <row r="52" spans="4:13" x14ac:dyDescent="0.2">
      <c r="D52" s="464" t="s">
        <v>171</v>
      </c>
      <c r="E52" s="465"/>
      <c r="F52" s="465"/>
      <c r="G52" s="465"/>
      <c r="H52" s="466"/>
      <c r="I52" s="458">
        <v>360</v>
      </c>
      <c r="J52" s="459"/>
      <c r="K52" s="459"/>
      <c r="L52" s="459"/>
      <c r="M52" s="460"/>
    </row>
    <row r="53" spans="4:13" x14ac:dyDescent="0.2">
      <c r="D53" s="464" t="s">
        <v>172</v>
      </c>
      <c r="E53" s="465"/>
      <c r="F53" s="465"/>
      <c r="G53" s="465"/>
      <c r="H53" s="466"/>
      <c r="I53" s="458">
        <v>80</v>
      </c>
      <c r="J53" s="459"/>
      <c r="K53" s="459"/>
      <c r="L53" s="459"/>
      <c r="M53" s="460"/>
    </row>
    <row r="54" spans="4:13" ht="13.5" thickBot="1" x14ac:dyDescent="0.25">
      <c r="D54" s="467" t="s">
        <v>173</v>
      </c>
      <c r="E54" s="468"/>
      <c r="F54" s="468"/>
      <c r="G54" s="468"/>
      <c r="H54" s="469"/>
      <c r="I54" s="461">
        <v>80</v>
      </c>
      <c r="J54" s="462"/>
      <c r="K54" s="462"/>
      <c r="L54" s="462"/>
      <c r="M54" s="463"/>
    </row>
  </sheetData>
  <mergeCells count="49">
    <mergeCell ref="I52:M52"/>
    <mergeCell ref="I53:M53"/>
    <mergeCell ref="I54:M54"/>
    <mergeCell ref="D47:H47"/>
    <mergeCell ref="D48:H48"/>
    <mergeCell ref="D49:H49"/>
    <mergeCell ref="I47:M47"/>
    <mergeCell ref="I48:M48"/>
    <mergeCell ref="I49:M49"/>
    <mergeCell ref="I50:M50"/>
    <mergeCell ref="I51:M51"/>
    <mergeCell ref="D50:H50"/>
    <mergeCell ref="D51:H51"/>
    <mergeCell ref="D52:H52"/>
    <mergeCell ref="D53:H53"/>
    <mergeCell ref="D54:H54"/>
    <mergeCell ref="K35:M35"/>
    <mergeCell ref="K36:M36"/>
    <mergeCell ref="D34:E34"/>
    <mergeCell ref="D36:E36"/>
    <mergeCell ref="D35:E35"/>
    <mergeCell ref="K39:M39"/>
    <mergeCell ref="D39:E39"/>
    <mergeCell ref="K40:M40"/>
    <mergeCell ref="D40:E40"/>
    <mergeCell ref="D1:G1"/>
    <mergeCell ref="D2:G2"/>
    <mergeCell ref="D3:G3"/>
    <mergeCell ref="D4:G4"/>
    <mergeCell ref="D5:G5"/>
    <mergeCell ref="D10:M16"/>
    <mergeCell ref="D8:M9"/>
    <mergeCell ref="D19:M31"/>
    <mergeCell ref="D17:M18"/>
    <mergeCell ref="D32:M33"/>
    <mergeCell ref="D37:M38"/>
    <mergeCell ref="K34:M34"/>
    <mergeCell ref="I45:M45"/>
    <mergeCell ref="I46:M46"/>
    <mergeCell ref="D45:H45"/>
    <mergeCell ref="D46:H46"/>
    <mergeCell ref="N40:P40"/>
    <mergeCell ref="N41:P41"/>
    <mergeCell ref="N42:P42"/>
    <mergeCell ref="D41:E41"/>
    <mergeCell ref="D42:E42"/>
    <mergeCell ref="K41:M41"/>
    <mergeCell ref="K42:M42"/>
    <mergeCell ref="D43:M44"/>
  </mergeCells>
  <hyperlinks>
    <hyperlink ref="A5" location="Indice!A1" display="Indice" xr:uid="{1AD2116E-EDCF-4216-BD2C-77A6B82228F7}"/>
  </hyperlinks>
  <pageMargins left="0.25" right="0.25"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6508-01C3-4346-9F32-63D30E0CE385}">
  <dimension ref="A1:AF99"/>
  <sheetViews>
    <sheetView showGridLines="0" workbookViewId="0">
      <pane ySplit="6" topLeftCell="A28" activePane="bottomLeft" state="frozen"/>
      <selection pane="bottomLeft" activeCell="A7" sqref="A7"/>
    </sheetView>
  </sheetViews>
  <sheetFormatPr baseColWidth="10" defaultColWidth="9.140625" defaultRowHeight="12.75" x14ac:dyDescent="0.2"/>
  <cols>
    <col min="2" max="2" width="41.42578125" bestFit="1" customWidth="1"/>
    <col min="3" max="3" width="6.28515625" bestFit="1" customWidth="1"/>
    <col min="4" max="4" width="14.42578125" bestFit="1" customWidth="1"/>
    <col min="5" max="5" width="17.85546875" bestFit="1" customWidth="1"/>
    <col min="6" max="6" width="10.7109375" bestFit="1" customWidth="1"/>
    <col min="7" max="7" width="17.85546875" bestFit="1" customWidth="1"/>
    <col min="8" max="8" width="10.7109375" bestFit="1" customWidth="1"/>
    <col min="9" max="9" width="17.85546875" bestFit="1" customWidth="1"/>
    <col min="10" max="10" width="10.7109375" bestFit="1" customWidth="1"/>
    <col min="11" max="11" width="17.85546875" bestFit="1" customWidth="1"/>
    <col min="12" max="12" width="10.7109375" bestFit="1" customWidth="1"/>
    <col min="13" max="13" width="17.140625" bestFit="1" customWidth="1"/>
    <col min="14" max="14" width="10.42578125" bestFit="1" customWidth="1"/>
    <col min="15" max="15" width="17.140625" bestFit="1" customWidth="1"/>
    <col min="16" max="16" width="10.42578125" bestFit="1" customWidth="1"/>
    <col min="17" max="17" width="17.140625" bestFit="1" customWidth="1"/>
    <col min="18" max="18" width="11.42578125" bestFit="1" customWidth="1"/>
    <col min="19" max="19" width="17.140625" bestFit="1" customWidth="1"/>
    <col min="20" max="20" width="11.42578125" bestFit="1" customWidth="1"/>
    <col min="21" max="21" width="17.140625" bestFit="1" customWidth="1"/>
    <col min="22" max="22" width="11.42578125" bestFit="1" customWidth="1"/>
    <col min="23" max="23" width="17.140625" bestFit="1" customWidth="1"/>
    <col min="24" max="24" width="11.42578125" bestFit="1" customWidth="1"/>
    <col min="25" max="25" width="17.140625" bestFit="1" customWidth="1"/>
    <col min="26" max="26" width="11.42578125" bestFit="1" customWidth="1"/>
    <col min="27" max="27" width="17.85546875" bestFit="1" customWidth="1"/>
    <col min="28" max="28" width="11.42578125" bestFit="1" customWidth="1"/>
    <col min="29" max="29" width="21" bestFit="1" customWidth="1"/>
    <col min="30" max="30" width="14.85546875" bestFit="1" customWidth="1"/>
  </cols>
  <sheetData>
    <row r="1" spans="1:17" s="42" customFormat="1" ht="15" x14ac:dyDescent="0.2">
      <c r="D1" s="433" t="s">
        <v>0</v>
      </c>
      <c r="E1" s="433"/>
      <c r="F1" s="433"/>
      <c r="G1" s="433"/>
      <c r="H1" s="45"/>
    </row>
    <row r="2" spans="1:17" s="42" customFormat="1" ht="15" x14ac:dyDescent="0.25">
      <c r="A2" s="46"/>
      <c r="D2" s="396" t="s">
        <v>143</v>
      </c>
      <c r="E2" s="397"/>
      <c r="F2" s="397"/>
      <c r="G2" s="397"/>
    </row>
    <row r="3" spans="1:17" s="42" customFormat="1" x14ac:dyDescent="0.2">
      <c r="A3" s="44"/>
      <c r="D3" s="396" t="s">
        <v>140</v>
      </c>
      <c r="E3" s="397"/>
      <c r="F3" s="397"/>
      <c r="G3" s="397"/>
    </row>
    <row r="4" spans="1:17" s="42" customFormat="1" x14ac:dyDescent="0.2">
      <c r="A4" s="47"/>
      <c r="D4" s="396" t="s">
        <v>141</v>
      </c>
      <c r="E4" s="397"/>
      <c r="F4" s="397"/>
      <c r="G4" s="397"/>
    </row>
    <row r="5" spans="1:17" s="42" customFormat="1" ht="14.25" x14ac:dyDescent="0.2">
      <c r="A5" s="237" t="s">
        <v>1</v>
      </c>
      <c r="D5" s="396" t="s">
        <v>142</v>
      </c>
      <c r="E5" s="397"/>
      <c r="F5" s="397"/>
      <c r="G5" s="397"/>
    </row>
    <row r="6" spans="1:17" s="43" customFormat="1" ht="13.5" customHeight="1" thickBot="1" x14ac:dyDescent="0.25">
      <c r="A6" s="48" t="s">
        <v>12</v>
      </c>
    </row>
    <row r="7" spans="1:17" s="42" customFormat="1" ht="15" x14ac:dyDescent="0.25">
      <c r="A7" s="46"/>
      <c r="D7" s="50"/>
      <c r="E7" s="51"/>
      <c r="F7" s="51"/>
      <c r="G7" s="51"/>
    </row>
    <row r="8" spans="1:17" s="42" customFormat="1" ht="13.5" thickBot="1" x14ac:dyDescent="0.25">
      <c r="A8" s="44"/>
      <c r="D8" s="50"/>
      <c r="E8" s="51"/>
      <c r="F8" s="51"/>
      <c r="G8" s="51"/>
    </row>
    <row r="9" spans="1:17" s="41" customFormat="1" ht="12.95" customHeight="1" thickBot="1" x14ac:dyDescent="0.25">
      <c r="B9" s="363" t="s">
        <v>150</v>
      </c>
      <c r="C9" s="364"/>
      <c r="E9" s="494" t="s">
        <v>151</v>
      </c>
      <c r="F9" s="495"/>
      <c r="G9" s="495"/>
      <c r="H9" s="495"/>
      <c r="I9" s="495"/>
      <c r="J9" s="495"/>
      <c r="K9" s="495"/>
      <c r="L9" s="495"/>
      <c r="M9" s="495"/>
      <c r="N9" s="496"/>
      <c r="P9" s="1"/>
      <c r="Q9" s="69"/>
    </row>
    <row r="10" spans="1:17" s="41" customFormat="1" ht="12.6" customHeight="1" x14ac:dyDescent="0.2">
      <c r="B10" s="365" t="s">
        <v>177</v>
      </c>
      <c r="C10" s="366">
        <v>1</v>
      </c>
      <c r="E10" s="487" t="s">
        <v>225</v>
      </c>
      <c r="F10" s="488"/>
      <c r="G10" s="488"/>
      <c r="H10" s="488"/>
      <c r="I10" s="488"/>
      <c r="J10" s="488"/>
      <c r="K10" s="488"/>
      <c r="L10" s="488"/>
      <c r="M10" s="488"/>
      <c r="N10" s="489"/>
      <c r="P10" s="1"/>
    </row>
    <row r="11" spans="1:17" s="53" customFormat="1" ht="12.6" customHeight="1" x14ac:dyDescent="0.2">
      <c r="B11" s="365" t="s">
        <v>179</v>
      </c>
      <c r="C11" s="366">
        <v>1</v>
      </c>
      <c r="E11" s="490"/>
      <c r="F11" s="488"/>
      <c r="G11" s="488"/>
      <c r="H11" s="488"/>
      <c r="I11" s="488"/>
      <c r="J11" s="488"/>
      <c r="K11" s="488"/>
      <c r="L11" s="488"/>
      <c r="M11" s="488"/>
      <c r="N11" s="489"/>
      <c r="P11" s="1"/>
    </row>
    <row r="12" spans="1:17" s="41" customFormat="1" x14ac:dyDescent="0.2">
      <c r="B12" s="365" t="s">
        <v>178</v>
      </c>
      <c r="C12" s="366">
        <v>1</v>
      </c>
      <c r="E12" s="490"/>
      <c r="F12" s="488"/>
      <c r="G12" s="488"/>
      <c r="H12" s="488"/>
      <c r="I12" s="488"/>
      <c r="J12" s="488"/>
      <c r="K12" s="488"/>
      <c r="L12" s="488"/>
      <c r="M12" s="488"/>
      <c r="N12" s="489"/>
      <c r="P12" s="1"/>
    </row>
    <row r="13" spans="1:17" s="41" customFormat="1" x14ac:dyDescent="0.2">
      <c r="B13" s="367" t="s">
        <v>18</v>
      </c>
      <c r="C13" s="366">
        <v>1</v>
      </c>
      <c r="E13" s="490"/>
      <c r="F13" s="488"/>
      <c r="G13" s="488"/>
      <c r="H13" s="488"/>
      <c r="I13" s="488"/>
      <c r="J13" s="488"/>
      <c r="K13" s="488"/>
      <c r="L13" s="488"/>
      <c r="M13" s="488"/>
      <c r="N13" s="489"/>
      <c r="P13" s="1"/>
    </row>
    <row r="14" spans="1:17" s="41" customFormat="1" x14ac:dyDescent="0.2">
      <c r="B14" s="367" t="s">
        <v>20</v>
      </c>
      <c r="C14" s="366">
        <v>3</v>
      </c>
      <c r="E14" s="490"/>
      <c r="F14" s="488"/>
      <c r="G14" s="488"/>
      <c r="H14" s="488"/>
      <c r="I14" s="488"/>
      <c r="J14" s="488"/>
      <c r="K14" s="488"/>
      <c r="L14" s="488"/>
      <c r="M14" s="488"/>
      <c r="N14" s="489"/>
      <c r="P14" s="1"/>
    </row>
    <row r="15" spans="1:17" s="41" customFormat="1" x14ac:dyDescent="0.2">
      <c r="B15" s="367" t="s">
        <v>21</v>
      </c>
      <c r="C15" s="366">
        <v>3</v>
      </c>
      <c r="E15" s="490"/>
      <c r="F15" s="488"/>
      <c r="G15" s="488"/>
      <c r="H15" s="488"/>
      <c r="I15" s="488"/>
      <c r="J15" s="488"/>
      <c r="K15" s="488"/>
      <c r="L15" s="488"/>
      <c r="M15" s="488"/>
      <c r="N15" s="489"/>
      <c r="P15" s="1"/>
    </row>
    <row r="16" spans="1:17" s="41" customFormat="1" x14ac:dyDescent="0.2">
      <c r="B16" s="367" t="s">
        <v>22</v>
      </c>
      <c r="C16" s="366">
        <v>1</v>
      </c>
      <c r="E16" s="490"/>
      <c r="F16" s="488"/>
      <c r="G16" s="488"/>
      <c r="H16" s="488"/>
      <c r="I16" s="488"/>
      <c r="J16" s="488"/>
      <c r="K16" s="488"/>
      <c r="L16" s="488"/>
      <c r="M16" s="488"/>
      <c r="N16" s="489"/>
      <c r="P16" s="1"/>
    </row>
    <row r="17" spans="2:32" s="41" customFormat="1" x14ac:dyDescent="0.2">
      <c r="B17" s="367" t="s">
        <v>23</v>
      </c>
      <c r="C17" s="366">
        <v>1</v>
      </c>
      <c r="E17" s="490"/>
      <c r="F17" s="488"/>
      <c r="G17" s="488"/>
      <c r="H17" s="488"/>
      <c r="I17" s="488"/>
      <c r="J17" s="488"/>
      <c r="K17" s="488"/>
      <c r="L17" s="488"/>
      <c r="M17" s="488"/>
      <c r="N17" s="489"/>
    </row>
    <row r="18" spans="2:32" s="41" customFormat="1" ht="13.5" thickBot="1" x14ac:dyDescent="0.25">
      <c r="B18" s="368" t="s">
        <v>257</v>
      </c>
      <c r="C18" s="369">
        <v>1</v>
      </c>
      <c r="E18" s="491"/>
      <c r="F18" s="492"/>
      <c r="G18" s="492"/>
      <c r="H18" s="492"/>
      <c r="I18" s="492"/>
      <c r="J18" s="492"/>
      <c r="K18" s="492"/>
      <c r="L18" s="492"/>
      <c r="M18" s="492"/>
      <c r="N18" s="493"/>
    </row>
    <row r="19" spans="2:32" s="41" customFormat="1" x14ac:dyDescent="0.2">
      <c r="B19" s="249"/>
      <c r="C19" s="249"/>
      <c r="E19" s="3"/>
      <c r="F19" s="3"/>
      <c r="G19" s="3"/>
      <c r="H19" s="3"/>
      <c r="I19" s="3"/>
      <c r="J19" s="3"/>
      <c r="K19" s="3"/>
      <c r="L19" s="3"/>
    </row>
    <row r="20" spans="2:32" s="41" customFormat="1" x14ac:dyDescent="0.2">
      <c r="B20" s="249"/>
      <c r="C20" s="249"/>
      <c r="G20" s="3"/>
      <c r="H20" s="3"/>
      <c r="I20" s="3"/>
      <c r="J20" s="3"/>
      <c r="K20" s="3"/>
      <c r="L20" s="3"/>
    </row>
    <row r="21" spans="2:32" s="41" customFormat="1" ht="15.75" customHeight="1" thickBot="1" x14ac:dyDescent="0.25"/>
    <row r="22" spans="2:32" s="41" customFormat="1" ht="13.5" thickBot="1" x14ac:dyDescent="0.25">
      <c r="E22" s="480" t="s">
        <v>24</v>
      </c>
      <c r="F22" s="481"/>
      <c r="G22" s="481"/>
      <c r="H22" s="481"/>
      <c r="I22" s="481"/>
      <c r="J22" s="481"/>
      <c r="K22" s="481"/>
      <c r="L22" s="481"/>
      <c r="M22" s="481"/>
      <c r="N22" s="481"/>
      <c r="O22" s="481"/>
      <c r="P22" s="481"/>
      <c r="Q22" s="481"/>
      <c r="R22" s="481"/>
      <c r="S22" s="481"/>
      <c r="T22" s="481"/>
      <c r="U22" s="481"/>
      <c r="V22" s="481"/>
      <c r="W22" s="481"/>
      <c r="X22" s="481"/>
      <c r="Y22" s="481"/>
      <c r="Z22" s="481"/>
      <c r="AA22" s="481"/>
      <c r="AB22" s="482"/>
    </row>
    <row r="23" spans="2:32" s="41" customFormat="1" ht="13.5" thickBot="1" x14ac:dyDescent="0.25">
      <c r="E23" s="483" t="s">
        <v>25</v>
      </c>
      <c r="F23" s="484"/>
      <c r="G23" s="483" t="s">
        <v>26</v>
      </c>
      <c r="H23" s="484"/>
      <c r="I23" s="485" t="s">
        <v>27</v>
      </c>
      <c r="J23" s="486"/>
      <c r="K23" s="483" t="s">
        <v>28</v>
      </c>
      <c r="L23" s="484"/>
      <c r="M23" s="485" t="s">
        <v>29</v>
      </c>
      <c r="N23" s="486"/>
      <c r="O23" s="483" t="s">
        <v>30</v>
      </c>
      <c r="P23" s="484"/>
      <c r="Q23" s="483" t="s">
        <v>31</v>
      </c>
      <c r="R23" s="484"/>
      <c r="S23" s="483" t="s">
        <v>32</v>
      </c>
      <c r="T23" s="484"/>
      <c r="U23" s="485" t="s">
        <v>33</v>
      </c>
      <c r="V23" s="486"/>
      <c r="W23" s="483" t="s">
        <v>34</v>
      </c>
      <c r="X23" s="484"/>
      <c r="Y23" s="483" t="s">
        <v>35</v>
      </c>
      <c r="Z23" s="484"/>
      <c r="AA23" s="483" t="s">
        <v>36</v>
      </c>
      <c r="AB23" s="484"/>
      <c r="AC23" s="501" t="s">
        <v>155</v>
      </c>
      <c r="AD23" s="502"/>
      <c r="AE23" s="14"/>
      <c r="AF23" s="14"/>
    </row>
    <row r="24" spans="2:32" s="41" customFormat="1" ht="13.5" thickBot="1" x14ac:dyDescent="0.25">
      <c r="B24" s="266" t="s">
        <v>185</v>
      </c>
      <c r="C24" s="267" t="s">
        <v>153</v>
      </c>
      <c r="D24" s="268" t="s">
        <v>154</v>
      </c>
      <c r="E24" s="269" t="s">
        <v>183</v>
      </c>
      <c r="F24" s="268" t="s">
        <v>37</v>
      </c>
      <c r="G24" s="269" t="s">
        <v>183</v>
      </c>
      <c r="H24" s="268" t="s">
        <v>37</v>
      </c>
      <c r="I24" s="269" t="s">
        <v>183</v>
      </c>
      <c r="J24" s="268" t="s">
        <v>37</v>
      </c>
      <c r="K24" s="269" t="s">
        <v>183</v>
      </c>
      <c r="L24" s="268" t="s">
        <v>37</v>
      </c>
      <c r="M24" s="269" t="s">
        <v>183</v>
      </c>
      <c r="N24" s="268" t="s">
        <v>37</v>
      </c>
      <c r="O24" s="269" t="s">
        <v>183</v>
      </c>
      <c r="P24" s="268" t="s">
        <v>37</v>
      </c>
      <c r="Q24" s="269" t="s">
        <v>183</v>
      </c>
      <c r="R24" s="268" t="s">
        <v>37</v>
      </c>
      <c r="S24" s="269" t="s">
        <v>183</v>
      </c>
      <c r="T24" s="268" t="s">
        <v>37</v>
      </c>
      <c r="U24" s="269" t="s">
        <v>183</v>
      </c>
      <c r="V24" s="268" t="s">
        <v>37</v>
      </c>
      <c r="W24" s="269" t="s">
        <v>183</v>
      </c>
      <c r="X24" s="268" t="s">
        <v>37</v>
      </c>
      <c r="Y24" s="269" t="s">
        <v>183</v>
      </c>
      <c r="Z24" s="270" t="s">
        <v>37</v>
      </c>
      <c r="AA24" s="269" t="s">
        <v>183</v>
      </c>
      <c r="AB24" s="270" t="s">
        <v>37</v>
      </c>
      <c r="AC24" s="299" t="s">
        <v>236</v>
      </c>
      <c r="AD24" s="300" t="s">
        <v>239</v>
      </c>
      <c r="AE24" s="1"/>
      <c r="AF24" s="1"/>
    </row>
    <row r="25" spans="2:32" s="41" customFormat="1" x14ac:dyDescent="0.2">
      <c r="B25" s="272" t="s">
        <v>157</v>
      </c>
      <c r="C25" s="273">
        <f>'Modelo de ingresos'!D14</f>
        <v>33.127333770443016</v>
      </c>
      <c r="D25" s="274">
        <f>Hipótesis!I46</f>
        <v>80</v>
      </c>
      <c r="E25" s="275">
        <v>685</v>
      </c>
      <c r="F25" s="276">
        <f t="shared" ref="F25:F36" si="0">$D25*E25</f>
        <v>54800</v>
      </c>
      <c r="G25" s="275">
        <v>1370</v>
      </c>
      <c r="H25" s="276">
        <f t="shared" ref="H25:H36" si="1">$D25*G25</f>
        <v>109600</v>
      </c>
      <c r="I25" s="275">
        <v>2055</v>
      </c>
      <c r="J25" s="276">
        <f t="shared" ref="J25:J36" si="2">$D25*I25</f>
        <v>164400</v>
      </c>
      <c r="K25" s="275">
        <v>2740</v>
      </c>
      <c r="L25" s="276">
        <f t="shared" ref="L25:L36" si="3">$D25*K25</f>
        <v>219200</v>
      </c>
      <c r="M25" s="275">
        <v>3425</v>
      </c>
      <c r="N25" s="276">
        <f t="shared" ref="N25:N36" si="4">$D25*M25</f>
        <v>274000</v>
      </c>
      <c r="O25" s="275">
        <v>4110</v>
      </c>
      <c r="P25" s="276">
        <f t="shared" ref="P25:P36" si="5">$D25*O25</f>
        <v>328800</v>
      </c>
      <c r="Q25" s="275">
        <v>4795</v>
      </c>
      <c r="R25" s="276">
        <f t="shared" ref="R25:R36" si="6">$D25*Q25</f>
        <v>383600</v>
      </c>
      <c r="S25" s="275">
        <v>5480</v>
      </c>
      <c r="T25" s="276">
        <f t="shared" ref="T25:T36" si="7">$D25*S25</f>
        <v>438400</v>
      </c>
      <c r="U25" s="275">
        <v>6165</v>
      </c>
      <c r="V25" s="276">
        <f t="shared" ref="V25:V36" si="8">$D25*U25</f>
        <v>493200</v>
      </c>
      <c r="W25" s="275">
        <v>6850</v>
      </c>
      <c r="X25" s="276">
        <f t="shared" ref="X25:X36" si="9">$D25*W25</f>
        <v>548000</v>
      </c>
      <c r="Y25" s="275">
        <v>7535</v>
      </c>
      <c r="Z25" s="276">
        <f t="shared" ref="Z25:Z36" si="10">$D25*Y25</f>
        <v>602800</v>
      </c>
      <c r="AA25" s="275">
        <v>8220</v>
      </c>
      <c r="AB25" s="276">
        <f t="shared" ref="AB25:AB36" si="11">$D25*AA25</f>
        <v>657600</v>
      </c>
      <c r="AC25" s="275">
        <f>AA25</f>
        <v>8220</v>
      </c>
      <c r="AD25" s="296">
        <f>F25+H25+J25+L25+N25+P25+R25+T25+V25+X25+Z25+AB25</f>
        <v>4274400</v>
      </c>
      <c r="AE25" s="1"/>
      <c r="AF25" s="1"/>
    </row>
    <row r="26" spans="2:32" s="41" customFormat="1" x14ac:dyDescent="0.2">
      <c r="B26" s="194" t="s">
        <v>158</v>
      </c>
      <c r="C26" s="90">
        <f>'Modelo de ingresos'!D15</f>
        <v>32.945979753451539</v>
      </c>
      <c r="D26" s="91">
        <f>Hipótesis!I47</f>
        <v>125</v>
      </c>
      <c r="E26" s="92">
        <v>436</v>
      </c>
      <c r="F26" s="93">
        <f t="shared" si="0"/>
        <v>54500</v>
      </c>
      <c r="G26" s="92">
        <v>872</v>
      </c>
      <c r="H26" s="93">
        <f t="shared" si="1"/>
        <v>109000</v>
      </c>
      <c r="I26" s="92">
        <v>1308</v>
      </c>
      <c r="J26" s="93">
        <f t="shared" si="2"/>
        <v>163500</v>
      </c>
      <c r="K26" s="92">
        <v>1744</v>
      </c>
      <c r="L26" s="93">
        <f t="shared" si="3"/>
        <v>218000</v>
      </c>
      <c r="M26" s="92">
        <v>2180</v>
      </c>
      <c r="N26" s="93">
        <f t="shared" si="4"/>
        <v>272500</v>
      </c>
      <c r="O26" s="92">
        <v>2616</v>
      </c>
      <c r="P26" s="93">
        <f t="shared" si="5"/>
        <v>327000</v>
      </c>
      <c r="Q26" s="92">
        <v>3052</v>
      </c>
      <c r="R26" s="93">
        <f t="shared" si="6"/>
        <v>381500</v>
      </c>
      <c r="S26" s="92">
        <v>3488</v>
      </c>
      <c r="T26" s="93">
        <f t="shared" si="7"/>
        <v>436000</v>
      </c>
      <c r="U26" s="92">
        <v>3924</v>
      </c>
      <c r="V26" s="93">
        <f t="shared" si="8"/>
        <v>490500</v>
      </c>
      <c r="W26" s="92">
        <v>4360</v>
      </c>
      <c r="X26" s="93">
        <f t="shared" si="9"/>
        <v>545000</v>
      </c>
      <c r="Y26" s="92">
        <v>4796</v>
      </c>
      <c r="Z26" s="93">
        <f t="shared" si="10"/>
        <v>599500</v>
      </c>
      <c r="AA26" s="92">
        <v>5232</v>
      </c>
      <c r="AB26" s="93">
        <f t="shared" si="11"/>
        <v>654000</v>
      </c>
      <c r="AC26" s="92">
        <f>AA26</f>
        <v>5232</v>
      </c>
      <c r="AD26" s="196">
        <f t="shared" ref="AD26:AD27" si="12">F26+H26+J26+L26+N26+P26+R26+T26+V26+X26+Z26+AB26</f>
        <v>4251000</v>
      </c>
      <c r="AE26" s="1"/>
      <c r="AF26" s="1"/>
    </row>
    <row r="27" spans="2:32" s="41" customFormat="1" ht="13.5" thickBot="1" x14ac:dyDescent="0.25">
      <c r="B27" s="193" t="s">
        <v>159</v>
      </c>
      <c r="C27" s="277">
        <f>'Modelo de ingresos'!D16</f>
        <v>14.617133769512995</v>
      </c>
      <c r="D27" s="278">
        <f>Hipótesis!I48</f>
        <v>195</v>
      </c>
      <c r="E27" s="197">
        <v>124</v>
      </c>
      <c r="F27" s="185">
        <f t="shared" si="0"/>
        <v>24180</v>
      </c>
      <c r="G27" s="197">
        <v>248</v>
      </c>
      <c r="H27" s="185">
        <f t="shared" si="1"/>
        <v>48360</v>
      </c>
      <c r="I27" s="197">
        <v>372</v>
      </c>
      <c r="J27" s="185">
        <f t="shared" si="2"/>
        <v>72540</v>
      </c>
      <c r="K27" s="197">
        <v>496</v>
      </c>
      <c r="L27" s="185">
        <f t="shared" si="3"/>
        <v>96720</v>
      </c>
      <c r="M27" s="197">
        <v>620</v>
      </c>
      <c r="N27" s="185">
        <f t="shared" si="4"/>
        <v>120900</v>
      </c>
      <c r="O27" s="197">
        <v>744</v>
      </c>
      <c r="P27" s="185">
        <f t="shared" si="5"/>
        <v>145080</v>
      </c>
      <c r="Q27" s="197">
        <v>868</v>
      </c>
      <c r="R27" s="185">
        <f t="shared" si="6"/>
        <v>169260</v>
      </c>
      <c r="S27" s="197">
        <v>992</v>
      </c>
      <c r="T27" s="185">
        <f t="shared" si="7"/>
        <v>193440</v>
      </c>
      <c r="U27" s="197">
        <v>1116</v>
      </c>
      <c r="V27" s="185">
        <f t="shared" si="8"/>
        <v>217620</v>
      </c>
      <c r="W27" s="197">
        <v>1240</v>
      </c>
      <c r="X27" s="185">
        <f t="shared" si="9"/>
        <v>241800</v>
      </c>
      <c r="Y27" s="197">
        <v>1364</v>
      </c>
      <c r="Z27" s="185">
        <f t="shared" si="10"/>
        <v>265980</v>
      </c>
      <c r="AA27" s="197">
        <v>1488</v>
      </c>
      <c r="AB27" s="185">
        <f t="shared" si="11"/>
        <v>290160</v>
      </c>
      <c r="AC27" s="197">
        <f>AA27</f>
        <v>1488</v>
      </c>
      <c r="AD27" s="198">
        <f t="shared" si="12"/>
        <v>1886040</v>
      </c>
      <c r="AE27" s="1"/>
      <c r="AF27" s="1"/>
    </row>
    <row r="28" spans="2:32" s="249" customFormat="1" ht="13.5" thickBot="1" x14ac:dyDescent="0.25">
      <c r="B28" s="497" t="s">
        <v>234</v>
      </c>
      <c r="C28" s="498"/>
      <c r="D28" s="498"/>
      <c r="E28" s="294">
        <f t="shared" ref="E28:V28" si="13">SUM(E25:E27)</f>
        <v>1245</v>
      </c>
      <c r="F28" s="271">
        <f t="shared" si="13"/>
        <v>133480</v>
      </c>
      <c r="G28" s="294">
        <f t="shared" si="13"/>
        <v>2490</v>
      </c>
      <c r="H28" s="271">
        <f t="shared" si="13"/>
        <v>266960</v>
      </c>
      <c r="I28" s="294">
        <f t="shared" si="13"/>
        <v>3735</v>
      </c>
      <c r="J28" s="271">
        <f t="shared" si="13"/>
        <v>400440</v>
      </c>
      <c r="K28" s="294">
        <f t="shared" si="13"/>
        <v>4980</v>
      </c>
      <c r="L28" s="271">
        <f t="shared" si="13"/>
        <v>533920</v>
      </c>
      <c r="M28" s="294">
        <f t="shared" si="13"/>
        <v>6225</v>
      </c>
      <c r="N28" s="271">
        <f t="shared" si="13"/>
        <v>667400</v>
      </c>
      <c r="O28" s="294">
        <f t="shared" si="13"/>
        <v>7470</v>
      </c>
      <c r="P28" s="271">
        <f t="shared" si="13"/>
        <v>800880</v>
      </c>
      <c r="Q28" s="294">
        <f t="shared" si="13"/>
        <v>8715</v>
      </c>
      <c r="R28" s="271">
        <f t="shared" si="13"/>
        <v>934360</v>
      </c>
      <c r="S28" s="294">
        <f t="shared" si="13"/>
        <v>9960</v>
      </c>
      <c r="T28" s="271">
        <f t="shared" si="13"/>
        <v>1067840</v>
      </c>
      <c r="U28" s="294">
        <f t="shared" si="13"/>
        <v>11205</v>
      </c>
      <c r="V28" s="271">
        <f t="shared" si="13"/>
        <v>1201320</v>
      </c>
      <c r="W28" s="294">
        <f t="shared" ref="W28:X28" si="14">SUM(W25:W27)</f>
        <v>12450</v>
      </c>
      <c r="X28" s="271">
        <f t="shared" si="14"/>
        <v>1334800</v>
      </c>
      <c r="Y28" s="294">
        <f t="shared" ref="Y28" si="15">SUM(Y25:Y27)</f>
        <v>13695</v>
      </c>
      <c r="Z28" s="271">
        <f t="shared" ref="Z28" si="16">SUM(Z25:Z27)</f>
        <v>1468280</v>
      </c>
      <c r="AA28" s="294">
        <f t="shared" ref="AA28" si="17">SUM(AA25:AA27)</f>
        <v>14940</v>
      </c>
      <c r="AB28" s="295">
        <f t="shared" ref="AB28" si="18">SUM(AB25:AB27)</f>
        <v>1601760</v>
      </c>
      <c r="AC28" s="294">
        <f>SUM(AC25:AC27)</f>
        <v>14940</v>
      </c>
      <c r="AD28" s="295">
        <f t="shared" ref="AD28" si="19">SUM(AD25:AD27)</f>
        <v>10411440</v>
      </c>
      <c r="AE28" s="1"/>
      <c r="AF28" s="1"/>
    </row>
    <row r="29" spans="2:32" s="79" customFormat="1" ht="13.5" thickBot="1" x14ac:dyDescent="0.25">
      <c r="B29" s="506"/>
      <c r="C29" s="507"/>
      <c r="D29" s="507"/>
      <c r="E29" s="507"/>
      <c r="F29" s="507"/>
      <c r="G29" s="507"/>
      <c r="H29" s="507"/>
      <c r="I29" s="507"/>
      <c r="J29" s="507"/>
      <c r="K29" s="507"/>
      <c r="L29" s="507"/>
      <c r="M29" s="507"/>
      <c r="N29" s="507"/>
      <c r="O29" s="507"/>
      <c r="P29" s="507"/>
      <c r="Q29" s="507"/>
      <c r="R29" s="507"/>
      <c r="S29" s="507"/>
      <c r="T29" s="507"/>
      <c r="U29" s="507"/>
      <c r="V29" s="507"/>
      <c r="W29" s="507"/>
      <c r="X29" s="507"/>
      <c r="Y29" s="507"/>
      <c r="Z29" s="507"/>
      <c r="AA29" s="507"/>
      <c r="AB29" s="507"/>
      <c r="AC29" s="507"/>
      <c r="AD29" s="508"/>
      <c r="AE29" s="1"/>
      <c r="AF29" s="1"/>
    </row>
    <row r="30" spans="2:32" s="79" customFormat="1" ht="13.5" thickBot="1" x14ac:dyDescent="0.25">
      <c r="B30" s="509" t="s">
        <v>49</v>
      </c>
      <c r="C30" s="510"/>
      <c r="D30" s="511"/>
      <c r="E30" s="279" t="s">
        <v>184</v>
      </c>
      <c r="F30" s="280" t="s">
        <v>37</v>
      </c>
      <c r="G30" s="280" t="s">
        <v>184</v>
      </c>
      <c r="H30" s="280" t="s">
        <v>37</v>
      </c>
      <c r="I30" s="280" t="s">
        <v>184</v>
      </c>
      <c r="J30" s="280" t="s">
        <v>37</v>
      </c>
      <c r="K30" s="280" t="s">
        <v>184</v>
      </c>
      <c r="L30" s="280" t="s">
        <v>37</v>
      </c>
      <c r="M30" s="280" t="s">
        <v>184</v>
      </c>
      <c r="N30" s="280" t="s">
        <v>37</v>
      </c>
      <c r="O30" s="280" t="s">
        <v>184</v>
      </c>
      <c r="P30" s="280" t="s">
        <v>37</v>
      </c>
      <c r="Q30" s="280" t="s">
        <v>184</v>
      </c>
      <c r="R30" s="280" t="s">
        <v>37</v>
      </c>
      <c r="S30" s="280" t="s">
        <v>184</v>
      </c>
      <c r="T30" s="280" t="s">
        <v>37</v>
      </c>
      <c r="U30" s="280" t="s">
        <v>184</v>
      </c>
      <c r="V30" s="280" t="s">
        <v>37</v>
      </c>
      <c r="W30" s="280" t="s">
        <v>184</v>
      </c>
      <c r="X30" s="280" t="s">
        <v>37</v>
      </c>
      <c r="Y30" s="280" t="s">
        <v>184</v>
      </c>
      <c r="Z30" s="280" t="s">
        <v>37</v>
      </c>
      <c r="AA30" s="280" t="s">
        <v>184</v>
      </c>
      <c r="AB30" s="281" t="s">
        <v>37</v>
      </c>
      <c r="AC30" s="301" t="s">
        <v>237</v>
      </c>
      <c r="AD30" s="300" t="s">
        <v>239</v>
      </c>
      <c r="AE30" s="1"/>
      <c r="AF30" s="1"/>
    </row>
    <row r="31" spans="2:32" s="41" customFormat="1" x14ac:dyDescent="0.2">
      <c r="B31" s="272" t="s">
        <v>168</v>
      </c>
      <c r="C31" s="273">
        <f>'Modelo de ingresos'!D19</f>
        <v>6.0102581272175177</v>
      </c>
      <c r="D31" s="274">
        <f>Hipótesis!I49</f>
        <v>300</v>
      </c>
      <c r="E31" s="275">
        <v>240</v>
      </c>
      <c r="F31" s="276">
        <f t="shared" si="0"/>
        <v>72000</v>
      </c>
      <c r="G31" s="275">
        <v>185</v>
      </c>
      <c r="H31" s="276">
        <f t="shared" si="1"/>
        <v>55500</v>
      </c>
      <c r="I31" s="275">
        <v>160</v>
      </c>
      <c r="J31" s="276">
        <f t="shared" si="2"/>
        <v>48000</v>
      </c>
      <c r="K31" s="275">
        <v>155</v>
      </c>
      <c r="L31" s="276">
        <f t="shared" si="3"/>
        <v>46500</v>
      </c>
      <c r="M31" s="275">
        <v>140</v>
      </c>
      <c r="N31" s="276">
        <f t="shared" si="4"/>
        <v>42000</v>
      </c>
      <c r="O31" s="275">
        <v>150</v>
      </c>
      <c r="P31" s="276">
        <f t="shared" si="5"/>
        <v>45000</v>
      </c>
      <c r="Q31" s="275">
        <v>170</v>
      </c>
      <c r="R31" s="276">
        <f t="shared" si="6"/>
        <v>51000</v>
      </c>
      <c r="S31" s="275">
        <v>160</v>
      </c>
      <c r="T31" s="276">
        <f t="shared" si="7"/>
        <v>48000</v>
      </c>
      <c r="U31" s="275">
        <v>170</v>
      </c>
      <c r="V31" s="276">
        <f t="shared" si="8"/>
        <v>51000</v>
      </c>
      <c r="W31" s="275">
        <v>370</v>
      </c>
      <c r="X31" s="276">
        <f t="shared" si="9"/>
        <v>111000</v>
      </c>
      <c r="Y31" s="275">
        <v>385</v>
      </c>
      <c r="Z31" s="276">
        <f t="shared" si="10"/>
        <v>115500</v>
      </c>
      <c r="AA31" s="275">
        <v>300</v>
      </c>
      <c r="AB31" s="276">
        <f t="shared" si="11"/>
        <v>90000</v>
      </c>
      <c r="AC31" s="275">
        <f>E31+G31+I31+K31+M31+O31+Q31+S31+U31+W31+Y31+AA31</f>
        <v>2585</v>
      </c>
      <c r="AD31" s="296">
        <f>F31+H31+J31+L31+N31+P31+R31+T31+V31+X31+Z31+AB31</f>
        <v>775500</v>
      </c>
      <c r="AE31" s="1"/>
      <c r="AF31" s="1"/>
    </row>
    <row r="32" spans="2:32" s="41" customFormat="1" x14ac:dyDescent="0.2">
      <c r="B32" s="194" t="s">
        <v>170</v>
      </c>
      <c r="C32" s="90">
        <f>'Modelo de ingresos'!D20</f>
        <v>3.2054710011826764</v>
      </c>
      <c r="D32" s="91">
        <f>Hipótesis!I50</f>
        <v>160</v>
      </c>
      <c r="E32" s="92">
        <v>200</v>
      </c>
      <c r="F32" s="93">
        <f t="shared" si="0"/>
        <v>32000</v>
      </c>
      <c r="G32" s="92">
        <v>185</v>
      </c>
      <c r="H32" s="93">
        <f t="shared" si="1"/>
        <v>29600</v>
      </c>
      <c r="I32" s="92">
        <v>150</v>
      </c>
      <c r="J32" s="93">
        <f t="shared" si="2"/>
        <v>24000</v>
      </c>
      <c r="K32" s="92">
        <v>170</v>
      </c>
      <c r="L32" s="93">
        <f t="shared" si="3"/>
        <v>27200</v>
      </c>
      <c r="M32" s="92">
        <v>190</v>
      </c>
      <c r="N32" s="93">
        <f t="shared" si="4"/>
        <v>30400</v>
      </c>
      <c r="O32" s="92">
        <v>160</v>
      </c>
      <c r="P32" s="93">
        <f t="shared" si="5"/>
        <v>25600</v>
      </c>
      <c r="Q32" s="92">
        <v>260</v>
      </c>
      <c r="R32" s="93">
        <f t="shared" si="6"/>
        <v>41600</v>
      </c>
      <c r="S32" s="92">
        <v>140</v>
      </c>
      <c r="T32" s="93">
        <f t="shared" si="7"/>
        <v>22400</v>
      </c>
      <c r="U32" s="92">
        <v>190</v>
      </c>
      <c r="V32" s="93">
        <f t="shared" si="8"/>
        <v>30400</v>
      </c>
      <c r="W32" s="92">
        <v>260</v>
      </c>
      <c r="X32" s="93">
        <f t="shared" si="9"/>
        <v>41600</v>
      </c>
      <c r="Y32" s="92">
        <v>300</v>
      </c>
      <c r="Z32" s="93">
        <f t="shared" si="10"/>
        <v>48000</v>
      </c>
      <c r="AA32" s="92">
        <v>380</v>
      </c>
      <c r="AB32" s="93">
        <f t="shared" si="11"/>
        <v>60800</v>
      </c>
      <c r="AC32" s="92">
        <f t="shared" ref="AC32:AC36" si="20">E32+G32+I32+K32+M32+O32+Q32+S32+U32+W32+Y32+AA32</f>
        <v>2585</v>
      </c>
      <c r="AD32" s="196">
        <f t="shared" ref="AD32:AD36" si="21">F32+H32+J32+L32+N32+P32+R32+T32+V32+X32+Z32+AB32</f>
        <v>413600</v>
      </c>
      <c r="AE32" s="1"/>
      <c r="AF32" s="1"/>
    </row>
    <row r="33" spans="2:32" s="41" customFormat="1" x14ac:dyDescent="0.2">
      <c r="B33" s="194" t="s">
        <v>169</v>
      </c>
      <c r="C33" s="90">
        <f>'Modelo de ingresos'!D21</f>
        <v>2.7280604265384478</v>
      </c>
      <c r="D33" s="91">
        <f>Hipótesis!I51</f>
        <v>160</v>
      </c>
      <c r="E33" s="92">
        <v>180</v>
      </c>
      <c r="F33" s="93">
        <f t="shared" si="0"/>
        <v>28800</v>
      </c>
      <c r="G33" s="92">
        <v>170</v>
      </c>
      <c r="H33" s="93">
        <f t="shared" si="1"/>
        <v>27200</v>
      </c>
      <c r="I33" s="92">
        <v>110</v>
      </c>
      <c r="J33" s="93">
        <f t="shared" si="2"/>
        <v>17600</v>
      </c>
      <c r="K33" s="92">
        <v>130</v>
      </c>
      <c r="L33" s="93">
        <f t="shared" si="3"/>
        <v>20800</v>
      </c>
      <c r="M33" s="92">
        <v>170</v>
      </c>
      <c r="N33" s="93">
        <f t="shared" si="4"/>
        <v>27200</v>
      </c>
      <c r="O33" s="92">
        <v>160</v>
      </c>
      <c r="P33" s="93">
        <f t="shared" si="5"/>
        <v>25600</v>
      </c>
      <c r="Q33" s="92">
        <v>180</v>
      </c>
      <c r="R33" s="93">
        <f t="shared" si="6"/>
        <v>28800</v>
      </c>
      <c r="S33" s="92">
        <v>170</v>
      </c>
      <c r="T33" s="93">
        <f t="shared" si="7"/>
        <v>27200</v>
      </c>
      <c r="U33" s="92">
        <v>170</v>
      </c>
      <c r="V33" s="93">
        <f t="shared" si="8"/>
        <v>27200</v>
      </c>
      <c r="W33" s="92">
        <v>220</v>
      </c>
      <c r="X33" s="93">
        <f t="shared" si="9"/>
        <v>35200</v>
      </c>
      <c r="Y33" s="92">
        <v>240</v>
      </c>
      <c r="Z33" s="93">
        <f t="shared" si="10"/>
        <v>38400</v>
      </c>
      <c r="AA33" s="92">
        <v>300</v>
      </c>
      <c r="AB33" s="93">
        <f t="shared" si="11"/>
        <v>48000</v>
      </c>
      <c r="AC33" s="92">
        <f t="shared" si="20"/>
        <v>2200</v>
      </c>
      <c r="AD33" s="196">
        <f t="shared" si="21"/>
        <v>352000</v>
      </c>
      <c r="AE33" s="1"/>
      <c r="AF33" s="1"/>
    </row>
    <row r="34" spans="2:32" s="41" customFormat="1" x14ac:dyDescent="0.2">
      <c r="B34" s="194" t="s">
        <v>171</v>
      </c>
      <c r="C34" s="90">
        <f>'Modelo de ingresos'!D22</f>
        <v>5.2174155657547816</v>
      </c>
      <c r="D34" s="91">
        <f>Hipótesis!I52</f>
        <v>360</v>
      </c>
      <c r="E34" s="92">
        <v>90</v>
      </c>
      <c r="F34" s="93">
        <f t="shared" ref="F34:F35" si="22">$D34*E34</f>
        <v>32400</v>
      </c>
      <c r="G34" s="92">
        <v>100</v>
      </c>
      <c r="H34" s="93">
        <f t="shared" ref="H34:H35" si="23">$D34*G34</f>
        <v>36000</v>
      </c>
      <c r="I34" s="92">
        <v>110</v>
      </c>
      <c r="J34" s="93">
        <f t="shared" ref="J34:J35" si="24">$D34*I34</f>
        <v>39600</v>
      </c>
      <c r="K34" s="92">
        <v>100</v>
      </c>
      <c r="L34" s="93">
        <f t="shared" ref="L34:L35" si="25">$D34*K34</f>
        <v>36000</v>
      </c>
      <c r="M34" s="92">
        <v>150</v>
      </c>
      <c r="N34" s="93">
        <f t="shared" ref="N34:N35" si="26">$D34*M34</f>
        <v>54000</v>
      </c>
      <c r="O34" s="92">
        <v>160</v>
      </c>
      <c r="P34" s="93">
        <f t="shared" ref="P34:P35" si="27">$D34*O34</f>
        <v>57600</v>
      </c>
      <c r="Q34" s="92">
        <v>180</v>
      </c>
      <c r="R34" s="93">
        <f t="shared" ref="R34:R35" si="28">$D34*Q34</f>
        <v>64800</v>
      </c>
      <c r="S34" s="92">
        <v>170</v>
      </c>
      <c r="T34" s="93">
        <f t="shared" ref="T34:T35" si="29">$D34*S34</f>
        <v>61200</v>
      </c>
      <c r="U34" s="92">
        <v>170</v>
      </c>
      <c r="V34" s="93">
        <f t="shared" ref="V34:V35" si="30">$D34*U34</f>
        <v>61200</v>
      </c>
      <c r="W34" s="92">
        <v>190</v>
      </c>
      <c r="X34" s="93">
        <f t="shared" ref="X34:X35" si="31">$D34*W34</f>
        <v>68400</v>
      </c>
      <c r="Y34" s="92">
        <v>200</v>
      </c>
      <c r="Z34" s="93">
        <f t="shared" ref="Z34:Z35" si="32">$D34*Y34</f>
        <v>72000</v>
      </c>
      <c r="AA34" s="92">
        <v>250</v>
      </c>
      <c r="AB34" s="93">
        <f t="shared" ref="AB34:AB35" si="33">$D34*AA34</f>
        <v>90000</v>
      </c>
      <c r="AC34" s="92">
        <f t="shared" si="20"/>
        <v>1870</v>
      </c>
      <c r="AD34" s="196">
        <f t="shared" si="21"/>
        <v>673200</v>
      </c>
      <c r="AE34" s="1"/>
      <c r="AF34" s="1"/>
    </row>
    <row r="35" spans="2:32" s="41" customFormat="1" x14ac:dyDescent="0.2">
      <c r="B35" s="194" t="s">
        <v>172</v>
      </c>
      <c r="C35" s="90">
        <f>'Modelo de ingresos'!D23</f>
        <v>0.90211998195760035</v>
      </c>
      <c r="D35" s="91">
        <f>Hipótesis!I53</f>
        <v>80</v>
      </c>
      <c r="E35" s="92">
        <v>50</v>
      </c>
      <c r="F35" s="93">
        <f t="shared" si="22"/>
        <v>4000</v>
      </c>
      <c r="G35" s="92">
        <v>70</v>
      </c>
      <c r="H35" s="93">
        <f t="shared" si="23"/>
        <v>5600</v>
      </c>
      <c r="I35" s="92">
        <v>110</v>
      </c>
      <c r="J35" s="93">
        <f t="shared" si="24"/>
        <v>8800</v>
      </c>
      <c r="K35" s="92">
        <v>90</v>
      </c>
      <c r="L35" s="93">
        <f t="shared" si="25"/>
        <v>7200</v>
      </c>
      <c r="M35" s="92">
        <v>135</v>
      </c>
      <c r="N35" s="93">
        <f t="shared" si="26"/>
        <v>10800</v>
      </c>
      <c r="O35" s="92">
        <v>110</v>
      </c>
      <c r="P35" s="93">
        <f t="shared" si="27"/>
        <v>8800</v>
      </c>
      <c r="Q35" s="92">
        <v>120</v>
      </c>
      <c r="R35" s="93">
        <f t="shared" si="28"/>
        <v>9600</v>
      </c>
      <c r="S35" s="92">
        <v>130</v>
      </c>
      <c r="T35" s="93">
        <f t="shared" si="29"/>
        <v>10400</v>
      </c>
      <c r="U35" s="92">
        <v>170</v>
      </c>
      <c r="V35" s="93">
        <f t="shared" si="30"/>
        <v>13600</v>
      </c>
      <c r="W35" s="92">
        <v>140</v>
      </c>
      <c r="X35" s="93">
        <f t="shared" si="31"/>
        <v>11200</v>
      </c>
      <c r="Y35" s="92">
        <v>150</v>
      </c>
      <c r="Z35" s="93">
        <f t="shared" si="32"/>
        <v>12000</v>
      </c>
      <c r="AA35" s="92">
        <v>180</v>
      </c>
      <c r="AB35" s="93">
        <f t="shared" si="33"/>
        <v>14400</v>
      </c>
      <c r="AC35" s="92">
        <f t="shared" si="20"/>
        <v>1455</v>
      </c>
      <c r="AD35" s="196">
        <f t="shared" si="21"/>
        <v>116400</v>
      </c>
      <c r="AE35" s="1"/>
      <c r="AF35" s="1"/>
    </row>
    <row r="36" spans="2:32" s="41" customFormat="1" ht="13.5" thickBot="1" x14ac:dyDescent="0.25">
      <c r="B36" s="193" t="s">
        <v>173</v>
      </c>
      <c r="C36" s="277">
        <f>'Modelo de ingresos'!D24</f>
        <v>1.2462276039414273</v>
      </c>
      <c r="D36" s="278">
        <f>Hipótesis!I54</f>
        <v>80</v>
      </c>
      <c r="E36" s="197">
        <v>130</v>
      </c>
      <c r="F36" s="185">
        <f t="shared" si="0"/>
        <v>10400</v>
      </c>
      <c r="G36" s="197">
        <v>120</v>
      </c>
      <c r="H36" s="185">
        <f t="shared" si="1"/>
        <v>9600</v>
      </c>
      <c r="I36" s="197">
        <v>210</v>
      </c>
      <c r="J36" s="185">
        <f t="shared" si="2"/>
        <v>16800</v>
      </c>
      <c r="K36" s="197">
        <v>180</v>
      </c>
      <c r="L36" s="185">
        <f t="shared" si="3"/>
        <v>14400</v>
      </c>
      <c r="M36" s="197">
        <v>250</v>
      </c>
      <c r="N36" s="185">
        <f t="shared" si="4"/>
        <v>20000</v>
      </c>
      <c r="O36" s="197">
        <v>140</v>
      </c>
      <c r="P36" s="185">
        <f t="shared" si="5"/>
        <v>11200</v>
      </c>
      <c r="Q36" s="197">
        <v>150</v>
      </c>
      <c r="R36" s="185">
        <f t="shared" si="6"/>
        <v>12000</v>
      </c>
      <c r="S36" s="197">
        <v>160</v>
      </c>
      <c r="T36" s="185">
        <f t="shared" si="7"/>
        <v>12800</v>
      </c>
      <c r="U36" s="197">
        <v>190</v>
      </c>
      <c r="V36" s="185">
        <f t="shared" si="8"/>
        <v>15200</v>
      </c>
      <c r="W36" s="197">
        <v>150</v>
      </c>
      <c r="X36" s="185">
        <f t="shared" si="9"/>
        <v>12000</v>
      </c>
      <c r="Y36" s="197">
        <v>160</v>
      </c>
      <c r="Z36" s="185">
        <f t="shared" si="10"/>
        <v>12800</v>
      </c>
      <c r="AA36" s="197">
        <v>170</v>
      </c>
      <c r="AB36" s="185">
        <f t="shared" si="11"/>
        <v>13600</v>
      </c>
      <c r="AC36" s="197">
        <f t="shared" si="20"/>
        <v>2010</v>
      </c>
      <c r="AD36" s="198">
        <f t="shared" si="21"/>
        <v>160800</v>
      </c>
      <c r="AE36" s="1"/>
      <c r="AF36" s="1"/>
    </row>
    <row r="37" spans="2:32" s="249" customFormat="1" ht="13.5" thickBot="1" x14ac:dyDescent="0.25">
      <c r="B37" s="499" t="s">
        <v>235</v>
      </c>
      <c r="C37" s="500"/>
      <c r="D37" s="500"/>
      <c r="E37" s="302">
        <f t="shared" ref="E37:U37" si="34">SUM(E31:E36)</f>
        <v>890</v>
      </c>
      <c r="F37" s="303">
        <f t="shared" si="34"/>
        <v>179600</v>
      </c>
      <c r="G37" s="302">
        <f t="shared" si="34"/>
        <v>830</v>
      </c>
      <c r="H37" s="303">
        <f t="shared" si="34"/>
        <v>163500</v>
      </c>
      <c r="I37" s="302">
        <f t="shared" si="34"/>
        <v>850</v>
      </c>
      <c r="J37" s="303">
        <f t="shared" si="34"/>
        <v>154800</v>
      </c>
      <c r="K37" s="302">
        <f t="shared" si="34"/>
        <v>825</v>
      </c>
      <c r="L37" s="303">
        <f t="shared" si="34"/>
        <v>152100</v>
      </c>
      <c r="M37" s="302">
        <f t="shared" si="34"/>
        <v>1035</v>
      </c>
      <c r="N37" s="303">
        <f t="shared" si="34"/>
        <v>184400</v>
      </c>
      <c r="O37" s="302">
        <f t="shared" si="34"/>
        <v>880</v>
      </c>
      <c r="P37" s="303">
        <f t="shared" si="34"/>
        <v>173800</v>
      </c>
      <c r="Q37" s="302">
        <f t="shared" si="34"/>
        <v>1060</v>
      </c>
      <c r="R37" s="303">
        <f t="shared" si="34"/>
        <v>207800</v>
      </c>
      <c r="S37" s="302">
        <f t="shared" si="34"/>
        <v>930</v>
      </c>
      <c r="T37" s="303">
        <f t="shared" si="34"/>
        <v>182000</v>
      </c>
      <c r="U37" s="302">
        <f t="shared" si="34"/>
        <v>1060</v>
      </c>
      <c r="V37" s="303">
        <f t="shared" ref="V37:AB37" si="35">SUM(V31:V36)</f>
        <v>198600</v>
      </c>
      <c r="W37" s="302">
        <f t="shared" si="35"/>
        <v>1330</v>
      </c>
      <c r="X37" s="303">
        <f t="shared" si="35"/>
        <v>279400</v>
      </c>
      <c r="Y37" s="302">
        <f t="shared" si="35"/>
        <v>1435</v>
      </c>
      <c r="Z37" s="303">
        <f t="shared" si="35"/>
        <v>298700</v>
      </c>
      <c r="AA37" s="302">
        <f t="shared" si="35"/>
        <v>1580</v>
      </c>
      <c r="AB37" s="303">
        <f t="shared" si="35"/>
        <v>316800</v>
      </c>
      <c r="AC37" s="302">
        <f>SUM(AC31:AC36)</f>
        <v>12705</v>
      </c>
      <c r="AD37" s="303">
        <f>SUM(AD31:AD36)</f>
        <v>2491500</v>
      </c>
      <c r="AE37" s="1"/>
      <c r="AF37" s="1"/>
    </row>
    <row r="38" spans="2:32" s="41" customFormat="1" ht="13.5" thickBot="1" x14ac:dyDescent="0.25">
      <c r="B38" s="283" t="s">
        <v>43</v>
      </c>
      <c r="C38" s="284">
        <f>SUM(C25:C36)</f>
        <v>99.999999999999972</v>
      </c>
      <c r="D38" s="285"/>
      <c r="E38" s="282">
        <f>E28+E37</f>
        <v>2135</v>
      </c>
      <c r="F38" s="285">
        <f>F28+F37</f>
        <v>313080</v>
      </c>
      <c r="G38" s="282">
        <f t="shared" ref="G38:AB38" si="36">G37+G28</f>
        <v>3320</v>
      </c>
      <c r="H38" s="285">
        <f t="shared" si="36"/>
        <v>430460</v>
      </c>
      <c r="I38" s="282">
        <f t="shared" si="36"/>
        <v>4585</v>
      </c>
      <c r="J38" s="285">
        <f t="shared" si="36"/>
        <v>555240</v>
      </c>
      <c r="K38" s="282">
        <f t="shared" si="36"/>
        <v>5805</v>
      </c>
      <c r="L38" s="285">
        <f t="shared" si="36"/>
        <v>686020</v>
      </c>
      <c r="M38" s="282">
        <f t="shared" si="36"/>
        <v>7260</v>
      </c>
      <c r="N38" s="285">
        <f t="shared" si="36"/>
        <v>851800</v>
      </c>
      <c r="O38" s="282">
        <f t="shared" si="36"/>
        <v>8350</v>
      </c>
      <c r="P38" s="285">
        <f t="shared" si="36"/>
        <v>974680</v>
      </c>
      <c r="Q38" s="282">
        <f t="shared" si="36"/>
        <v>9775</v>
      </c>
      <c r="R38" s="285">
        <f t="shared" si="36"/>
        <v>1142160</v>
      </c>
      <c r="S38" s="282">
        <f t="shared" si="36"/>
        <v>10890</v>
      </c>
      <c r="T38" s="285">
        <f t="shared" si="36"/>
        <v>1249840</v>
      </c>
      <c r="U38" s="285">
        <f t="shared" si="36"/>
        <v>12265</v>
      </c>
      <c r="V38" s="285">
        <f t="shared" si="36"/>
        <v>1399920</v>
      </c>
      <c r="W38" s="282">
        <f t="shared" si="36"/>
        <v>13780</v>
      </c>
      <c r="X38" s="285">
        <f t="shared" si="36"/>
        <v>1614200</v>
      </c>
      <c r="Y38" s="282">
        <f t="shared" si="36"/>
        <v>15130</v>
      </c>
      <c r="Z38" s="285">
        <f t="shared" si="36"/>
        <v>1766980</v>
      </c>
      <c r="AA38" s="282">
        <f t="shared" si="36"/>
        <v>16520</v>
      </c>
      <c r="AB38" s="285">
        <f t="shared" si="36"/>
        <v>1918560</v>
      </c>
      <c r="AC38" s="304" t="s">
        <v>238</v>
      </c>
      <c r="AD38" s="305">
        <f>AD37+AD28</f>
        <v>12902940</v>
      </c>
    </row>
    <row r="39" spans="2:32" s="41" customFormat="1" ht="13.5" thickBot="1" x14ac:dyDescent="0.25">
      <c r="AC39" s="10"/>
    </row>
    <row r="40" spans="2:32" s="41" customFormat="1" ht="13.5" thickBot="1" x14ac:dyDescent="0.25">
      <c r="B40" s="88" t="s">
        <v>156</v>
      </c>
      <c r="E40" s="503" t="s">
        <v>25</v>
      </c>
      <c r="F40" s="478"/>
      <c r="G40" s="479" t="s">
        <v>26</v>
      </c>
      <c r="H40" s="478"/>
      <c r="I40" s="477" t="s">
        <v>27</v>
      </c>
      <c r="J40" s="478"/>
      <c r="K40" s="479" t="s">
        <v>28</v>
      </c>
      <c r="L40" s="478"/>
      <c r="M40" s="477" t="s">
        <v>29</v>
      </c>
      <c r="N40" s="478"/>
      <c r="O40" s="477" t="s">
        <v>30</v>
      </c>
      <c r="P40" s="478"/>
      <c r="Q40" s="479" t="s">
        <v>31</v>
      </c>
      <c r="R40" s="478"/>
      <c r="S40" s="477" t="s">
        <v>32</v>
      </c>
      <c r="T40" s="478"/>
      <c r="U40" s="479" t="s">
        <v>33</v>
      </c>
      <c r="V40" s="478"/>
      <c r="W40" s="477" t="s">
        <v>34</v>
      </c>
      <c r="X40" s="478"/>
      <c r="Y40" s="477" t="s">
        <v>35</v>
      </c>
      <c r="Z40" s="478"/>
      <c r="AA40" s="479" t="s">
        <v>36</v>
      </c>
      <c r="AB40" s="478"/>
      <c r="AC40" s="80" t="s">
        <v>43</v>
      </c>
    </row>
    <row r="41" spans="2:32" s="53" customFormat="1" x14ac:dyDescent="0.2">
      <c r="B41" s="84" t="s">
        <v>60</v>
      </c>
      <c r="E41" s="473"/>
      <c r="F41" s="471"/>
      <c r="G41" s="470"/>
      <c r="H41" s="471"/>
      <c r="I41" s="470"/>
      <c r="J41" s="471"/>
      <c r="K41" s="470"/>
      <c r="L41" s="471"/>
      <c r="M41" s="470"/>
      <c r="N41" s="471"/>
      <c r="O41" s="470"/>
      <c r="P41" s="471"/>
      <c r="Q41" s="470">
        <v>1</v>
      </c>
      <c r="R41" s="471"/>
      <c r="S41" s="470"/>
      <c r="T41" s="471"/>
      <c r="U41" s="470"/>
      <c r="V41" s="471"/>
      <c r="W41" s="470"/>
      <c r="X41" s="471"/>
      <c r="Y41" s="470"/>
      <c r="Z41" s="471"/>
      <c r="AA41" s="470"/>
      <c r="AB41" s="471"/>
      <c r="AC41" s="81">
        <f t="shared" ref="AC41:AC43" si="37">SUM(E41:AB41)</f>
        <v>1</v>
      </c>
    </row>
    <row r="42" spans="2:32" s="41" customFormat="1" x14ac:dyDescent="0.2">
      <c r="B42" s="85" t="s">
        <v>20</v>
      </c>
      <c r="E42" s="472"/>
      <c r="F42" s="471"/>
      <c r="G42" s="471"/>
      <c r="H42" s="471"/>
      <c r="I42" s="471"/>
      <c r="J42" s="471"/>
      <c r="K42" s="470"/>
      <c r="L42" s="471"/>
      <c r="M42" s="471"/>
      <c r="N42" s="471"/>
      <c r="O42" s="470"/>
      <c r="P42" s="471"/>
      <c r="Q42" s="470">
        <v>1</v>
      </c>
      <c r="R42" s="471"/>
      <c r="S42" s="470"/>
      <c r="T42" s="471"/>
      <c r="U42" s="470"/>
      <c r="V42" s="471"/>
      <c r="W42" s="470"/>
      <c r="X42" s="471"/>
      <c r="Y42" s="470"/>
      <c r="Z42" s="471"/>
      <c r="AA42" s="470"/>
      <c r="AB42" s="471"/>
      <c r="AC42" s="81">
        <f t="shared" si="37"/>
        <v>1</v>
      </c>
    </row>
    <row r="43" spans="2:32" s="41" customFormat="1" ht="13.5" thickBot="1" x14ac:dyDescent="0.25">
      <c r="B43" s="86" t="s">
        <v>21</v>
      </c>
      <c r="E43" s="474"/>
      <c r="F43" s="475"/>
      <c r="G43" s="475"/>
      <c r="H43" s="475"/>
      <c r="I43" s="475"/>
      <c r="J43" s="475"/>
      <c r="K43" s="476"/>
      <c r="L43" s="475"/>
      <c r="M43" s="475"/>
      <c r="N43" s="475"/>
      <c r="O43" s="476"/>
      <c r="P43" s="475"/>
      <c r="Q43" s="476">
        <v>1</v>
      </c>
      <c r="R43" s="475"/>
      <c r="S43" s="476"/>
      <c r="T43" s="475"/>
      <c r="U43" s="476"/>
      <c r="V43" s="475"/>
      <c r="W43" s="476"/>
      <c r="X43" s="475"/>
      <c r="Y43" s="476"/>
      <c r="Z43" s="475"/>
      <c r="AA43" s="476"/>
      <c r="AB43" s="475"/>
      <c r="AC43" s="82">
        <f t="shared" si="37"/>
        <v>1</v>
      </c>
    </row>
    <row r="44" spans="2:32" ht="13.5" thickBot="1" x14ac:dyDescent="0.25"/>
    <row r="45" spans="2:32" s="249" customFormat="1" ht="13.5" thickBot="1" x14ac:dyDescent="0.25">
      <c r="E45" s="480" t="s">
        <v>39</v>
      </c>
      <c r="F45" s="481"/>
      <c r="G45" s="481"/>
      <c r="H45" s="481"/>
      <c r="I45" s="481"/>
      <c r="J45" s="481"/>
      <c r="K45" s="481"/>
      <c r="L45" s="481"/>
      <c r="M45" s="481"/>
      <c r="N45" s="481"/>
      <c r="O45" s="481"/>
      <c r="P45" s="481"/>
      <c r="Q45" s="481"/>
      <c r="R45" s="481"/>
      <c r="S45" s="481"/>
      <c r="T45" s="481"/>
      <c r="U45" s="481"/>
      <c r="V45" s="481"/>
      <c r="W45" s="481"/>
      <c r="X45" s="481"/>
      <c r="Y45" s="481"/>
      <c r="Z45" s="481"/>
      <c r="AA45" s="481"/>
      <c r="AB45" s="482"/>
    </row>
    <row r="46" spans="2:32" s="249" customFormat="1" ht="13.5" thickBot="1" x14ac:dyDescent="0.25">
      <c r="E46" s="483" t="s">
        <v>25</v>
      </c>
      <c r="F46" s="484"/>
      <c r="G46" s="483" t="s">
        <v>26</v>
      </c>
      <c r="H46" s="484"/>
      <c r="I46" s="485" t="s">
        <v>27</v>
      </c>
      <c r="J46" s="486"/>
      <c r="K46" s="483" t="s">
        <v>28</v>
      </c>
      <c r="L46" s="484"/>
      <c r="M46" s="485" t="s">
        <v>29</v>
      </c>
      <c r="N46" s="486"/>
      <c r="O46" s="483" t="s">
        <v>30</v>
      </c>
      <c r="P46" s="484"/>
      <c r="Q46" s="483" t="s">
        <v>31</v>
      </c>
      <c r="R46" s="484"/>
      <c r="S46" s="483" t="s">
        <v>32</v>
      </c>
      <c r="T46" s="484"/>
      <c r="U46" s="485" t="s">
        <v>33</v>
      </c>
      <c r="V46" s="486"/>
      <c r="W46" s="483" t="s">
        <v>34</v>
      </c>
      <c r="X46" s="484"/>
      <c r="Y46" s="483" t="s">
        <v>35</v>
      </c>
      <c r="Z46" s="484"/>
      <c r="AA46" s="483" t="s">
        <v>36</v>
      </c>
      <c r="AB46" s="484"/>
      <c r="AC46" s="504" t="s">
        <v>155</v>
      </c>
      <c r="AD46" s="505"/>
      <c r="AE46" s="14"/>
      <c r="AF46" s="14"/>
    </row>
    <row r="47" spans="2:32" s="249" customFormat="1" ht="13.5" thickBot="1" x14ac:dyDescent="0.25">
      <c r="B47" s="266" t="s">
        <v>185</v>
      </c>
      <c r="C47" s="269" t="s">
        <v>153</v>
      </c>
      <c r="D47" s="269" t="s">
        <v>154</v>
      </c>
      <c r="E47" s="269" t="s">
        <v>183</v>
      </c>
      <c r="F47" s="269" t="s">
        <v>37</v>
      </c>
      <c r="G47" s="269" t="s">
        <v>183</v>
      </c>
      <c r="H47" s="269" t="s">
        <v>37</v>
      </c>
      <c r="I47" s="269" t="s">
        <v>183</v>
      </c>
      <c r="J47" s="269" t="s">
        <v>37</v>
      </c>
      <c r="K47" s="269" t="s">
        <v>183</v>
      </c>
      <c r="L47" s="269" t="s">
        <v>37</v>
      </c>
      <c r="M47" s="269" t="s">
        <v>183</v>
      </c>
      <c r="N47" s="269" t="s">
        <v>37</v>
      </c>
      <c r="O47" s="269" t="s">
        <v>183</v>
      </c>
      <c r="P47" s="269" t="s">
        <v>37</v>
      </c>
      <c r="Q47" s="269" t="s">
        <v>183</v>
      </c>
      <c r="R47" s="269" t="s">
        <v>37</v>
      </c>
      <c r="S47" s="269" t="s">
        <v>183</v>
      </c>
      <c r="T47" s="269" t="s">
        <v>37</v>
      </c>
      <c r="U47" s="269" t="s">
        <v>183</v>
      </c>
      <c r="V47" s="269" t="s">
        <v>37</v>
      </c>
      <c r="W47" s="269" t="s">
        <v>183</v>
      </c>
      <c r="X47" s="269" t="s">
        <v>37</v>
      </c>
      <c r="Y47" s="269" t="s">
        <v>183</v>
      </c>
      <c r="Z47" s="269" t="s">
        <v>37</v>
      </c>
      <c r="AA47" s="269" t="s">
        <v>183</v>
      </c>
      <c r="AB47" s="269" t="s">
        <v>37</v>
      </c>
      <c r="AC47" s="299" t="s">
        <v>240</v>
      </c>
      <c r="AD47" s="318" t="s">
        <v>239</v>
      </c>
      <c r="AE47" s="1"/>
      <c r="AF47" s="1"/>
    </row>
    <row r="48" spans="2:32" s="249" customFormat="1" x14ac:dyDescent="0.2">
      <c r="B48" s="272" t="s">
        <v>157</v>
      </c>
      <c r="C48" s="273">
        <f>'Modelo de ingresos'!D42</f>
        <v>0</v>
      </c>
      <c r="D48" s="274">
        <f>Hipótesis!I46</f>
        <v>80</v>
      </c>
      <c r="E48" s="275">
        <v>8613</v>
      </c>
      <c r="F48" s="276">
        <f t="shared" ref="F48:F50" si="38">$D48*E48</f>
        <v>689040</v>
      </c>
      <c r="G48" s="275">
        <v>9000</v>
      </c>
      <c r="H48" s="276">
        <f t="shared" ref="H48:H50" si="39">$D48*G48</f>
        <v>720000</v>
      </c>
      <c r="I48" s="275">
        <v>9400</v>
      </c>
      <c r="J48" s="276">
        <f t="shared" ref="J48:J50" si="40">$D48*I48</f>
        <v>752000</v>
      </c>
      <c r="K48" s="275">
        <v>9792</v>
      </c>
      <c r="L48" s="276">
        <f t="shared" ref="L48:L50" si="41">$D48*K48</f>
        <v>783360</v>
      </c>
      <c r="M48" s="275">
        <v>10185</v>
      </c>
      <c r="N48" s="276">
        <f t="shared" ref="N48:N50" si="42">$D48*M48</f>
        <v>814800</v>
      </c>
      <c r="O48" s="275">
        <v>10578</v>
      </c>
      <c r="P48" s="276">
        <f t="shared" ref="P48:P50" si="43">$D48*O48</f>
        <v>846240</v>
      </c>
      <c r="Q48" s="275">
        <v>10971</v>
      </c>
      <c r="R48" s="276">
        <f t="shared" ref="R48:R50" si="44">$D48*Q48</f>
        <v>877680</v>
      </c>
      <c r="S48" s="275">
        <v>11364</v>
      </c>
      <c r="T48" s="276">
        <f t="shared" ref="T48:T50" si="45">$D48*S48</f>
        <v>909120</v>
      </c>
      <c r="U48" s="275">
        <v>11757</v>
      </c>
      <c r="V48" s="276">
        <f t="shared" ref="V48:V50" si="46">$D48*U48</f>
        <v>940560</v>
      </c>
      <c r="W48" s="275">
        <v>12150</v>
      </c>
      <c r="X48" s="276">
        <f t="shared" ref="X48:X50" si="47">$D48*W48</f>
        <v>972000</v>
      </c>
      <c r="Y48" s="275">
        <v>12543</v>
      </c>
      <c r="Z48" s="276">
        <f t="shared" ref="Z48:Z50" si="48">$D48*Y48</f>
        <v>1003440</v>
      </c>
      <c r="AA48" s="275">
        <v>12936</v>
      </c>
      <c r="AB48" s="276">
        <f t="shared" ref="AB48:AB50" si="49">$D48*AA48</f>
        <v>1034880</v>
      </c>
      <c r="AC48" s="275">
        <f>AA48</f>
        <v>12936</v>
      </c>
      <c r="AD48" s="296">
        <f>F48+H48+J48+L48+N48+P48+R48+T48+V48+X48+Z48+AB48</f>
        <v>10343120</v>
      </c>
      <c r="AE48" s="1"/>
      <c r="AF48" s="1"/>
    </row>
    <row r="49" spans="2:32" s="249" customFormat="1" x14ac:dyDescent="0.2">
      <c r="B49" s="194" t="s">
        <v>158</v>
      </c>
      <c r="C49" s="90">
        <f>'Modelo de ingresos'!D43</f>
        <v>0</v>
      </c>
      <c r="D49" s="91">
        <f>Hipótesis!I47</f>
        <v>125</v>
      </c>
      <c r="E49" s="92">
        <v>5482</v>
      </c>
      <c r="F49" s="93">
        <f t="shared" si="38"/>
        <v>685250</v>
      </c>
      <c r="G49" s="92">
        <v>5732</v>
      </c>
      <c r="H49" s="93">
        <f t="shared" si="39"/>
        <v>716500</v>
      </c>
      <c r="I49" s="92">
        <v>5982</v>
      </c>
      <c r="J49" s="93">
        <f t="shared" si="40"/>
        <v>747750</v>
      </c>
      <c r="K49" s="92">
        <v>6232</v>
      </c>
      <c r="L49" s="93">
        <f t="shared" si="41"/>
        <v>779000</v>
      </c>
      <c r="M49" s="92">
        <v>6482</v>
      </c>
      <c r="N49" s="93">
        <f t="shared" si="42"/>
        <v>810250</v>
      </c>
      <c r="O49" s="92">
        <v>6732</v>
      </c>
      <c r="P49" s="93">
        <f t="shared" si="43"/>
        <v>841500</v>
      </c>
      <c r="Q49" s="92">
        <v>6982</v>
      </c>
      <c r="R49" s="93">
        <f t="shared" si="44"/>
        <v>872750</v>
      </c>
      <c r="S49" s="92">
        <v>7232</v>
      </c>
      <c r="T49" s="93">
        <f t="shared" si="45"/>
        <v>904000</v>
      </c>
      <c r="U49" s="92">
        <v>7482</v>
      </c>
      <c r="V49" s="93">
        <f t="shared" si="46"/>
        <v>935250</v>
      </c>
      <c r="W49" s="92">
        <v>7732</v>
      </c>
      <c r="X49" s="93">
        <f t="shared" si="47"/>
        <v>966500</v>
      </c>
      <c r="Y49" s="92">
        <v>7982</v>
      </c>
      <c r="Z49" s="93">
        <f t="shared" si="48"/>
        <v>997750</v>
      </c>
      <c r="AA49" s="92">
        <v>8232</v>
      </c>
      <c r="AB49" s="93">
        <f t="shared" si="49"/>
        <v>1029000</v>
      </c>
      <c r="AC49" s="92">
        <f>AA49</f>
        <v>8232</v>
      </c>
      <c r="AD49" s="196">
        <f t="shared" ref="AD49:AD50" si="50">F49+H49+J49+L49+N49+P49+R49+T49+V49+X49+Z49+AB49</f>
        <v>10285500</v>
      </c>
      <c r="AE49" s="1"/>
      <c r="AF49" s="1"/>
    </row>
    <row r="50" spans="2:32" s="249" customFormat="1" ht="13.5" thickBot="1" x14ac:dyDescent="0.25">
      <c r="B50" s="193" t="s">
        <v>159</v>
      </c>
      <c r="C50" s="277">
        <f>'Modelo de ingresos'!D44</f>
        <v>0</v>
      </c>
      <c r="D50" s="278">
        <f>Hipótesis!I48</f>
        <v>195</v>
      </c>
      <c r="E50" s="197">
        <v>1560</v>
      </c>
      <c r="F50" s="185">
        <f t="shared" si="38"/>
        <v>304200</v>
      </c>
      <c r="G50" s="197">
        <v>1632</v>
      </c>
      <c r="H50" s="185">
        <f t="shared" si="39"/>
        <v>318240</v>
      </c>
      <c r="I50" s="197">
        <v>1704</v>
      </c>
      <c r="J50" s="185">
        <f t="shared" si="40"/>
        <v>332280</v>
      </c>
      <c r="K50" s="197">
        <v>1776</v>
      </c>
      <c r="L50" s="185">
        <f t="shared" si="41"/>
        <v>346320</v>
      </c>
      <c r="M50" s="197">
        <v>1848</v>
      </c>
      <c r="N50" s="185">
        <f t="shared" si="42"/>
        <v>360360</v>
      </c>
      <c r="O50" s="197">
        <v>1920</v>
      </c>
      <c r="P50" s="185">
        <f t="shared" si="43"/>
        <v>374400</v>
      </c>
      <c r="Q50" s="197">
        <v>1992</v>
      </c>
      <c r="R50" s="185">
        <f t="shared" si="44"/>
        <v>388440</v>
      </c>
      <c r="S50" s="197">
        <v>2064</v>
      </c>
      <c r="T50" s="185">
        <f t="shared" si="45"/>
        <v>402480</v>
      </c>
      <c r="U50" s="197">
        <v>2136</v>
      </c>
      <c r="V50" s="185">
        <f t="shared" si="46"/>
        <v>416520</v>
      </c>
      <c r="W50" s="197">
        <v>2208</v>
      </c>
      <c r="X50" s="185">
        <f t="shared" si="47"/>
        <v>430560</v>
      </c>
      <c r="Y50" s="197">
        <v>2280</v>
      </c>
      <c r="Z50" s="185">
        <f t="shared" si="48"/>
        <v>444600</v>
      </c>
      <c r="AA50" s="197">
        <v>2352</v>
      </c>
      <c r="AB50" s="185">
        <f t="shared" si="49"/>
        <v>458640</v>
      </c>
      <c r="AC50" s="197">
        <f>AA50</f>
        <v>2352</v>
      </c>
      <c r="AD50" s="198">
        <f t="shared" si="50"/>
        <v>4577040</v>
      </c>
      <c r="AE50" s="1"/>
      <c r="AF50" s="1"/>
    </row>
    <row r="51" spans="2:32" s="249" customFormat="1" ht="13.5" thickBot="1" x14ac:dyDescent="0.25">
      <c r="B51" s="497" t="s">
        <v>234</v>
      </c>
      <c r="C51" s="498"/>
      <c r="D51" s="498"/>
      <c r="E51" s="294">
        <f t="shared" ref="E51:V51" si="51">SUM(E48:E50)</f>
        <v>15655</v>
      </c>
      <c r="F51" s="271">
        <f t="shared" si="51"/>
        <v>1678490</v>
      </c>
      <c r="G51" s="294">
        <f t="shared" si="51"/>
        <v>16364</v>
      </c>
      <c r="H51" s="271">
        <f t="shared" si="51"/>
        <v>1754740</v>
      </c>
      <c r="I51" s="294">
        <f t="shared" si="51"/>
        <v>17086</v>
      </c>
      <c r="J51" s="271">
        <f t="shared" si="51"/>
        <v>1832030</v>
      </c>
      <c r="K51" s="294">
        <f t="shared" si="51"/>
        <v>17800</v>
      </c>
      <c r="L51" s="271">
        <f t="shared" si="51"/>
        <v>1908680</v>
      </c>
      <c r="M51" s="294">
        <f t="shared" si="51"/>
        <v>18515</v>
      </c>
      <c r="N51" s="271">
        <f t="shared" si="51"/>
        <v>1985410</v>
      </c>
      <c r="O51" s="294">
        <f t="shared" si="51"/>
        <v>19230</v>
      </c>
      <c r="P51" s="271">
        <f t="shared" si="51"/>
        <v>2062140</v>
      </c>
      <c r="Q51" s="294">
        <f t="shared" si="51"/>
        <v>19945</v>
      </c>
      <c r="R51" s="271">
        <f t="shared" si="51"/>
        <v>2138870</v>
      </c>
      <c r="S51" s="294">
        <f t="shared" si="51"/>
        <v>20660</v>
      </c>
      <c r="T51" s="271">
        <f t="shared" si="51"/>
        <v>2215600</v>
      </c>
      <c r="U51" s="294">
        <f t="shared" si="51"/>
        <v>21375</v>
      </c>
      <c r="V51" s="271">
        <f t="shared" si="51"/>
        <v>2292330</v>
      </c>
      <c r="W51" s="294">
        <f t="shared" ref="W51" si="52">SUM(W48:W50)</f>
        <v>22090</v>
      </c>
      <c r="X51" s="271">
        <f t="shared" ref="X51" si="53">SUM(X48:X50)</f>
        <v>2369060</v>
      </c>
      <c r="Y51" s="294">
        <f t="shared" ref="Y51" si="54">SUM(Y48:Y50)</f>
        <v>22805</v>
      </c>
      <c r="Z51" s="271">
        <f t="shared" ref="Z51" si="55">SUM(Z48:Z50)</f>
        <v>2445790</v>
      </c>
      <c r="AA51" s="294">
        <f t="shared" ref="AA51" si="56">SUM(AA48:AA50)</f>
        <v>23520</v>
      </c>
      <c r="AB51" s="295">
        <f t="shared" ref="AB51" si="57">SUM(AB48:AB50)</f>
        <v>2522520</v>
      </c>
      <c r="AC51" s="294">
        <f>SUM(AC48:AC50)</f>
        <v>23520</v>
      </c>
      <c r="AD51" s="295">
        <f t="shared" ref="AD51" si="58">SUM(AD48:AD50)</f>
        <v>25205660</v>
      </c>
      <c r="AE51" s="1"/>
      <c r="AF51" s="1"/>
    </row>
    <row r="52" spans="2:32" s="249" customFormat="1" ht="13.5" thickBot="1" x14ac:dyDescent="0.25">
      <c r="B52" s="506"/>
      <c r="C52" s="507"/>
      <c r="D52" s="507"/>
      <c r="E52" s="507"/>
      <c r="F52" s="507"/>
      <c r="G52" s="507"/>
      <c r="H52" s="507"/>
      <c r="I52" s="507"/>
      <c r="J52" s="507"/>
      <c r="K52" s="507"/>
      <c r="L52" s="507"/>
      <c r="M52" s="507"/>
      <c r="N52" s="507"/>
      <c r="O52" s="507"/>
      <c r="P52" s="507"/>
      <c r="Q52" s="507"/>
      <c r="R52" s="507"/>
      <c r="S52" s="507"/>
      <c r="T52" s="507"/>
      <c r="U52" s="507"/>
      <c r="V52" s="507"/>
      <c r="W52" s="507"/>
      <c r="X52" s="507"/>
      <c r="Y52" s="507"/>
      <c r="Z52" s="507"/>
      <c r="AA52" s="507"/>
      <c r="AB52" s="507"/>
      <c r="AC52" s="507"/>
      <c r="AD52" s="508"/>
      <c r="AE52" s="1"/>
      <c r="AF52" s="1"/>
    </row>
    <row r="53" spans="2:32" s="249" customFormat="1" ht="13.5" thickBot="1" x14ac:dyDescent="0.25">
      <c r="B53" s="509" t="s">
        <v>49</v>
      </c>
      <c r="C53" s="510"/>
      <c r="D53" s="511"/>
      <c r="E53" s="279" t="s">
        <v>184</v>
      </c>
      <c r="F53" s="280" t="s">
        <v>37</v>
      </c>
      <c r="G53" s="280" t="s">
        <v>184</v>
      </c>
      <c r="H53" s="280" t="s">
        <v>37</v>
      </c>
      <c r="I53" s="280" t="s">
        <v>184</v>
      </c>
      <c r="J53" s="280" t="s">
        <v>37</v>
      </c>
      <c r="K53" s="280" t="s">
        <v>184</v>
      </c>
      <c r="L53" s="280" t="s">
        <v>37</v>
      </c>
      <c r="M53" s="280" t="s">
        <v>184</v>
      </c>
      <c r="N53" s="280" t="s">
        <v>37</v>
      </c>
      <c r="O53" s="280" t="s">
        <v>184</v>
      </c>
      <c r="P53" s="280" t="s">
        <v>37</v>
      </c>
      <c r="Q53" s="280" t="s">
        <v>184</v>
      </c>
      <c r="R53" s="280" t="s">
        <v>37</v>
      </c>
      <c r="S53" s="280" t="s">
        <v>184</v>
      </c>
      <c r="T53" s="280" t="s">
        <v>37</v>
      </c>
      <c r="U53" s="280" t="s">
        <v>184</v>
      </c>
      <c r="V53" s="280" t="s">
        <v>37</v>
      </c>
      <c r="W53" s="280" t="s">
        <v>184</v>
      </c>
      <c r="X53" s="280" t="s">
        <v>37</v>
      </c>
      <c r="Y53" s="280" t="s">
        <v>184</v>
      </c>
      <c r="Z53" s="280" t="s">
        <v>37</v>
      </c>
      <c r="AA53" s="280" t="s">
        <v>184</v>
      </c>
      <c r="AB53" s="281" t="s">
        <v>37</v>
      </c>
      <c r="AC53" s="301" t="s">
        <v>237</v>
      </c>
      <c r="AD53" s="300" t="s">
        <v>239</v>
      </c>
      <c r="AE53" s="1"/>
      <c r="AF53" s="1"/>
    </row>
    <row r="54" spans="2:32" s="249" customFormat="1" x14ac:dyDescent="0.2">
      <c r="B54" s="272" t="s">
        <v>168</v>
      </c>
      <c r="C54" s="273">
        <f>'Modelo de ingresos'!D47</f>
        <v>0</v>
      </c>
      <c r="D54" s="274">
        <f>Hipótesis!I49</f>
        <v>300</v>
      </c>
      <c r="E54" s="275">
        <v>185</v>
      </c>
      <c r="F54" s="276">
        <f t="shared" ref="F54:F59" si="59">$D54*E54</f>
        <v>55500</v>
      </c>
      <c r="G54" s="275">
        <v>185</v>
      </c>
      <c r="H54" s="276">
        <f t="shared" ref="H54:H59" si="60">$D54*G54</f>
        <v>55500</v>
      </c>
      <c r="I54" s="275">
        <v>185</v>
      </c>
      <c r="J54" s="276">
        <f t="shared" ref="J54:J59" si="61">$D54*I54</f>
        <v>55500</v>
      </c>
      <c r="K54" s="275">
        <v>185</v>
      </c>
      <c r="L54" s="276">
        <f t="shared" ref="L54:L59" si="62">$D54*K54</f>
        <v>55500</v>
      </c>
      <c r="M54" s="275">
        <v>185</v>
      </c>
      <c r="N54" s="276">
        <f t="shared" ref="N54:N59" si="63">$D54*M54</f>
        <v>55500</v>
      </c>
      <c r="O54" s="275">
        <v>185</v>
      </c>
      <c r="P54" s="276">
        <f t="shared" ref="P54:P59" si="64">$D54*O54</f>
        <v>55500</v>
      </c>
      <c r="Q54" s="275">
        <v>185</v>
      </c>
      <c r="R54" s="276">
        <f t="shared" ref="R54:R59" si="65">$D54*Q54</f>
        <v>55500</v>
      </c>
      <c r="S54" s="275">
        <v>185</v>
      </c>
      <c r="T54" s="276">
        <f t="shared" ref="T54:T59" si="66">$D54*S54</f>
        <v>55500</v>
      </c>
      <c r="U54" s="275">
        <v>185</v>
      </c>
      <c r="V54" s="276">
        <f t="shared" ref="V54:V59" si="67">$D54*U54</f>
        <v>55500</v>
      </c>
      <c r="W54" s="275">
        <v>185</v>
      </c>
      <c r="X54" s="276">
        <f t="shared" ref="X54:X59" si="68">$D54*W54</f>
        <v>55500</v>
      </c>
      <c r="Y54" s="275">
        <v>185</v>
      </c>
      <c r="Z54" s="276">
        <f t="shared" ref="Z54:Z59" si="69">$D54*Y54</f>
        <v>55500</v>
      </c>
      <c r="AA54" s="275">
        <v>185</v>
      </c>
      <c r="AB54" s="276">
        <f t="shared" ref="AB54:AB59" si="70">$D54*AA54</f>
        <v>55500</v>
      </c>
      <c r="AC54" s="275">
        <f>E54+G54+I54+K54+M54+O54+Q54+S54+U54+W54+Y54+AA54</f>
        <v>2220</v>
      </c>
      <c r="AD54" s="296">
        <f>F54+H54+J54+L54+N54+P54+R54+T54+V54+X54+Z54+AB54</f>
        <v>666000</v>
      </c>
      <c r="AE54" s="1"/>
      <c r="AF54" s="1"/>
    </row>
    <row r="55" spans="2:32" s="249" customFormat="1" x14ac:dyDescent="0.2">
      <c r="B55" s="194" t="s">
        <v>170</v>
      </c>
      <c r="C55" s="90">
        <f>'Modelo de ingresos'!D48</f>
        <v>0</v>
      </c>
      <c r="D55" s="91">
        <f>Hipótesis!I50</f>
        <v>160</v>
      </c>
      <c r="E55" s="92">
        <v>185</v>
      </c>
      <c r="F55" s="93">
        <f t="shared" si="59"/>
        <v>29600</v>
      </c>
      <c r="G55" s="92">
        <v>185</v>
      </c>
      <c r="H55" s="93">
        <f t="shared" si="60"/>
        <v>29600</v>
      </c>
      <c r="I55" s="92">
        <v>185</v>
      </c>
      <c r="J55" s="93">
        <f t="shared" si="61"/>
        <v>29600</v>
      </c>
      <c r="K55" s="92">
        <v>185</v>
      </c>
      <c r="L55" s="93">
        <f t="shared" si="62"/>
        <v>29600</v>
      </c>
      <c r="M55" s="92">
        <v>185</v>
      </c>
      <c r="N55" s="93">
        <f t="shared" si="63"/>
        <v>29600</v>
      </c>
      <c r="O55" s="92">
        <v>185</v>
      </c>
      <c r="P55" s="93">
        <f t="shared" si="64"/>
        <v>29600</v>
      </c>
      <c r="Q55" s="92">
        <v>185</v>
      </c>
      <c r="R55" s="93">
        <f t="shared" si="65"/>
        <v>29600</v>
      </c>
      <c r="S55" s="92">
        <v>185</v>
      </c>
      <c r="T55" s="93">
        <f t="shared" si="66"/>
        <v>29600</v>
      </c>
      <c r="U55" s="92">
        <v>185</v>
      </c>
      <c r="V55" s="93">
        <f t="shared" si="67"/>
        <v>29600</v>
      </c>
      <c r="W55" s="92">
        <v>185</v>
      </c>
      <c r="X55" s="93">
        <f t="shared" si="68"/>
        <v>29600</v>
      </c>
      <c r="Y55" s="92">
        <v>185</v>
      </c>
      <c r="Z55" s="93">
        <f t="shared" si="69"/>
        <v>29600</v>
      </c>
      <c r="AA55" s="92">
        <v>185</v>
      </c>
      <c r="AB55" s="93">
        <f t="shared" si="70"/>
        <v>29600</v>
      </c>
      <c r="AC55" s="92">
        <f t="shared" ref="AC55:AC59" si="71">E55+G55+I55+K55+M55+O55+Q55+S55+U55+W55+Y55+AA55</f>
        <v>2220</v>
      </c>
      <c r="AD55" s="196">
        <f t="shared" ref="AD55:AD59" si="72">F55+H55+J55+L55+N55+P55+R55+T55+V55+X55+Z55+AB55</f>
        <v>355200</v>
      </c>
      <c r="AE55" s="1"/>
      <c r="AF55" s="1"/>
    </row>
    <row r="56" spans="2:32" s="249" customFormat="1" x14ac:dyDescent="0.2">
      <c r="B56" s="194" t="s">
        <v>169</v>
      </c>
      <c r="C56" s="90">
        <f>'Modelo de ingresos'!D49</f>
        <v>0</v>
      </c>
      <c r="D56" s="91">
        <f>Hipótesis!I51</f>
        <v>160</v>
      </c>
      <c r="E56" s="92">
        <v>170</v>
      </c>
      <c r="F56" s="93">
        <f t="shared" si="59"/>
        <v>27200</v>
      </c>
      <c r="G56" s="92">
        <v>170</v>
      </c>
      <c r="H56" s="93">
        <f t="shared" si="60"/>
        <v>27200</v>
      </c>
      <c r="I56" s="92">
        <v>170</v>
      </c>
      <c r="J56" s="93">
        <f t="shared" si="61"/>
        <v>27200</v>
      </c>
      <c r="K56" s="92">
        <v>170</v>
      </c>
      <c r="L56" s="93">
        <f t="shared" si="62"/>
        <v>27200</v>
      </c>
      <c r="M56" s="92">
        <v>170</v>
      </c>
      <c r="N56" s="93">
        <f t="shared" si="63"/>
        <v>27200</v>
      </c>
      <c r="O56" s="92">
        <v>170</v>
      </c>
      <c r="P56" s="93">
        <f t="shared" si="64"/>
        <v>27200</v>
      </c>
      <c r="Q56" s="92">
        <v>170</v>
      </c>
      <c r="R56" s="93">
        <f t="shared" si="65"/>
        <v>27200</v>
      </c>
      <c r="S56" s="92">
        <v>170</v>
      </c>
      <c r="T56" s="93">
        <f t="shared" si="66"/>
        <v>27200</v>
      </c>
      <c r="U56" s="92">
        <v>170</v>
      </c>
      <c r="V56" s="93">
        <f t="shared" si="67"/>
        <v>27200</v>
      </c>
      <c r="W56" s="92">
        <v>170</v>
      </c>
      <c r="X56" s="93">
        <f t="shared" si="68"/>
        <v>27200</v>
      </c>
      <c r="Y56" s="92">
        <v>170</v>
      </c>
      <c r="Z56" s="93">
        <f t="shared" si="69"/>
        <v>27200</v>
      </c>
      <c r="AA56" s="92">
        <v>170</v>
      </c>
      <c r="AB56" s="93">
        <f t="shared" si="70"/>
        <v>27200</v>
      </c>
      <c r="AC56" s="92">
        <f t="shared" si="71"/>
        <v>2040</v>
      </c>
      <c r="AD56" s="196">
        <f t="shared" si="72"/>
        <v>326400</v>
      </c>
      <c r="AE56" s="1"/>
      <c r="AF56" s="1"/>
    </row>
    <row r="57" spans="2:32" s="249" customFormat="1" x14ac:dyDescent="0.2">
      <c r="B57" s="194" t="s">
        <v>171</v>
      </c>
      <c r="C57" s="90">
        <f>'Modelo de ingresos'!D50</f>
        <v>0</v>
      </c>
      <c r="D57" s="91">
        <f>Hipótesis!I52</f>
        <v>360</v>
      </c>
      <c r="E57" s="92">
        <v>100</v>
      </c>
      <c r="F57" s="93">
        <f t="shared" si="59"/>
        <v>36000</v>
      </c>
      <c r="G57" s="92">
        <v>100</v>
      </c>
      <c r="H57" s="93">
        <f t="shared" si="60"/>
        <v>36000</v>
      </c>
      <c r="I57" s="92">
        <v>100</v>
      </c>
      <c r="J57" s="93">
        <f t="shared" si="61"/>
        <v>36000</v>
      </c>
      <c r="K57" s="92">
        <v>100</v>
      </c>
      <c r="L57" s="93">
        <f t="shared" si="62"/>
        <v>36000</v>
      </c>
      <c r="M57" s="92">
        <v>100</v>
      </c>
      <c r="N57" s="93">
        <f t="shared" si="63"/>
        <v>36000</v>
      </c>
      <c r="O57" s="92">
        <v>100</v>
      </c>
      <c r="P57" s="93">
        <f t="shared" si="64"/>
        <v>36000</v>
      </c>
      <c r="Q57" s="92">
        <v>100</v>
      </c>
      <c r="R57" s="93">
        <f t="shared" si="65"/>
        <v>36000</v>
      </c>
      <c r="S57" s="92">
        <v>100</v>
      </c>
      <c r="T57" s="93">
        <f t="shared" si="66"/>
        <v>36000</v>
      </c>
      <c r="U57" s="92">
        <v>100</v>
      </c>
      <c r="V57" s="93">
        <f t="shared" si="67"/>
        <v>36000</v>
      </c>
      <c r="W57" s="92">
        <v>100</v>
      </c>
      <c r="X57" s="93">
        <f t="shared" si="68"/>
        <v>36000</v>
      </c>
      <c r="Y57" s="92">
        <v>100</v>
      </c>
      <c r="Z57" s="93">
        <f t="shared" si="69"/>
        <v>36000</v>
      </c>
      <c r="AA57" s="92">
        <v>100</v>
      </c>
      <c r="AB57" s="93">
        <f t="shared" si="70"/>
        <v>36000</v>
      </c>
      <c r="AC57" s="92">
        <f t="shared" si="71"/>
        <v>1200</v>
      </c>
      <c r="AD57" s="196">
        <f t="shared" si="72"/>
        <v>432000</v>
      </c>
      <c r="AE57" s="1"/>
      <c r="AF57" s="1"/>
    </row>
    <row r="58" spans="2:32" s="249" customFormat="1" x14ac:dyDescent="0.2">
      <c r="B58" s="194" t="s">
        <v>172</v>
      </c>
      <c r="C58" s="90">
        <f>'Modelo de ingresos'!D51</f>
        <v>0</v>
      </c>
      <c r="D58" s="91">
        <f>Hipótesis!I53</f>
        <v>80</v>
      </c>
      <c r="E58" s="92">
        <v>70</v>
      </c>
      <c r="F58" s="93">
        <f t="shared" si="59"/>
        <v>5600</v>
      </c>
      <c r="G58" s="92">
        <v>70</v>
      </c>
      <c r="H58" s="93">
        <f t="shared" si="60"/>
        <v>5600</v>
      </c>
      <c r="I58" s="92">
        <v>70</v>
      </c>
      <c r="J58" s="93">
        <f t="shared" si="61"/>
        <v>5600</v>
      </c>
      <c r="K58" s="92">
        <v>70</v>
      </c>
      <c r="L58" s="93">
        <f t="shared" si="62"/>
        <v>5600</v>
      </c>
      <c r="M58" s="92">
        <v>70</v>
      </c>
      <c r="N58" s="93">
        <f t="shared" si="63"/>
        <v>5600</v>
      </c>
      <c r="O58" s="92">
        <v>70</v>
      </c>
      <c r="P58" s="93">
        <f t="shared" si="64"/>
        <v>5600</v>
      </c>
      <c r="Q58" s="92">
        <v>70</v>
      </c>
      <c r="R58" s="93">
        <f t="shared" si="65"/>
        <v>5600</v>
      </c>
      <c r="S58" s="92">
        <v>70</v>
      </c>
      <c r="T58" s="93">
        <f t="shared" si="66"/>
        <v>5600</v>
      </c>
      <c r="U58" s="92">
        <v>70</v>
      </c>
      <c r="V58" s="93">
        <f t="shared" si="67"/>
        <v>5600</v>
      </c>
      <c r="W58" s="92">
        <v>70</v>
      </c>
      <c r="X58" s="93">
        <f t="shared" si="68"/>
        <v>5600</v>
      </c>
      <c r="Y58" s="92">
        <v>70</v>
      </c>
      <c r="Z58" s="93">
        <f t="shared" si="69"/>
        <v>5600</v>
      </c>
      <c r="AA58" s="92">
        <v>70</v>
      </c>
      <c r="AB58" s="93">
        <f t="shared" si="70"/>
        <v>5600</v>
      </c>
      <c r="AC58" s="92">
        <f t="shared" si="71"/>
        <v>840</v>
      </c>
      <c r="AD58" s="196">
        <f t="shared" si="72"/>
        <v>67200</v>
      </c>
      <c r="AE58" s="1"/>
      <c r="AF58" s="1"/>
    </row>
    <row r="59" spans="2:32" s="249" customFormat="1" ht="13.5" thickBot="1" x14ac:dyDescent="0.25">
      <c r="B59" s="193" t="s">
        <v>173</v>
      </c>
      <c r="C59" s="277">
        <f>'Modelo de ingresos'!D52</f>
        <v>0</v>
      </c>
      <c r="D59" s="278">
        <f>Hipótesis!I54</f>
        <v>80</v>
      </c>
      <c r="E59" s="197">
        <v>120</v>
      </c>
      <c r="F59" s="185">
        <f t="shared" si="59"/>
        <v>9600</v>
      </c>
      <c r="G59" s="197">
        <v>120</v>
      </c>
      <c r="H59" s="185">
        <f t="shared" si="60"/>
        <v>9600</v>
      </c>
      <c r="I59" s="197">
        <v>120</v>
      </c>
      <c r="J59" s="185">
        <f t="shared" si="61"/>
        <v>9600</v>
      </c>
      <c r="K59" s="197">
        <v>120</v>
      </c>
      <c r="L59" s="185">
        <f t="shared" si="62"/>
        <v>9600</v>
      </c>
      <c r="M59" s="197">
        <v>120</v>
      </c>
      <c r="N59" s="185">
        <f t="shared" si="63"/>
        <v>9600</v>
      </c>
      <c r="O59" s="197">
        <v>120</v>
      </c>
      <c r="P59" s="185">
        <f t="shared" si="64"/>
        <v>9600</v>
      </c>
      <c r="Q59" s="197">
        <v>120</v>
      </c>
      <c r="R59" s="185">
        <f t="shared" si="65"/>
        <v>9600</v>
      </c>
      <c r="S59" s="197">
        <v>120</v>
      </c>
      <c r="T59" s="185">
        <f t="shared" si="66"/>
        <v>9600</v>
      </c>
      <c r="U59" s="197">
        <v>120</v>
      </c>
      <c r="V59" s="185">
        <f t="shared" si="67"/>
        <v>9600</v>
      </c>
      <c r="W59" s="197">
        <v>120</v>
      </c>
      <c r="X59" s="185">
        <f t="shared" si="68"/>
        <v>9600</v>
      </c>
      <c r="Y59" s="197">
        <v>120</v>
      </c>
      <c r="Z59" s="185">
        <f t="shared" si="69"/>
        <v>9600</v>
      </c>
      <c r="AA59" s="197">
        <v>120</v>
      </c>
      <c r="AB59" s="185">
        <f t="shared" si="70"/>
        <v>9600</v>
      </c>
      <c r="AC59" s="197">
        <f t="shared" si="71"/>
        <v>1440</v>
      </c>
      <c r="AD59" s="198">
        <f t="shared" si="72"/>
        <v>115200</v>
      </c>
      <c r="AE59" s="1"/>
      <c r="AF59" s="1"/>
    </row>
    <row r="60" spans="2:32" s="249" customFormat="1" ht="13.5" thickBot="1" x14ac:dyDescent="0.25">
      <c r="B60" s="512" t="s">
        <v>235</v>
      </c>
      <c r="C60" s="513"/>
      <c r="D60" s="513"/>
      <c r="E60" s="297">
        <f t="shared" ref="E60:U60" si="73">SUM(E54:E59)</f>
        <v>830</v>
      </c>
      <c r="F60" s="298">
        <f t="shared" si="73"/>
        <v>163500</v>
      </c>
      <c r="G60" s="297">
        <f t="shared" si="73"/>
        <v>830</v>
      </c>
      <c r="H60" s="298">
        <f t="shared" si="73"/>
        <v>163500</v>
      </c>
      <c r="I60" s="297">
        <f t="shared" si="73"/>
        <v>830</v>
      </c>
      <c r="J60" s="298">
        <f t="shared" si="73"/>
        <v>163500</v>
      </c>
      <c r="K60" s="297">
        <f t="shared" si="73"/>
        <v>830</v>
      </c>
      <c r="L60" s="298">
        <f t="shared" si="73"/>
        <v>163500</v>
      </c>
      <c r="M60" s="297">
        <f t="shared" si="73"/>
        <v>830</v>
      </c>
      <c r="N60" s="298">
        <f t="shared" si="73"/>
        <v>163500</v>
      </c>
      <c r="O60" s="297">
        <f t="shared" si="73"/>
        <v>830</v>
      </c>
      <c r="P60" s="298">
        <f t="shared" si="73"/>
        <v>163500</v>
      </c>
      <c r="Q60" s="297">
        <f t="shared" si="73"/>
        <v>830</v>
      </c>
      <c r="R60" s="298">
        <f t="shared" si="73"/>
        <v>163500</v>
      </c>
      <c r="S60" s="297">
        <f t="shared" si="73"/>
        <v>830</v>
      </c>
      <c r="T60" s="298">
        <f t="shared" si="73"/>
        <v>163500</v>
      </c>
      <c r="U60" s="297">
        <f t="shared" si="73"/>
        <v>830</v>
      </c>
      <c r="V60" s="298">
        <f t="shared" ref="V60" si="74">SUM(V54:V59)</f>
        <v>163500</v>
      </c>
      <c r="W60" s="297">
        <f t="shared" ref="W60" si="75">SUM(W54:W59)</f>
        <v>830</v>
      </c>
      <c r="X60" s="298">
        <f t="shared" ref="X60" si="76">SUM(X54:X59)</f>
        <v>163500</v>
      </c>
      <c r="Y60" s="297">
        <f t="shared" ref="Y60" si="77">SUM(Y54:Y59)</f>
        <v>830</v>
      </c>
      <c r="Z60" s="298">
        <f t="shared" ref="Z60" si="78">SUM(Z54:Z59)</f>
        <v>163500</v>
      </c>
      <c r="AA60" s="297">
        <f t="shared" ref="AA60" si="79">SUM(AA54:AA59)</f>
        <v>830</v>
      </c>
      <c r="AB60" s="298">
        <f t="shared" ref="AB60" si="80">SUM(AB54:AB59)</f>
        <v>163500</v>
      </c>
      <c r="AC60" s="297">
        <f>SUM(AC54:AC59)</f>
        <v>9960</v>
      </c>
      <c r="AD60" s="319">
        <f>SUM(AD54:AD59)</f>
        <v>1962000</v>
      </c>
      <c r="AE60" s="1"/>
      <c r="AF60" s="1"/>
    </row>
    <row r="61" spans="2:32" s="249" customFormat="1" ht="13.5" thickBot="1" x14ac:dyDescent="0.25">
      <c r="B61" s="291" t="s">
        <v>43</v>
      </c>
      <c r="C61" s="292">
        <f>SUM(C48:C59)</f>
        <v>0</v>
      </c>
      <c r="D61" s="293"/>
      <c r="E61" s="294">
        <f>E51+E60</f>
        <v>16485</v>
      </c>
      <c r="F61" s="293">
        <f>F51+F60</f>
        <v>1841990</v>
      </c>
      <c r="G61" s="294">
        <f t="shared" ref="G61:AB61" si="81">G60+G51</f>
        <v>17194</v>
      </c>
      <c r="H61" s="293">
        <f t="shared" si="81"/>
        <v>1918240</v>
      </c>
      <c r="I61" s="294">
        <f t="shared" si="81"/>
        <v>17916</v>
      </c>
      <c r="J61" s="293">
        <f t="shared" si="81"/>
        <v>1995530</v>
      </c>
      <c r="K61" s="294">
        <f t="shared" si="81"/>
        <v>18630</v>
      </c>
      <c r="L61" s="293">
        <f t="shared" si="81"/>
        <v>2072180</v>
      </c>
      <c r="M61" s="294">
        <f t="shared" si="81"/>
        <v>19345</v>
      </c>
      <c r="N61" s="293">
        <f t="shared" si="81"/>
        <v>2148910</v>
      </c>
      <c r="O61" s="294">
        <f t="shared" si="81"/>
        <v>20060</v>
      </c>
      <c r="P61" s="293">
        <f t="shared" si="81"/>
        <v>2225640</v>
      </c>
      <c r="Q61" s="294">
        <f t="shared" si="81"/>
        <v>20775</v>
      </c>
      <c r="R61" s="293">
        <f t="shared" si="81"/>
        <v>2302370</v>
      </c>
      <c r="S61" s="294">
        <f t="shared" si="81"/>
        <v>21490</v>
      </c>
      <c r="T61" s="293">
        <f t="shared" si="81"/>
        <v>2379100</v>
      </c>
      <c r="U61" s="293">
        <f t="shared" si="81"/>
        <v>22205</v>
      </c>
      <c r="V61" s="293">
        <f t="shared" si="81"/>
        <v>2455830</v>
      </c>
      <c r="W61" s="294">
        <f t="shared" si="81"/>
        <v>22920</v>
      </c>
      <c r="X61" s="293">
        <f t="shared" si="81"/>
        <v>2532560</v>
      </c>
      <c r="Y61" s="294">
        <f t="shared" si="81"/>
        <v>23635</v>
      </c>
      <c r="Z61" s="293">
        <f t="shared" si="81"/>
        <v>2609290</v>
      </c>
      <c r="AA61" s="294">
        <f t="shared" si="81"/>
        <v>24350</v>
      </c>
      <c r="AB61" s="293">
        <f t="shared" si="81"/>
        <v>2686020</v>
      </c>
      <c r="AC61" s="307" t="s">
        <v>241</v>
      </c>
      <c r="AD61" s="308">
        <f>AD60+AD51</f>
        <v>27167660</v>
      </c>
    </row>
    <row r="62" spans="2:32" s="249" customFormat="1" x14ac:dyDescent="0.2"/>
    <row r="63" spans="2:32" s="53" customFormat="1" ht="13.5" thickBot="1" x14ac:dyDescent="0.25">
      <c r="AC63" s="10"/>
    </row>
    <row r="64" spans="2:32" s="53" customFormat="1" ht="13.5" thickBot="1" x14ac:dyDescent="0.25">
      <c r="B64" s="88" t="s">
        <v>156</v>
      </c>
      <c r="E64" s="503" t="s">
        <v>25</v>
      </c>
      <c r="F64" s="478"/>
      <c r="G64" s="479" t="s">
        <v>26</v>
      </c>
      <c r="H64" s="478"/>
      <c r="I64" s="477" t="s">
        <v>27</v>
      </c>
      <c r="J64" s="478"/>
      <c r="K64" s="479" t="s">
        <v>28</v>
      </c>
      <c r="L64" s="478"/>
      <c r="M64" s="477" t="s">
        <v>29</v>
      </c>
      <c r="N64" s="478"/>
      <c r="O64" s="477" t="s">
        <v>30</v>
      </c>
      <c r="P64" s="478"/>
      <c r="Q64" s="479" t="s">
        <v>31</v>
      </c>
      <c r="R64" s="478"/>
      <c r="S64" s="477" t="s">
        <v>32</v>
      </c>
      <c r="T64" s="478"/>
      <c r="U64" s="479" t="s">
        <v>33</v>
      </c>
      <c r="V64" s="478"/>
      <c r="W64" s="477" t="s">
        <v>34</v>
      </c>
      <c r="X64" s="478"/>
      <c r="Y64" s="477" t="s">
        <v>35</v>
      </c>
      <c r="Z64" s="478"/>
      <c r="AA64" s="479" t="s">
        <v>36</v>
      </c>
      <c r="AB64" s="478"/>
      <c r="AC64" s="80" t="s">
        <v>43</v>
      </c>
    </row>
    <row r="65" spans="2:32" s="345" customFormat="1" x14ac:dyDescent="0.2">
      <c r="B65" s="87" t="s">
        <v>176</v>
      </c>
      <c r="E65" s="473">
        <v>1</v>
      </c>
      <c r="F65" s="471"/>
      <c r="G65" s="470"/>
      <c r="H65" s="471"/>
      <c r="I65" s="470"/>
      <c r="J65" s="471"/>
      <c r="K65" s="470"/>
      <c r="L65" s="471"/>
      <c r="M65" s="470"/>
      <c r="N65" s="471"/>
      <c r="O65" s="470"/>
      <c r="P65" s="471"/>
      <c r="Q65" s="470"/>
      <c r="R65" s="471"/>
      <c r="S65" s="470"/>
      <c r="T65" s="471"/>
      <c r="U65" s="470"/>
      <c r="V65" s="471"/>
      <c r="W65" s="470"/>
      <c r="X65" s="471"/>
      <c r="Y65" s="470"/>
      <c r="Z65" s="471"/>
      <c r="AA65" s="470"/>
      <c r="AB65" s="471"/>
      <c r="AC65" s="81">
        <v>1</v>
      </c>
    </row>
    <row r="66" spans="2:32" s="53" customFormat="1" x14ac:dyDescent="0.2">
      <c r="B66" s="87" t="s">
        <v>174</v>
      </c>
      <c r="E66" s="473"/>
      <c r="F66" s="471"/>
      <c r="G66" s="470"/>
      <c r="H66" s="471"/>
      <c r="I66" s="470"/>
      <c r="J66" s="471"/>
      <c r="K66" s="470"/>
      <c r="L66" s="471"/>
      <c r="M66" s="470"/>
      <c r="N66" s="471"/>
      <c r="O66" s="470"/>
      <c r="P66" s="471"/>
      <c r="Q66" s="470">
        <v>1</v>
      </c>
      <c r="R66" s="471"/>
      <c r="S66" s="470"/>
      <c r="T66" s="471"/>
      <c r="U66" s="470"/>
      <c r="V66" s="471"/>
      <c r="W66" s="470"/>
      <c r="X66" s="471"/>
      <c r="Y66" s="470"/>
      <c r="Z66" s="471"/>
      <c r="AA66" s="470"/>
      <c r="AB66" s="471"/>
      <c r="AC66" s="81">
        <f t="shared" ref="AC66:AC73" si="82">SUM(E66:AB66)</f>
        <v>1</v>
      </c>
    </row>
    <row r="67" spans="2:32" s="53" customFormat="1" x14ac:dyDescent="0.2">
      <c r="B67" s="84" t="s">
        <v>175</v>
      </c>
      <c r="E67" s="473"/>
      <c r="F67" s="471"/>
      <c r="G67" s="470"/>
      <c r="H67" s="471"/>
      <c r="I67" s="470"/>
      <c r="J67" s="471"/>
      <c r="K67" s="470"/>
      <c r="L67" s="471"/>
      <c r="M67" s="470"/>
      <c r="N67" s="471"/>
      <c r="O67" s="470"/>
      <c r="P67" s="471"/>
      <c r="Q67" s="470">
        <v>1</v>
      </c>
      <c r="R67" s="471"/>
      <c r="S67" s="470"/>
      <c r="T67" s="471"/>
      <c r="U67" s="470"/>
      <c r="V67" s="471"/>
      <c r="W67" s="470"/>
      <c r="X67" s="471"/>
      <c r="Y67" s="470"/>
      <c r="Z67" s="471"/>
      <c r="AA67" s="470"/>
      <c r="AB67" s="471"/>
      <c r="AC67" s="81">
        <f t="shared" si="82"/>
        <v>1</v>
      </c>
    </row>
    <row r="68" spans="2:32" s="53" customFormat="1" x14ac:dyDescent="0.2">
      <c r="B68" s="84" t="s">
        <v>181</v>
      </c>
      <c r="E68" s="473"/>
      <c r="F68" s="471"/>
      <c r="G68" s="470"/>
      <c r="H68" s="471"/>
      <c r="I68" s="470"/>
      <c r="J68" s="471"/>
      <c r="K68" s="470">
        <v>1</v>
      </c>
      <c r="L68" s="471"/>
      <c r="M68" s="470"/>
      <c r="N68" s="471"/>
      <c r="O68" s="470"/>
      <c r="P68" s="471"/>
      <c r="Q68" s="470"/>
      <c r="R68" s="471"/>
      <c r="S68" s="470"/>
      <c r="T68" s="471"/>
      <c r="U68" s="470"/>
      <c r="V68" s="471"/>
      <c r="W68" s="470"/>
      <c r="X68" s="471"/>
      <c r="Y68" s="470"/>
      <c r="Z68" s="471"/>
      <c r="AA68" s="470"/>
      <c r="AB68" s="471"/>
      <c r="AC68" s="81">
        <f t="shared" si="82"/>
        <v>1</v>
      </c>
    </row>
    <row r="69" spans="2:32" s="345" customFormat="1" x14ac:dyDescent="0.2">
      <c r="B69" s="84" t="s">
        <v>255</v>
      </c>
      <c r="E69" s="473">
        <v>1</v>
      </c>
      <c r="F69" s="471"/>
      <c r="G69" s="470"/>
      <c r="H69" s="471"/>
      <c r="I69" s="470"/>
      <c r="J69" s="471"/>
      <c r="K69" s="470"/>
      <c r="L69" s="471"/>
      <c r="M69" s="470"/>
      <c r="N69" s="471"/>
      <c r="O69" s="470"/>
      <c r="P69" s="471"/>
      <c r="Q69" s="470"/>
      <c r="R69" s="471"/>
      <c r="S69" s="470"/>
      <c r="T69" s="471"/>
      <c r="U69" s="470"/>
      <c r="V69" s="471"/>
      <c r="W69" s="470"/>
      <c r="X69" s="471"/>
      <c r="Y69" s="470"/>
      <c r="Z69" s="471"/>
      <c r="AA69" s="470"/>
      <c r="AB69" s="471"/>
      <c r="AC69" s="81">
        <v>1</v>
      </c>
    </row>
    <row r="70" spans="2:32" s="53" customFormat="1" x14ac:dyDescent="0.2">
      <c r="B70" s="85" t="s">
        <v>18</v>
      </c>
      <c r="E70" s="472">
        <v>1</v>
      </c>
      <c r="F70" s="471"/>
      <c r="G70" s="471"/>
      <c r="H70" s="471"/>
      <c r="I70" s="471"/>
      <c r="J70" s="471"/>
      <c r="K70" s="470"/>
      <c r="L70" s="471"/>
      <c r="M70" s="471"/>
      <c r="N70" s="471"/>
      <c r="O70" s="470"/>
      <c r="P70" s="471"/>
      <c r="Q70" s="470"/>
      <c r="R70" s="471"/>
      <c r="S70" s="470"/>
      <c r="T70" s="471"/>
      <c r="U70" s="470"/>
      <c r="V70" s="471"/>
      <c r="W70" s="470"/>
      <c r="X70" s="471"/>
      <c r="Y70" s="470"/>
      <c r="Z70" s="471"/>
      <c r="AA70" s="470"/>
      <c r="AB70" s="471"/>
      <c r="AC70" s="81">
        <f t="shared" si="82"/>
        <v>1</v>
      </c>
    </row>
    <row r="71" spans="2:32" s="345" customFormat="1" x14ac:dyDescent="0.2">
      <c r="B71" s="85" t="s">
        <v>19</v>
      </c>
      <c r="E71" s="472">
        <v>1</v>
      </c>
      <c r="F71" s="471"/>
      <c r="G71" s="471"/>
      <c r="H71" s="471"/>
      <c r="I71" s="471"/>
      <c r="J71" s="471"/>
      <c r="K71" s="470"/>
      <c r="L71" s="471"/>
      <c r="M71" s="471"/>
      <c r="N71" s="471"/>
      <c r="O71" s="470"/>
      <c r="P71" s="471"/>
      <c r="Q71" s="470"/>
      <c r="R71" s="471"/>
      <c r="S71" s="470"/>
      <c r="T71" s="471"/>
      <c r="U71" s="470"/>
      <c r="V71" s="471"/>
      <c r="W71" s="470"/>
      <c r="X71" s="471"/>
      <c r="Y71" s="470"/>
      <c r="Z71" s="471"/>
      <c r="AA71" s="470"/>
      <c r="AB71" s="471"/>
      <c r="AC71" s="81">
        <f>SUM(E71:AB71)</f>
        <v>1</v>
      </c>
    </row>
    <row r="72" spans="2:32" s="53" customFormat="1" x14ac:dyDescent="0.2">
      <c r="B72" s="85" t="s">
        <v>20</v>
      </c>
      <c r="E72" s="472">
        <v>2</v>
      </c>
      <c r="F72" s="471"/>
      <c r="G72" s="471"/>
      <c r="H72" s="471"/>
      <c r="I72" s="471"/>
      <c r="J72" s="471"/>
      <c r="K72" s="470">
        <v>1</v>
      </c>
      <c r="L72" s="471"/>
      <c r="M72" s="471"/>
      <c r="N72" s="471"/>
      <c r="O72" s="470"/>
      <c r="P72" s="471"/>
      <c r="Q72" s="470">
        <v>2</v>
      </c>
      <c r="R72" s="471"/>
      <c r="S72" s="470"/>
      <c r="T72" s="471"/>
      <c r="U72" s="470"/>
      <c r="V72" s="471"/>
      <c r="W72" s="470"/>
      <c r="X72" s="471"/>
      <c r="Y72" s="470"/>
      <c r="Z72" s="471"/>
      <c r="AA72" s="470"/>
      <c r="AB72" s="471"/>
      <c r="AC72" s="81">
        <f t="shared" si="82"/>
        <v>5</v>
      </c>
    </row>
    <row r="73" spans="2:32" s="53" customFormat="1" ht="13.5" thickBot="1" x14ac:dyDescent="0.25">
      <c r="B73" s="86" t="s">
        <v>21</v>
      </c>
      <c r="E73" s="474">
        <v>2</v>
      </c>
      <c r="F73" s="475"/>
      <c r="G73" s="475"/>
      <c r="H73" s="475"/>
      <c r="I73" s="475"/>
      <c r="J73" s="475"/>
      <c r="K73" s="476">
        <v>1</v>
      </c>
      <c r="L73" s="475"/>
      <c r="M73" s="475"/>
      <c r="N73" s="475"/>
      <c r="O73" s="476"/>
      <c r="P73" s="475"/>
      <c r="Q73" s="476">
        <v>2</v>
      </c>
      <c r="R73" s="475"/>
      <c r="S73" s="476"/>
      <c r="T73" s="475"/>
      <c r="U73" s="476"/>
      <c r="V73" s="475"/>
      <c r="W73" s="476"/>
      <c r="X73" s="475"/>
      <c r="Y73" s="476"/>
      <c r="Z73" s="475"/>
      <c r="AA73" s="476"/>
      <c r="AB73" s="475"/>
      <c r="AC73" s="82">
        <f t="shared" si="82"/>
        <v>5</v>
      </c>
    </row>
    <row r="74" spans="2:32" s="249" customFormat="1" ht="13.5" thickBot="1" x14ac:dyDescent="0.25">
      <c r="B74" s="313"/>
      <c r="E74" s="78"/>
      <c r="F74" s="78"/>
      <c r="G74" s="78"/>
      <c r="H74" s="78"/>
      <c r="I74" s="78"/>
      <c r="J74" s="78"/>
      <c r="K74" s="312"/>
      <c r="L74" s="78"/>
      <c r="M74" s="78"/>
      <c r="N74" s="78"/>
      <c r="O74" s="312"/>
      <c r="P74" s="78"/>
      <c r="Q74" s="312"/>
      <c r="R74" s="78"/>
      <c r="S74" s="312"/>
      <c r="T74" s="78"/>
      <c r="U74" s="312"/>
      <c r="V74" s="78"/>
      <c r="W74" s="312"/>
      <c r="X74" s="78"/>
      <c r="Y74" s="312"/>
      <c r="Z74" s="78"/>
      <c r="AA74" s="312"/>
      <c r="AB74" s="78"/>
      <c r="AC74" s="78"/>
    </row>
    <row r="75" spans="2:32" s="249" customFormat="1" ht="13.5" thickBot="1" x14ac:dyDescent="0.25">
      <c r="E75" s="480" t="s">
        <v>40</v>
      </c>
      <c r="F75" s="481"/>
      <c r="G75" s="481"/>
      <c r="H75" s="481"/>
      <c r="I75" s="481"/>
      <c r="J75" s="481"/>
      <c r="K75" s="481"/>
      <c r="L75" s="481"/>
      <c r="M75" s="481"/>
      <c r="N75" s="481"/>
      <c r="O75" s="481"/>
      <c r="P75" s="481"/>
      <c r="Q75" s="481"/>
      <c r="R75" s="481"/>
      <c r="S75" s="481"/>
      <c r="T75" s="481"/>
      <c r="U75" s="481"/>
      <c r="V75" s="481"/>
      <c r="W75" s="481"/>
      <c r="X75" s="481"/>
      <c r="Y75" s="481"/>
      <c r="Z75" s="481"/>
      <c r="AA75" s="481"/>
      <c r="AB75" s="482"/>
    </row>
    <row r="76" spans="2:32" s="249" customFormat="1" ht="13.5" thickBot="1" x14ac:dyDescent="0.25">
      <c r="E76" s="483" t="s">
        <v>25</v>
      </c>
      <c r="F76" s="484"/>
      <c r="G76" s="483" t="s">
        <v>26</v>
      </c>
      <c r="H76" s="484"/>
      <c r="I76" s="485" t="s">
        <v>27</v>
      </c>
      <c r="J76" s="486"/>
      <c r="K76" s="483" t="s">
        <v>28</v>
      </c>
      <c r="L76" s="484"/>
      <c r="M76" s="485" t="s">
        <v>29</v>
      </c>
      <c r="N76" s="486"/>
      <c r="O76" s="483" t="s">
        <v>30</v>
      </c>
      <c r="P76" s="484"/>
      <c r="Q76" s="483" t="s">
        <v>31</v>
      </c>
      <c r="R76" s="484"/>
      <c r="S76" s="483" t="s">
        <v>32</v>
      </c>
      <c r="T76" s="484"/>
      <c r="U76" s="485" t="s">
        <v>33</v>
      </c>
      <c r="V76" s="486"/>
      <c r="W76" s="483" t="s">
        <v>34</v>
      </c>
      <c r="X76" s="484"/>
      <c r="Y76" s="483" t="s">
        <v>35</v>
      </c>
      <c r="Z76" s="484"/>
      <c r="AA76" s="483" t="s">
        <v>36</v>
      </c>
      <c r="AB76" s="484"/>
      <c r="AC76" s="504" t="s">
        <v>155</v>
      </c>
      <c r="AD76" s="505"/>
      <c r="AE76" s="14"/>
      <c r="AF76" s="14"/>
    </row>
    <row r="77" spans="2:32" s="249" customFormat="1" ht="13.5" thickBot="1" x14ac:dyDescent="0.25">
      <c r="B77" s="99" t="s">
        <v>185</v>
      </c>
      <c r="C77" s="100" t="s">
        <v>153</v>
      </c>
      <c r="D77" s="100" t="s">
        <v>154</v>
      </c>
      <c r="E77" s="100" t="s">
        <v>183</v>
      </c>
      <c r="F77" s="100" t="s">
        <v>37</v>
      </c>
      <c r="G77" s="100" t="s">
        <v>183</v>
      </c>
      <c r="H77" s="100" t="s">
        <v>37</v>
      </c>
      <c r="I77" s="100" t="s">
        <v>183</v>
      </c>
      <c r="J77" s="100" t="s">
        <v>37</v>
      </c>
      <c r="K77" s="100" t="s">
        <v>183</v>
      </c>
      <c r="L77" s="100" t="s">
        <v>37</v>
      </c>
      <c r="M77" s="100" t="s">
        <v>183</v>
      </c>
      <c r="N77" s="100" t="s">
        <v>37</v>
      </c>
      <c r="O77" s="100" t="s">
        <v>183</v>
      </c>
      <c r="P77" s="100" t="s">
        <v>37</v>
      </c>
      <c r="Q77" s="100" t="s">
        <v>183</v>
      </c>
      <c r="R77" s="100" t="s">
        <v>37</v>
      </c>
      <c r="S77" s="100" t="s">
        <v>183</v>
      </c>
      <c r="T77" s="100" t="s">
        <v>37</v>
      </c>
      <c r="U77" s="100" t="s">
        <v>183</v>
      </c>
      <c r="V77" s="100" t="s">
        <v>37</v>
      </c>
      <c r="W77" s="100" t="s">
        <v>183</v>
      </c>
      <c r="X77" s="100" t="s">
        <v>37</v>
      </c>
      <c r="Y77" s="100" t="s">
        <v>183</v>
      </c>
      <c r="Z77" s="100" t="s">
        <v>37</v>
      </c>
      <c r="AA77" s="100" t="s">
        <v>183</v>
      </c>
      <c r="AB77" s="100" t="s">
        <v>37</v>
      </c>
      <c r="AC77" s="316" t="s">
        <v>242</v>
      </c>
      <c r="AD77" s="317" t="s">
        <v>239</v>
      </c>
      <c r="AE77" s="1"/>
      <c r="AF77" s="1"/>
    </row>
    <row r="78" spans="2:32" s="249" customFormat="1" x14ac:dyDescent="0.2">
      <c r="B78" s="95" t="s">
        <v>157</v>
      </c>
      <c r="C78" s="96">
        <f>'Modelo de ingresos'!D70</f>
        <v>0</v>
      </c>
      <c r="D78" s="97">
        <f>Hipótesis!I46</f>
        <v>80</v>
      </c>
      <c r="E78" s="314">
        <v>13126</v>
      </c>
      <c r="F78" s="98">
        <f t="shared" ref="F78:F80" si="83">$D78*E78</f>
        <v>1050080</v>
      </c>
      <c r="G78" s="314">
        <v>13316</v>
      </c>
      <c r="H78" s="98">
        <f t="shared" ref="H78:H80" si="84">$D78*G78</f>
        <v>1065280</v>
      </c>
      <c r="I78" s="314">
        <v>13506</v>
      </c>
      <c r="J78" s="98">
        <f t="shared" ref="J78:J80" si="85">$D78*I78</f>
        <v>1080480</v>
      </c>
      <c r="K78" s="314">
        <v>13696</v>
      </c>
      <c r="L78" s="98">
        <f t="shared" ref="L78:L80" si="86">$D78*K78</f>
        <v>1095680</v>
      </c>
      <c r="M78" s="314">
        <v>13886</v>
      </c>
      <c r="N78" s="98">
        <f t="shared" ref="N78:N80" si="87">$D78*M78</f>
        <v>1110880</v>
      </c>
      <c r="O78" s="314">
        <v>14076</v>
      </c>
      <c r="P78" s="98">
        <f t="shared" ref="P78:P80" si="88">$D78*O78</f>
        <v>1126080</v>
      </c>
      <c r="Q78" s="314">
        <v>14266</v>
      </c>
      <c r="R78" s="98">
        <f t="shared" ref="R78:R80" si="89">$D78*Q78</f>
        <v>1141280</v>
      </c>
      <c r="S78" s="314">
        <v>14456</v>
      </c>
      <c r="T78" s="98">
        <f t="shared" ref="T78:T80" si="90">$D78*S78</f>
        <v>1156480</v>
      </c>
      <c r="U78" s="314">
        <v>14646</v>
      </c>
      <c r="V78" s="98">
        <f t="shared" ref="V78:V80" si="91">$D78*U78</f>
        <v>1171680</v>
      </c>
      <c r="W78" s="314">
        <v>14836</v>
      </c>
      <c r="X78" s="98">
        <f t="shared" ref="X78:X80" si="92">$D78*W78</f>
        <v>1186880</v>
      </c>
      <c r="Y78" s="314">
        <v>15026</v>
      </c>
      <c r="Z78" s="98">
        <f t="shared" ref="Z78:Z80" si="93">$D78*Y78</f>
        <v>1202080</v>
      </c>
      <c r="AA78" s="314">
        <v>15216</v>
      </c>
      <c r="AB78" s="98">
        <f t="shared" ref="AB78:AB80" si="94">$D78*AA78</f>
        <v>1217280</v>
      </c>
      <c r="AC78" s="314">
        <f>AA78</f>
        <v>15216</v>
      </c>
      <c r="AD78" s="315">
        <f>F78+H78+J78+L78+N78+P78+R78+T78+V78+X78+Z78+AB78</f>
        <v>13604160</v>
      </c>
      <c r="AE78" s="1"/>
      <c r="AF78" s="1"/>
    </row>
    <row r="79" spans="2:32" s="249" customFormat="1" x14ac:dyDescent="0.2">
      <c r="B79" s="194" t="s">
        <v>158</v>
      </c>
      <c r="C79" s="90">
        <f>'Modelo de ingresos'!D71</f>
        <v>0</v>
      </c>
      <c r="D79" s="91">
        <f>Hipótesis!I47</f>
        <v>125</v>
      </c>
      <c r="E79" s="92">
        <v>8353</v>
      </c>
      <c r="F79" s="93">
        <f t="shared" si="83"/>
        <v>1044125</v>
      </c>
      <c r="G79" s="92">
        <v>8474</v>
      </c>
      <c r="H79" s="93">
        <f t="shared" si="84"/>
        <v>1059250</v>
      </c>
      <c r="I79" s="92">
        <v>8595</v>
      </c>
      <c r="J79" s="93">
        <f t="shared" si="85"/>
        <v>1074375</v>
      </c>
      <c r="K79" s="92">
        <v>8716</v>
      </c>
      <c r="L79" s="93">
        <f t="shared" si="86"/>
        <v>1089500</v>
      </c>
      <c r="M79" s="92">
        <v>8837</v>
      </c>
      <c r="N79" s="93">
        <f t="shared" si="87"/>
        <v>1104625</v>
      </c>
      <c r="O79" s="92">
        <v>8958</v>
      </c>
      <c r="P79" s="93">
        <f t="shared" si="88"/>
        <v>1119750</v>
      </c>
      <c r="Q79" s="92">
        <v>9079</v>
      </c>
      <c r="R79" s="93">
        <f t="shared" si="89"/>
        <v>1134875</v>
      </c>
      <c r="S79" s="92">
        <v>9200</v>
      </c>
      <c r="T79" s="93">
        <f t="shared" si="90"/>
        <v>1150000</v>
      </c>
      <c r="U79" s="92">
        <v>9321</v>
      </c>
      <c r="V79" s="93">
        <f t="shared" si="91"/>
        <v>1165125</v>
      </c>
      <c r="W79" s="92">
        <v>9442</v>
      </c>
      <c r="X79" s="93">
        <f t="shared" si="92"/>
        <v>1180250</v>
      </c>
      <c r="Y79" s="92">
        <v>9563</v>
      </c>
      <c r="Z79" s="93">
        <f t="shared" si="93"/>
        <v>1195375</v>
      </c>
      <c r="AA79" s="92">
        <v>9684</v>
      </c>
      <c r="AB79" s="93">
        <f t="shared" si="94"/>
        <v>1210500</v>
      </c>
      <c r="AC79" s="92">
        <f>AA79</f>
        <v>9684</v>
      </c>
      <c r="AD79" s="196">
        <f t="shared" ref="AD79:AD80" si="95">F79+H79+J79+L79+N79+P79+R79+T79+V79+X79+Z79+AB79</f>
        <v>13527750</v>
      </c>
      <c r="AE79" s="1"/>
      <c r="AF79" s="1"/>
    </row>
    <row r="80" spans="2:32" s="249" customFormat="1" ht="13.5" thickBot="1" x14ac:dyDescent="0.25">
      <c r="B80" s="193" t="s">
        <v>159</v>
      </c>
      <c r="C80" s="277">
        <f>'Modelo de ingresos'!D72</f>
        <v>0</v>
      </c>
      <c r="D80" s="278">
        <f>Hipótesis!I48</f>
        <v>195</v>
      </c>
      <c r="E80" s="197">
        <v>2386</v>
      </c>
      <c r="F80" s="185">
        <f t="shared" si="83"/>
        <v>465270</v>
      </c>
      <c r="G80" s="197">
        <v>2420</v>
      </c>
      <c r="H80" s="185">
        <f t="shared" si="84"/>
        <v>471900</v>
      </c>
      <c r="I80" s="197">
        <v>2454</v>
      </c>
      <c r="J80" s="185">
        <f t="shared" si="85"/>
        <v>478530</v>
      </c>
      <c r="K80" s="197">
        <v>2488</v>
      </c>
      <c r="L80" s="185">
        <f t="shared" si="86"/>
        <v>485160</v>
      </c>
      <c r="M80" s="197">
        <v>2522</v>
      </c>
      <c r="N80" s="185">
        <f t="shared" si="87"/>
        <v>491790</v>
      </c>
      <c r="O80" s="197">
        <v>2556</v>
      </c>
      <c r="P80" s="185">
        <f t="shared" si="88"/>
        <v>498420</v>
      </c>
      <c r="Q80" s="197">
        <v>2590</v>
      </c>
      <c r="R80" s="185">
        <f t="shared" si="89"/>
        <v>505050</v>
      </c>
      <c r="S80" s="197">
        <v>2624</v>
      </c>
      <c r="T80" s="185">
        <f t="shared" si="90"/>
        <v>511680</v>
      </c>
      <c r="U80" s="197">
        <v>2658</v>
      </c>
      <c r="V80" s="185">
        <f t="shared" si="91"/>
        <v>518310</v>
      </c>
      <c r="W80" s="197">
        <v>2692</v>
      </c>
      <c r="X80" s="185">
        <f t="shared" si="92"/>
        <v>524940</v>
      </c>
      <c r="Y80" s="197">
        <v>2726</v>
      </c>
      <c r="Z80" s="185">
        <f t="shared" si="93"/>
        <v>531570</v>
      </c>
      <c r="AA80" s="197">
        <v>2760</v>
      </c>
      <c r="AB80" s="185">
        <f t="shared" si="94"/>
        <v>538200</v>
      </c>
      <c r="AC80" s="197">
        <f>AA80</f>
        <v>2760</v>
      </c>
      <c r="AD80" s="198">
        <f t="shared" si="95"/>
        <v>6020820</v>
      </c>
      <c r="AE80" s="1"/>
      <c r="AF80" s="1"/>
    </row>
    <row r="81" spans="2:32" s="249" customFormat="1" ht="13.5" thickBot="1" x14ac:dyDescent="0.25">
      <c r="B81" s="497" t="s">
        <v>234</v>
      </c>
      <c r="C81" s="498"/>
      <c r="D81" s="498"/>
      <c r="E81" s="294">
        <f t="shared" ref="E81:V81" si="96">SUM(E78:E80)</f>
        <v>23865</v>
      </c>
      <c r="F81" s="271">
        <f t="shared" si="96"/>
        <v>2559475</v>
      </c>
      <c r="G81" s="294">
        <f t="shared" si="96"/>
        <v>24210</v>
      </c>
      <c r="H81" s="271">
        <f t="shared" si="96"/>
        <v>2596430</v>
      </c>
      <c r="I81" s="294">
        <f t="shared" si="96"/>
        <v>24555</v>
      </c>
      <c r="J81" s="271">
        <f t="shared" si="96"/>
        <v>2633385</v>
      </c>
      <c r="K81" s="294">
        <f t="shared" si="96"/>
        <v>24900</v>
      </c>
      <c r="L81" s="271">
        <f t="shared" si="96"/>
        <v>2670340</v>
      </c>
      <c r="M81" s="294">
        <f t="shared" si="96"/>
        <v>25245</v>
      </c>
      <c r="N81" s="271">
        <f t="shared" si="96"/>
        <v>2707295</v>
      </c>
      <c r="O81" s="294">
        <f t="shared" si="96"/>
        <v>25590</v>
      </c>
      <c r="P81" s="271">
        <f t="shared" si="96"/>
        <v>2744250</v>
      </c>
      <c r="Q81" s="294">
        <f t="shared" si="96"/>
        <v>25935</v>
      </c>
      <c r="R81" s="271">
        <f t="shared" si="96"/>
        <v>2781205</v>
      </c>
      <c r="S81" s="294">
        <f t="shared" si="96"/>
        <v>26280</v>
      </c>
      <c r="T81" s="271">
        <f t="shared" si="96"/>
        <v>2818160</v>
      </c>
      <c r="U81" s="294">
        <f t="shared" si="96"/>
        <v>26625</v>
      </c>
      <c r="V81" s="271">
        <f t="shared" si="96"/>
        <v>2855115</v>
      </c>
      <c r="W81" s="294">
        <f t="shared" ref="W81" si="97">SUM(W78:W80)</f>
        <v>26970</v>
      </c>
      <c r="X81" s="271">
        <f t="shared" ref="X81" si="98">SUM(X78:X80)</f>
        <v>2892070</v>
      </c>
      <c r="Y81" s="294">
        <f t="shared" ref="Y81" si="99">SUM(Y78:Y80)</f>
        <v>27315</v>
      </c>
      <c r="Z81" s="271">
        <f t="shared" ref="Z81" si="100">SUM(Z78:Z80)</f>
        <v>2929025</v>
      </c>
      <c r="AA81" s="294">
        <f t="shared" ref="AA81" si="101">SUM(AA78:AA80)</f>
        <v>27660</v>
      </c>
      <c r="AB81" s="295">
        <f t="shared" ref="AB81" si="102">SUM(AB78:AB80)</f>
        <v>2965980</v>
      </c>
      <c r="AC81" s="294">
        <f>SUM(AC78:AC80)</f>
        <v>27660</v>
      </c>
      <c r="AD81" s="295">
        <f t="shared" ref="AD81" si="103">SUM(AD78:AD80)</f>
        <v>33152730</v>
      </c>
      <c r="AE81" s="1"/>
      <c r="AF81" s="1"/>
    </row>
    <row r="82" spans="2:32" s="249" customFormat="1" ht="13.5" thickBot="1" x14ac:dyDescent="0.25">
      <c r="B82" s="506"/>
      <c r="C82" s="507"/>
      <c r="D82" s="507"/>
      <c r="E82" s="507"/>
      <c r="F82" s="507"/>
      <c r="G82" s="507"/>
      <c r="H82" s="507"/>
      <c r="I82" s="507"/>
      <c r="J82" s="507"/>
      <c r="K82" s="507"/>
      <c r="L82" s="507"/>
      <c r="M82" s="507"/>
      <c r="N82" s="507"/>
      <c r="O82" s="507"/>
      <c r="P82" s="507"/>
      <c r="Q82" s="507"/>
      <c r="R82" s="507"/>
      <c r="S82" s="507"/>
      <c r="T82" s="507"/>
      <c r="U82" s="507"/>
      <c r="V82" s="507"/>
      <c r="W82" s="507"/>
      <c r="X82" s="507"/>
      <c r="Y82" s="507"/>
      <c r="Z82" s="507"/>
      <c r="AA82" s="507"/>
      <c r="AB82" s="507"/>
      <c r="AC82" s="507"/>
      <c r="AD82" s="508"/>
      <c r="AE82" s="1"/>
      <c r="AF82" s="1"/>
    </row>
    <row r="83" spans="2:32" s="249" customFormat="1" ht="13.5" thickBot="1" x14ac:dyDescent="0.25">
      <c r="B83" s="509" t="s">
        <v>49</v>
      </c>
      <c r="C83" s="510"/>
      <c r="D83" s="511"/>
      <c r="E83" s="279" t="s">
        <v>184</v>
      </c>
      <c r="F83" s="280" t="s">
        <v>37</v>
      </c>
      <c r="G83" s="280" t="s">
        <v>184</v>
      </c>
      <c r="H83" s="280" t="s">
        <v>37</v>
      </c>
      <c r="I83" s="280" t="s">
        <v>184</v>
      </c>
      <c r="J83" s="280" t="s">
        <v>37</v>
      </c>
      <c r="K83" s="280" t="s">
        <v>184</v>
      </c>
      <c r="L83" s="280" t="s">
        <v>37</v>
      </c>
      <c r="M83" s="280" t="s">
        <v>184</v>
      </c>
      <c r="N83" s="280" t="s">
        <v>37</v>
      </c>
      <c r="O83" s="280" t="s">
        <v>184</v>
      </c>
      <c r="P83" s="280" t="s">
        <v>37</v>
      </c>
      <c r="Q83" s="280" t="s">
        <v>184</v>
      </c>
      <c r="R83" s="280" t="s">
        <v>37</v>
      </c>
      <c r="S83" s="280" t="s">
        <v>184</v>
      </c>
      <c r="T83" s="280" t="s">
        <v>37</v>
      </c>
      <c r="U83" s="280" t="s">
        <v>184</v>
      </c>
      <c r="V83" s="280" t="s">
        <v>37</v>
      </c>
      <c r="W83" s="280" t="s">
        <v>184</v>
      </c>
      <c r="X83" s="280" t="s">
        <v>37</v>
      </c>
      <c r="Y83" s="280" t="s">
        <v>184</v>
      </c>
      <c r="Z83" s="280" t="s">
        <v>37</v>
      </c>
      <c r="AA83" s="280" t="s">
        <v>184</v>
      </c>
      <c r="AB83" s="281" t="s">
        <v>37</v>
      </c>
      <c r="AC83" s="301" t="s">
        <v>237</v>
      </c>
      <c r="AD83" s="300" t="s">
        <v>239</v>
      </c>
      <c r="AE83" s="1"/>
      <c r="AF83" s="1"/>
    </row>
    <row r="84" spans="2:32" s="249" customFormat="1" x14ac:dyDescent="0.2">
      <c r="B84" s="272" t="s">
        <v>168</v>
      </c>
      <c r="C84" s="273">
        <f>'Modelo de ingresos'!D75</f>
        <v>0</v>
      </c>
      <c r="D84" s="274">
        <f>Hipótesis!I49</f>
        <v>300</v>
      </c>
      <c r="E84" s="275">
        <v>185</v>
      </c>
      <c r="F84" s="276">
        <f t="shared" ref="F84:F89" si="104">$D84*E84</f>
        <v>55500</v>
      </c>
      <c r="G84" s="275">
        <v>185</v>
      </c>
      <c r="H84" s="276">
        <f t="shared" ref="H84:H89" si="105">$D84*G84</f>
        <v>55500</v>
      </c>
      <c r="I84" s="275">
        <v>185</v>
      </c>
      <c r="J84" s="276">
        <f t="shared" ref="J84:J89" si="106">$D84*I84</f>
        <v>55500</v>
      </c>
      <c r="K84" s="275">
        <v>185</v>
      </c>
      <c r="L84" s="276">
        <f t="shared" ref="L84:L89" si="107">$D84*K84</f>
        <v>55500</v>
      </c>
      <c r="M84" s="275">
        <v>185</v>
      </c>
      <c r="N84" s="276">
        <f t="shared" ref="N84:N89" si="108">$D84*M84</f>
        <v>55500</v>
      </c>
      <c r="O84" s="275">
        <v>185</v>
      </c>
      <c r="P84" s="276">
        <f t="shared" ref="P84:P89" si="109">$D84*O84</f>
        <v>55500</v>
      </c>
      <c r="Q84" s="275">
        <v>185</v>
      </c>
      <c r="R84" s="276">
        <f t="shared" ref="R84:R89" si="110">$D84*Q84</f>
        <v>55500</v>
      </c>
      <c r="S84" s="275">
        <v>185</v>
      </c>
      <c r="T84" s="276">
        <f t="shared" ref="T84:T89" si="111">$D84*S84</f>
        <v>55500</v>
      </c>
      <c r="U84" s="275">
        <v>185</v>
      </c>
      <c r="V84" s="276">
        <f t="shared" ref="V84:V89" si="112">$D84*U84</f>
        <v>55500</v>
      </c>
      <c r="W84" s="275">
        <v>185</v>
      </c>
      <c r="X84" s="276">
        <f t="shared" ref="X84:X89" si="113">$D84*W84</f>
        <v>55500</v>
      </c>
      <c r="Y84" s="275">
        <v>185</v>
      </c>
      <c r="Z84" s="276">
        <f t="shared" ref="Z84:Z89" si="114">$D84*Y84</f>
        <v>55500</v>
      </c>
      <c r="AA84" s="275">
        <v>185</v>
      </c>
      <c r="AB84" s="276">
        <f t="shared" ref="AB84:AB89" si="115">$D84*AA84</f>
        <v>55500</v>
      </c>
      <c r="AC84" s="275">
        <f>E84+G84+I84+K84+M84+O84+Q84+S84+U84+W84+Y84+AA84</f>
        <v>2220</v>
      </c>
      <c r="AD84" s="296">
        <f>F84+H84+J84+L84+N84+P84+R84+T84+V84+X84+Z84+AB84</f>
        <v>666000</v>
      </c>
      <c r="AE84" s="1"/>
      <c r="AF84" s="1"/>
    </row>
    <row r="85" spans="2:32" s="249" customFormat="1" x14ac:dyDescent="0.2">
      <c r="B85" s="194" t="s">
        <v>170</v>
      </c>
      <c r="C85" s="90">
        <f>'Modelo de ingresos'!D76</f>
        <v>0</v>
      </c>
      <c r="D85" s="91">
        <f>Hipótesis!I50</f>
        <v>160</v>
      </c>
      <c r="E85" s="92">
        <v>185</v>
      </c>
      <c r="F85" s="93">
        <f t="shared" si="104"/>
        <v>29600</v>
      </c>
      <c r="G85" s="92">
        <v>185</v>
      </c>
      <c r="H85" s="93">
        <f t="shared" si="105"/>
        <v>29600</v>
      </c>
      <c r="I85" s="92">
        <v>185</v>
      </c>
      <c r="J85" s="93">
        <f t="shared" si="106"/>
        <v>29600</v>
      </c>
      <c r="K85" s="92">
        <v>185</v>
      </c>
      <c r="L85" s="93">
        <f t="shared" si="107"/>
        <v>29600</v>
      </c>
      <c r="M85" s="92">
        <v>185</v>
      </c>
      <c r="N85" s="93">
        <f t="shared" si="108"/>
        <v>29600</v>
      </c>
      <c r="O85" s="92">
        <v>185</v>
      </c>
      <c r="P85" s="93">
        <f t="shared" si="109"/>
        <v>29600</v>
      </c>
      <c r="Q85" s="92">
        <v>185</v>
      </c>
      <c r="R85" s="93">
        <f t="shared" si="110"/>
        <v>29600</v>
      </c>
      <c r="S85" s="92">
        <v>185</v>
      </c>
      <c r="T85" s="93">
        <f t="shared" si="111"/>
        <v>29600</v>
      </c>
      <c r="U85" s="92">
        <v>185</v>
      </c>
      <c r="V85" s="93">
        <f t="shared" si="112"/>
        <v>29600</v>
      </c>
      <c r="W85" s="92">
        <v>185</v>
      </c>
      <c r="X85" s="93">
        <f t="shared" si="113"/>
        <v>29600</v>
      </c>
      <c r="Y85" s="92">
        <v>185</v>
      </c>
      <c r="Z85" s="93">
        <f t="shared" si="114"/>
        <v>29600</v>
      </c>
      <c r="AA85" s="92">
        <v>185</v>
      </c>
      <c r="AB85" s="93">
        <f t="shared" si="115"/>
        <v>29600</v>
      </c>
      <c r="AC85" s="92">
        <f t="shared" ref="AC85:AC89" si="116">E85+G85+I85+K85+M85+O85+Q85+S85+U85+W85+Y85+AA85</f>
        <v>2220</v>
      </c>
      <c r="AD85" s="196">
        <f t="shared" ref="AD85:AD89" si="117">F85+H85+J85+L85+N85+P85+R85+T85+V85+X85+Z85+AB85</f>
        <v>355200</v>
      </c>
      <c r="AE85" s="1"/>
      <c r="AF85" s="1"/>
    </row>
    <row r="86" spans="2:32" s="249" customFormat="1" x14ac:dyDescent="0.2">
      <c r="B86" s="194" t="s">
        <v>169</v>
      </c>
      <c r="C86" s="90">
        <f>'Modelo de ingresos'!D77</f>
        <v>0</v>
      </c>
      <c r="D86" s="91">
        <f>Hipótesis!I51</f>
        <v>160</v>
      </c>
      <c r="E86" s="92">
        <v>170</v>
      </c>
      <c r="F86" s="93">
        <f t="shared" si="104"/>
        <v>27200</v>
      </c>
      <c r="G86" s="92">
        <v>170</v>
      </c>
      <c r="H86" s="93">
        <f t="shared" si="105"/>
        <v>27200</v>
      </c>
      <c r="I86" s="92">
        <v>170</v>
      </c>
      <c r="J86" s="93">
        <f t="shared" si="106"/>
        <v>27200</v>
      </c>
      <c r="K86" s="92">
        <v>170</v>
      </c>
      <c r="L86" s="93">
        <f t="shared" si="107"/>
        <v>27200</v>
      </c>
      <c r="M86" s="92">
        <v>170</v>
      </c>
      <c r="N86" s="93">
        <f t="shared" si="108"/>
        <v>27200</v>
      </c>
      <c r="O86" s="92">
        <v>170</v>
      </c>
      <c r="P86" s="93">
        <f t="shared" si="109"/>
        <v>27200</v>
      </c>
      <c r="Q86" s="92">
        <v>170</v>
      </c>
      <c r="R86" s="93">
        <f t="shared" si="110"/>
        <v>27200</v>
      </c>
      <c r="S86" s="92">
        <v>170</v>
      </c>
      <c r="T86" s="93">
        <f t="shared" si="111"/>
        <v>27200</v>
      </c>
      <c r="U86" s="92">
        <v>170</v>
      </c>
      <c r="V86" s="93">
        <f t="shared" si="112"/>
        <v>27200</v>
      </c>
      <c r="W86" s="92">
        <v>170</v>
      </c>
      <c r="X86" s="93">
        <f t="shared" si="113"/>
        <v>27200</v>
      </c>
      <c r="Y86" s="92">
        <v>170</v>
      </c>
      <c r="Z86" s="93">
        <f t="shared" si="114"/>
        <v>27200</v>
      </c>
      <c r="AA86" s="92">
        <v>170</v>
      </c>
      <c r="AB86" s="93">
        <f t="shared" si="115"/>
        <v>27200</v>
      </c>
      <c r="AC86" s="92">
        <f t="shared" si="116"/>
        <v>2040</v>
      </c>
      <c r="AD86" s="196">
        <f t="shared" si="117"/>
        <v>326400</v>
      </c>
      <c r="AE86" s="1"/>
      <c r="AF86" s="1"/>
    </row>
    <row r="87" spans="2:32" s="249" customFormat="1" x14ac:dyDescent="0.2">
      <c r="B87" s="194" t="s">
        <v>171</v>
      </c>
      <c r="C87" s="90">
        <f>'Modelo de ingresos'!D78</f>
        <v>0</v>
      </c>
      <c r="D87" s="91">
        <f>Hipótesis!I52</f>
        <v>360</v>
      </c>
      <c r="E87" s="92">
        <v>100</v>
      </c>
      <c r="F87" s="93">
        <f t="shared" si="104"/>
        <v>36000</v>
      </c>
      <c r="G87" s="92">
        <v>100</v>
      </c>
      <c r="H87" s="93">
        <f t="shared" si="105"/>
        <v>36000</v>
      </c>
      <c r="I87" s="92">
        <v>100</v>
      </c>
      <c r="J87" s="93">
        <f t="shared" si="106"/>
        <v>36000</v>
      </c>
      <c r="K87" s="92">
        <v>100</v>
      </c>
      <c r="L87" s="93">
        <f t="shared" si="107"/>
        <v>36000</v>
      </c>
      <c r="M87" s="92">
        <v>100</v>
      </c>
      <c r="N87" s="93">
        <f t="shared" si="108"/>
        <v>36000</v>
      </c>
      <c r="O87" s="92">
        <v>100</v>
      </c>
      <c r="P87" s="93">
        <f t="shared" si="109"/>
        <v>36000</v>
      </c>
      <c r="Q87" s="92">
        <v>100</v>
      </c>
      <c r="R87" s="93">
        <f t="shared" si="110"/>
        <v>36000</v>
      </c>
      <c r="S87" s="92">
        <v>100</v>
      </c>
      <c r="T87" s="93">
        <f t="shared" si="111"/>
        <v>36000</v>
      </c>
      <c r="U87" s="92">
        <v>100</v>
      </c>
      <c r="V87" s="93">
        <f t="shared" si="112"/>
        <v>36000</v>
      </c>
      <c r="W87" s="92">
        <v>100</v>
      </c>
      <c r="X87" s="93">
        <f t="shared" si="113"/>
        <v>36000</v>
      </c>
      <c r="Y87" s="92">
        <v>100</v>
      </c>
      <c r="Z87" s="93">
        <f t="shared" si="114"/>
        <v>36000</v>
      </c>
      <c r="AA87" s="92">
        <v>100</v>
      </c>
      <c r="AB87" s="93">
        <f t="shared" si="115"/>
        <v>36000</v>
      </c>
      <c r="AC87" s="92">
        <f t="shared" si="116"/>
        <v>1200</v>
      </c>
      <c r="AD87" s="196">
        <f t="shared" si="117"/>
        <v>432000</v>
      </c>
      <c r="AE87" s="1"/>
      <c r="AF87" s="1"/>
    </row>
    <row r="88" spans="2:32" s="249" customFormat="1" x14ac:dyDescent="0.2">
      <c r="B88" s="194" t="s">
        <v>172</v>
      </c>
      <c r="C88" s="90">
        <f>'Modelo de ingresos'!D79</f>
        <v>0</v>
      </c>
      <c r="D88" s="91">
        <f>Hipótesis!I53</f>
        <v>80</v>
      </c>
      <c r="E88" s="92">
        <v>70</v>
      </c>
      <c r="F88" s="93">
        <f t="shared" si="104"/>
        <v>5600</v>
      </c>
      <c r="G88" s="92">
        <v>70</v>
      </c>
      <c r="H88" s="93">
        <f t="shared" si="105"/>
        <v>5600</v>
      </c>
      <c r="I88" s="92">
        <v>70</v>
      </c>
      <c r="J88" s="93">
        <f t="shared" si="106"/>
        <v>5600</v>
      </c>
      <c r="K88" s="92">
        <v>70</v>
      </c>
      <c r="L88" s="93">
        <f t="shared" si="107"/>
        <v>5600</v>
      </c>
      <c r="M88" s="92">
        <v>70</v>
      </c>
      <c r="N88" s="93">
        <f t="shared" si="108"/>
        <v>5600</v>
      </c>
      <c r="O88" s="92">
        <v>70</v>
      </c>
      <c r="P88" s="93">
        <f t="shared" si="109"/>
        <v>5600</v>
      </c>
      <c r="Q88" s="92">
        <v>70</v>
      </c>
      <c r="R88" s="93">
        <f t="shared" si="110"/>
        <v>5600</v>
      </c>
      <c r="S88" s="92">
        <v>70</v>
      </c>
      <c r="T88" s="93">
        <f t="shared" si="111"/>
        <v>5600</v>
      </c>
      <c r="U88" s="92">
        <v>70</v>
      </c>
      <c r="V88" s="93">
        <f t="shared" si="112"/>
        <v>5600</v>
      </c>
      <c r="W88" s="92">
        <v>70</v>
      </c>
      <c r="X88" s="93">
        <f t="shared" si="113"/>
        <v>5600</v>
      </c>
      <c r="Y88" s="92">
        <v>70</v>
      </c>
      <c r="Z88" s="93">
        <f t="shared" si="114"/>
        <v>5600</v>
      </c>
      <c r="AA88" s="92">
        <v>70</v>
      </c>
      <c r="AB88" s="93">
        <f t="shared" si="115"/>
        <v>5600</v>
      </c>
      <c r="AC88" s="92">
        <f t="shared" si="116"/>
        <v>840</v>
      </c>
      <c r="AD88" s="196">
        <f t="shared" si="117"/>
        <v>67200</v>
      </c>
      <c r="AE88" s="1"/>
      <c r="AF88" s="1"/>
    </row>
    <row r="89" spans="2:32" s="249" customFormat="1" ht="13.5" thickBot="1" x14ac:dyDescent="0.25">
      <c r="B89" s="286" t="s">
        <v>173</v>
      </c>
      <c r="C89" s="287">
        <f>'Modelo de ingresos'!D80</f>
        <v>0</v>
      </c>
      <c r="D89" s="288">
        <f>Hipótesis!I54</f>
        <v>80</v>
      </c>
      <c r="E89" s="289">
        <v>120</v>
      </c>
      <c r="F89" s="290">
        <f t="shared" si="104"/>
        <v>9600</v>
      </c>
      <c r="G89" s="289">
        <v>120</v>
      </c>
      <c r="H89" s="290">
        <f t="shared" si="105"/>
        <v>9600</v>
      </c>
      <c r="I89" s="289">
        <v>120</v>
      </c>
      <c r="J89" s="290">
        <f t="shared" si="106"/>
        <v>9600</v>
      </c>
      <c r="K89" s="289">
        <v>120</v>
      </c>
      <c r="L89" s="290">
        <f t="shared" si="107"/>
        <v>9600</v>
      </c>
      <c r="M89" s="289">
        <v>120</v>
      </c>
      <c r="N89" s="290">
        <f t="shared" si="108"/>
        <v>9600</v>
      </c>
      <c r="O89" s="289">
        <v>120</v>
      </c>
      <c r="P89" s="290">
        <f t="shared" si="109"/>
        <v>9600</v>
      </c>
      <c r="Q89" s="289">
        <v>120</v>
      </c>
      <c r="R89" s="290">
        <f t="shared" si="110"/>
        <v>9600</v>
      </c>
      <c r="S89" s="289">
        <v>120</v>
      </c>
      <c r="T89" s="290">
        <f t="shared" si="111"/>
        <v>9600</v>
      </c>
      <c r="U89" s="289">
        <v>120</v>
      </c>
      <c r="V89" s="290">
        <f t="shared" si="112"/>
        <v>9600</v>
      </c>
      <c r="W89" s="289">
        <v>120</v>
      </c>
      <c r="X89" s="290">
        <f t="shared" si="113"/>
        <v>9600</v>
      </c>
      <c r="Y89" s="289">
        <v>120</v>
      </c>
      <c r="Z89" s="290">
        <f t="shared" si="114"/>
        <v>9600</v>
      </c>
      <c r="AA89" s="289">
        <v>120</v>
      </c>
      <c r="AB89" s="290">
        <f t="shared" si="115"/>
        <v>9600</v>
      </c>
      <c r="AC89" s="289">
        <f t="shared" si="116"/>
        <v>1440</v>
      </c>
      <c r="AD89" s="306">
        <f t="shared" si="117"/>
        <v>115200</v>
      </c>
      <c r="AE89" s="1"/>
      <c r="AF89" s="1"/>
    </row>
    <row r="90" spans="2:32" s="249" customFormat="1" ht="13.5" thickBot="1" x14ac:dyDescent="0.25">
      <c r="B90" s="514" t="s">
        <v>235</v>
      </c>
      <c r="C90" s="515"/>
      <c r="D90" s="515"/>
      <c r="E90" s="309">
        <f t="shared" ref="E90:U90" si="118">SUM(E84:E89)</f>
        <v>830</v>
      </c>
      <c r="F90" s="310">
        <f t="shared" si="118"/>
        <v>163500</v>
      </c>
      <c r="G90" s="309">
        <f t="shared" si="118"/>
        <v>830</v>
      </c>
      <c r="H90" s="310">
        <f t="shared" si="118"/>
        <v>163500</v>
      </c>
      <c r="I90" s="309">
        <f t="shared" si="118"/>
        <v>830</v>
      </c>
      <c r="J90" s="310">
        <f t="shared" si="118"/>
        <v>163500</v>
      </c>
      <c r="K90" s="309">
        <f t="shared" si="118"/>
        <v>830</v>
      </c>
      <c r="L90" s="310">
        <f t="shared" si="118"/>
        <v>163500</v>
      </c>
      <c r="M90" s="309">
        <f t="shared" si="118"/>
        <v>830</v>
      </c>
      <c r="N90" s="310">
        <f t="shared" si="118"/>
        <v>163500</v>
      </c>
      <c r="O90" s="309">
        <f t="shared" si="118"/>
        <v>830</v>
      </c>
      <c r="P90" s="310">
        <f t="shared" si="118"/>
        <v>163500</v>
      </c>
      <c r="Q90" s="309">
        <f t="shared" si="118"/>
        <v>830</v>
      </c>
      <c r="R90" s="310">
        <f t="shared" si="118"/>
        <v>163500</v>
      </c>
      <c r="S90" s="309">
        <f t="shared" si="118"/>
        <v>830</v>
      </c>
      <c r="T90" s="310">
        <f t="shared" si="118"/>
        <v>163500</v>
      </c>
      <c r="U90" s="309">
        <f t="shared" si="118"/>
        <v>830</v>
      </c>
      <c r="V90" s="310">
        <f t="shared" ref="V90" si="119">SUM(V84:V89)</f>
        <v>163500</v>
      </c>
      <c r="W90" s="309">
        <f t="shared" ref="W90" si="120">SUM(W84:W89)</f>
        <v>830</v>
      </c>
      <c r="X90" s="310">
        <f t="shared" ref="X90" si="121">SUM(X84:X89)</f>
        <v>163500</v>
      </c>
      <c r="Y90" s="309">
        <f t="shared" ref="Y90" si="122">SUM(Y84:Y89)</f>
        <v>830</v>
      </c>
      <c r="Z90" s="310">
        <f t="shared" ref="Z90" si="123">SUM(Z84:Z89)</f>
        <v>163500</v>
      </c>
      <c r="AA90" s="309">
        <f t="shared" ref="AA90" si="124">SUM(AA84:AA89)</f>
        <v>830</v>
      </c>
      <c r="AB90" s="310">
        <f t="shared" ref="AB90" si="125">SUM(AB84:AB89)</f>
        <v>163500</v>
      </c>
      <c r="AC90" s="309">
        <f>SUM(AC84:AC89)</f>
        <v>9960</v>
      </c>
      <c r="AD90" s="311">
        <f>SUM(AD84:AD89)</f>
        <v>1962000</v>
      </c>
      <c r="AE90" s="1"/>
      <c r="AF90" s="1"/>
    </row>
    <row r="91" spans="2:32" s="249" customFormat="1" ht="13.5" thickBot="1" x14ac:dyDescent="0.25">
      <c r="B91" s="291" t="s">
        <v>43</v>
      </c>
      <c r="C91" s="292">
        <f>SUM(C78:C89)</f>
        <v>0</v>
      </c>
      <c r="D91" s="293"/>
      <c r="E91" s="294">
        <f>E81+E90</f>
        <v>24695</v>
      </c>
      <c r="F91" s="293">
        <f>F81+F90</f>
        <v>2722975</v>
      </c>
      <c r="G91" s="294">
        <f t="shared" ref="G91:AB91" si="126">G90+G81</f>
        <v>25040</v>
      </c>
      <c r="H91" s="293">
        <f t="shared" si="126"/>
        <v>2759930</v>
      </c>
      <c r="I91" s="294">
        <f t="shared" si="126"/>
        <v>25385</v>
      </c>
      <c r="J91" s="293">
        <f t="shared" si="126"/>
        <v>2796885</v>
      </c>
      <c r="K91" s="294">
        <f t="shared" si="126"/>
        <v>25730</v>
      </c>
      <c r="L91" s="293">
        <f t="shared" si="126"/>
        <v>2833840</v>
      </c>
      <c r="M91" s="294">
        <f t="shared" si="126"/>
        <v>26075</v>
      </c>
      <c r="N91" s="293">
        <f t="shared" si="126"/>
        <v>2870795</v>
      </c>
      <c r="O91" s="294">
        <f t="shared" si="126"/>
        <v>26420</v>
      </c>
      <c r="P91" s="293">
        <f t="shared" si="126"/>
        <v>2907750</v>
      </c>
      <c r="Q91" s="294">
        <f t="shared" si="126"/>
        <v>26765</v>
      </c>
      <c r="R91" s="293">
        <f t="shared" si="126"/>
        <v>2944705</v>
      </c>
      <c r="S91" s="294">
        <f t="shared" si="126"/>
        <v>27110</v>
      </c>
      <c r="T91" s="293">
        <f t="shared" si="126"/>
        <v>2981660</v>
      </c>
      <c r="U91" s="293">
        <f t="shared" si="126"/>
        <v>27455</v>
      </c>
      <c r="V91" s="293">
        <f t="shared" si="126"/>
        <v>3018615</v>
      </c>
      <c r="W91" s="294">
        <f t="shared" si="126"/>
        <v>27800</v>
      </c>
      <c r="X91" s="293">
        <f t="shared" si="126"/>
        <v>3055570</v>
      </c>
      <c r="Y91" s="294">
        <f t="shared" si="126"/>
        <v>28145</v>
      </c>
      <c r="Z91" s="293">
        <f t="shared" si="126"/>
        <v>3092525</v>
      </c>
      <c r="AA91" s="294">
        <f t="shared" si="126"/>
        <v>28490</v>
      </c>
      <c r="AB91" s="293">
        <f t="shared" si="126"/>
        <v>3129480</v>
      </c>
      <c r="AC91" s="307" t="s">
        <v>243</v>
      </c>
      <c r="AD91" s="308">
        <f>AD90+AD81</f>
        <v>35114730</v>
      </c>
    </row>
    <row r="92" spans="2:32" s="249" customFormat="1" x14ac:dyDescent="0.2">
      <c r="B92" s="313"/>
      <c r="E92" s="78"/>
      <c r="F92" s="78"/>
      <c r="G92" s="78"/>
      <c r="H92" s="78"/>
      <c r="I92" s="78"/>
      <c r="J92" s="78"/>
      <c r="K92" s="312"/>
      <c r="L92" s="78"/>
      <c r="M92" s="78"/>
      <c r="N92" s="78"/>
      <c r="O92" s="312"/>
      <c r="P92" s="78"/>
      <c r="Q92" s="312"/>
      <c r="R92" s="78"/>
      <c r="S92" s="312"/>
      <c r="T92" s="78"/>
      <c r="U92" s="312"/>
      <c r="V92" s="78"/>
      <c r="W92" s="312"/>
      <c r="X92" s="78"/>
      <c r="Y92" s="312"/>
      <c r="Z92" s="78"/>
      <c r="AA92" s="312"/>
      <c r="AB92" s="78"/>
      <c r="AC92" s="78"/>
    </row>
    <row r="93" spans="2:32" ht="13.5" thickBot="1" x14ac:dyDescent="0.25"/>
    <row r="94" spans="2:32" s="53" customFormat="1" ht="13.5" thickBot="1" x14ac:dyDescent="0.25">
      <c r="B94" s="88" t="s">
        <v>156</v>
      </c>
      <c r="E94" s="503" t="s">
        <v>25</v>
      </c>
      <c r="F94" s="478"/>
      <c r="G94" s="479" t="s">
        <v>26</v>
      </c>
      <c r="H94" s="478"/>
      <c r="I94" s="477" t="s">
        <v>27</v>
      </c>
      <c r="J94" s="478"/>
      <c r="K94" s="479" t="s">
        <v>28</v>
      </c>
      <c r="L94" s="478"/>
      <c r="M94" s="477" t="s">
        <v>29</v>
      </c>
      <c r="N94" s="478"/>
      <c r="O94" s="477" t="s">
        <v>30</v>
      </c>
      <c r="P94" s="478"/>
      <c r="Q94" s="479" t="s">
        <v>31</v>
      </c>
      <c r="R94" s="478"/>
      <c r="S94" s="477" t="s">
        <v>32</v>
      </c>
      <c r="T94" s="478"/>
      <c r="U94" s="479" t="s">
        <v>33</v>
      </c>
      <c r="V94" s="478"/>
      <c r="W94" s="477" t="s">
        <v>34</v>
      </c>
      <c r="X94" s="478"/>
      <c r="Y94" s="477" t="s">
        <v>35</v>
      </c>
      <c r="Z94" s="478"/>
      <c r="AA94" s="479" t="s">
        <v>36</v>
      </c>
      <c r="AB94" s="478"/>
      <c r="AC94" s="80" t="s">
        <v>43</v>
      </c>
    </row>
    <row r="95" spans="2:32" s="53" customFormat="1" x14ac:dyDescent="0.2">
      <c r="B95" s="84" t="s">
        <v>61</v>
      </c>
      <c r="E95" s="473"/>
      <c r="F95" s="471"/>
      <c r="G95" s="470"/>
      <c r="H95" s="471"/>
      <c r="I95" s="470"/>
      <c r="J95" s="471"/>
      <c r="K95" s="470">
        <v>1</v>
      </c>
      <c r="L95" s="471"/>
      <c r="M95" s="470"/>
      <c r="N95" s="471"/>
      <c r="O95" s="470"/>
      <c r="P95" s="471"/>
      <c r="Q95" s="470"/>
      <c r="R95" s="471"/>
      <c r="S95" s="470"/>
      <c r="T95" s="471"/>
      <c r="U95" s="470"/>
      <c r="V95" s="471"/>
      <c r="W95" s="470"/>
      <c r="X95" s="471"/>
      <c r="Y95" s="470"/>
      <c r="Z95" s="471"/>
      <c r="AA95" s="470"/>
      <c r="AB95" s="471"/>
      <c r="AC95" s="81">
        <f t="shared" ref="AC95:AC99" si="127">SUM(E95:AB95)</f>
        <v>1</v>
      </c>
    </row>
    <row r="96" spans="2:32" s="53" customFormat="1" x14ac:dyDescent="0.2">
      <c r="B96" s="84" t="s">
        <v>182</v>
      </c>
      <c r="E96" s="473"/>
      <c r="F96" s="471"/>
      <c r="G96" s="470"/>
      <c r="H96" s="471"/>
      <c r="I96" s="470"/>
      <c r="J96" s="471"/>
      <c r="K96" s="470">
        <v>1</v>
      </c>
      <c r="L96" s="471"/>
      <c r="M96" s="470"/>
      <c r="N96" s="471"/>
      <c r="O96" s="470"/>
      <c r="P96" s="471"/>
      <c r="Q96" s="470"/>
      <c r="R96" s="471"/>
      <c r="S96" s="470"/>
      <c r="T96" s="471"/>
      <c r="U96" s="470"/>
      <c r="V96" s="471"/>
      <c r="W96" s="470"/>
      <c r="X96" s="471"/>
      <c r="Y96" s="470"/>
      <c r="Z96" s="471"/>
      <c r="AA96" s="470"/>
      <c r="AB96" s="471"/>
      <c r="AC96" s="81">
        <f t="shared" si="127"/>
        <v>1</v>
      </c>
    </row>
    <row r="97" spans="2:29" s="249" customFormat="1" x14ac:dyDescent="0.2">
      <c r="B97" s="85" t="s">
        <v>180</v>
      </c>
      <c r="E97" s="472"/>
      <c r="F97" s="471"/>
      <c r="G97" s="471"/>
      <c r="H97" s="471"/>
      <c r="I97" s="471"/>
      <c r="J97" s="471"/>
      <c r="K97" s="470">
        <v>1</v>
      </c>
      <c r="L97" s="471"/>
      <c r="M97" s="471"/>
      <c r="N97" s="471"/>
      <c r="O97" s="470"/>
      <c r="P97" s="471"/>
      <c r="Q97" s="470"/>
      <c r="R97" s="471"/>
      <c r="S97" s="470"/>
      <c r="T97" s="471"/>
      <c r="U97" s="470"/>
      <c r="V97" s="471"/>
      <c r="W97" s="470"/>
      <c r="X97" s="471"/>
      <c r="Y97" s="470"/>
      <c r="Z97" s="471"/>
      <c r="AA97" s="470"/>
      <c r="AB97" s="471"/>
      <c r="AC97" s="81">
        <f t="shared" si="127"/>
        <v>1</v>
      </c>
    </row>
    <row r="98" spans="2:29" s="53" customFormat="1" x14ac:dyDescent="0.2">
      <c r="B98" s="85" t="s">
        <v>20</v>
      </c>
      <c r="E98" s="472"/>
      <c r="F98" s="471"/>
      <c r="G98" s="471"/>
      <c r="H98" s="471"/>
      <c r="I98" s="471"/>
      <c r="J98" s="471"/>
      <c r="K98" s="470">
        <v>2</v>
      </c>
      <c r="L98" s="471"/>
      <c r="M98" s="471"/>
      <c r="N98" s="471"/>
      <c r="O98" s="470"/>
      <c r="P98" s="471"/>
      <c r="Q98" s="470"/>
      <c r="R98" s="471"/>
      <c r="S98" s="470"/>
      <c r="T98" s="471"/>
      <c r="U98" s="470"/>
      <c r="V98" s="471"/>
      <c r="W98" s="470"/>
      <c r="X98" s="471"/>
      <c r="Y98" s="470"/>
      <c r="Z98" s="471"/>
      <c r="AA98" s="470"/>
      <c r="AB98" s="471"/>
      <c r="AC98" s="81">
        <f t="shared" si="127"/>
        <v>2</v>
      </c>
    </row>
    <row r="99" spans="2:29" s="53" customFormat="1" ht="13.5" thickBot="1" x14ac:dyDescent="0.25">
      <c r="B99" s="86" t="s">
        <v>21</v>
      </c>
      <c r="E99" s="474"/>
      <c r="F99" s="475"/>
      <c r="G99" s="475"/>
      <c r="H99" s="475"/>
      <c r="I99" s="475"/>
      <c r="J99" s="475"/>
      <c r="K99" s="476">
        <v>2</v>
      </c>
      <c r="L99" s="475"/>
      <c r="M99" s="475"/>
      <c r="N99" s="475"/>
      <c r="O99" s="476"/>
      <c r="P99" s="475"/>
      <c r="Q99" s="476"/>
      <c r="R99" s="475"/>
      <c r="S99" s="476"/>
      <c r="T99" s="475"/>
      <c r="U99" s="476"/>
      <c r="V99" s="475"/>
      <c r="W99" s="476"/>
      <c r="X99" s="475"/>
      <c r="Y99" s="476"/>
      <c r="Z99" s="475"/>
      <c r="AA99" s="476"/>
      <c r="AB99" s="475"/>
      <c r="AC99" s="82">
        <f t="shared" si="127"/>
        <v>2</v>
      </c>
    </row>
  </sheetData>
  <mergeCells count="301">
    <mergeCell ref="B81:D81"/>
    <mergeCell ref="B82:AD82"/>
    <mergeCell ref="B83:D83"/>
    <mergeCell ref="B90:D90"/>
    <mergeCell ref="E97:F97"/>
    <mergeCell ref="G97:H97"/>
    <mergeCell ref="I97:J97"/>
    <mergeCell ref="K97:L97"/>
    <mergeCell ref="M97:N97"/>
    <mergeCell ref="O97:P97"/>
    <mergeCell ref="Q97:R97"/>
    <mergeCell ref="S97:T97"/>
    <mergeCell ref="U97:V97"/>
    <mergeCell ref="W97:X97"/>
    <mergeCell ref="Y97:Z97"/>
    <mergeCell ref="AA97:AB97"/>
    <mergeCell ref="Y94:Z94"/>
    <mergeCell ref="AA94:AB94"/>
    <mergeCell ref="E94:F94"/>
    <mergeCell ref="G94:H94"/>
    <mergeCell ref="I94:J94"/>
    <mergeCell ref="K94:L94"/>
    <mergeCell ref="M94:N94"/>
    <mergeCell ref="Y95:Z95"/>
    <mergeCell ref="B51:D51"/>
    <mergeCell ref="B52:AD52"/>
    <mergeCell ref="B53:D53"/>
    <mergeCell ref="B60:D60"/>
    <mergeCell ref="E75:AB75"/>
    <mergeCell ref="E76:F76"/>
    <mergeCell ref="G76:H76"/>
    <mergeCell ref="I76:J76"/>
    <mergeCell ref="K76:L76"/>
    <mergeCell ref="M76:N76"/>
    <mergeCell ref="O76:P76"/>
    <mergeCell ref="Q76:R76"/>
    <mergeCell ref="S76:T76"/>
    <mergeCell ref="U76:V76"/>
    <mergeCell ref="W76:X76"/>
    <mergeCell ref="Y76:Z76"/>
    <mergeCell ref="AA76:AB76"/>
    <mergeCell ref="AC76:AD76"/>
    <mergeCell ref="W64:X64"/>
    <mergeCell ref="E64:F64"/>
    <mergeCell ref="G64:H64"/>
    <mergeCell ref="I64:J64"/>
    <mergeCell ref="K64:L64"/>
    <mergeCell ref="M64:N64"/>
    <mergeCell ref="W46:X46"/>
    <mergeCell ref="Y46:Z46"/>
    <mergeCell ref="AA46:AB46"/>
    <mergeCell ref="AC46:AD46"/>
    <mergeCell ref="B29:AD29"/>
    <mergeCell ref="B30:D30"/>
    <mergeCell ref="AA42:AB42"/>
    <mergeCell ref="E43:F43"/>
    <mergeCell ref="G43:H43"/>
    <mergeCell ref="I43:J43"/>
    <mergeCell ref="K43:L43"/>
    <mergeCell ref="Y43:Z43"/>
    <mergeCell ref="AA43:AB43"/>
    <mergeCell ref="E46:F46"/>
    <mergeCell ref="G46:H46"/>
    <mergeCell ref="I46:J46"/>
    <mergeCell ref="K46:L46"/>
    <mergeCell ref="M46:N46"/>
    <mergeCell ref="O46:P46"/>
    <mergeCell ref="Q46:R46"/>
    <mergeCell ref="S46:T46"/>
    <mergeCell ref="U46:V46"/>
    <mergeCell ref="E41:F41"/>
    <mergeCell ref="G41:H41"/>
    <mergeCell ref="B28:D28"/>
    <mergeCell ref="B37:D37"/>
    <mergeCell ref="E42:F42"/>
    <mergeCell ref="G42:H42"/>
    <mergeCell ref="I42:J42"/>
    <mergeCell ref="K42:L42"/>
    <mergeCell ref="M42:N42"/>
    <mergeCell ref="AC23:AD23"/>
    <mergeCell ref="E45:AB45"/>
    <mergeCell ref="Y42:Z42"/>
    <mergeCell ref="AA40:AB40"/>
    <mergeCell ref="O40:P40"/>
    <mergeCell ref="Q40:R40"/>
    <mergeCell ref="S40:T40"/>
    <mergeCell ref="U40:V40"/>
    <mergeCell ref="W40:X40"/>
    <mergeCell ref="E40:F40"/>
    <mergeCell ref="G40:H40"/>
    <mergeCell ref="I40:J40"/>
    <mergeCell ref="K40:L40"/>
    <mergeCell ref="M40:N40"/>
    <mergeCell ref="Y40:Z40"/>
    <mergeCell ref="I41:J41"/>
    <mergeCell ref="K41:L41"/>
    <mergeCell ref="W41:X41"/>
    <mergeCell ref="Y41:Z41"/>
    <mergeCell ref="O42:P42"/>
    <mergeCell ref="Q42:R42"/>
    <mergeCell ref="S42:T42"/>
    <mergeCell ref="U42:V42"/>
    <mergeCell ref="W42:X42"/>
    <mergeCell ref="E10:N18"/>
    <mergeCell ref="E9:N9"/>
    <mergeCell ref="D1:G1"/>
    <mergeCell ref="D2:G2"/>
    <mergeCell ref="D3:G3"/>
    <mergeCell ref="D4:G4"/>
    <mergeCell ref="D5:G5"/>
    <mergeCell ref="E22:AB22"/>
    <mergeCell ref="E23:F23"/>
    <mergeCell ref="G23:H23"/>
    <mergeCell ref="I23:J23"/>
    <mergeCell ref="K23:L23"/>
    <mergeCell ref="M23:N23"/>
    <mergeCell ref="O23:P23"/>
    <mergeCell ref="Q23:R23"/>
    <mergeCell ref="S23:T23"/>
    <mergeCell ref="U23:V23"/>
    <mergeCell ref="W23:X23"/>
    <mergeCell ref="Y23:Z23"/>
    <mergeCell ref="AA23:AB23"/>
    <mergeCell ref="AA41:AB41"/>
    <mergeCell ref="M41:N41"/>
    <mergeCell ref="O41:P41"/>
    <mergeCell ref="Q41:R41"/>
    <mergeCell ref="S41:T41"/>
    <mergeCell ref="U41:V41"/>
    <mergeCell ref="Y64:Z64"/>
    <mergeCell ref="AA64:AB64"/>
    <mergeCell ref="W66:X66"/>
    <mergeCell ref="Y66:Z66"/>
    <mergeCell ref="AA66:AB66"/>
    <mergeCell ref="O64:P64"/>
    <mergeCell ref="Q64:R64"/>
    <mergeCell ref="S64:T64"/>
    <mergeCell ref="U64:V64"/>
    <mergeCell ref="M43:N43"/>
    <mergeCell ref="O43:P43"/>
    <mergeCell ref="Q43:R43"/>
    <mergeCell ref="S43:T43"/>
    <mergeCell ref="U43:V43"/>
    <mergeCell ref="W43:X43"/>
    <mergeCell ref="M66:N66"/>
    <mergeCell ref="O66:P66"/>
    <mergeCell ref="Q66:R66"/>
    <mergeCell ref="Y67:Z67"/>
    <mergeCell ref="AA67:AB67"/>
    <mergeCell ref="E68:F68"/>
    <mergeCell ref="G68:H68"/>
    <mergeCell ref="I68:J68"/>
    <mergeCell ref="K68:L68"/>
    <mergeCell ref="M68:N68"/>
    <mergeCell ref="O68:P68"/>
    <mergeCell ref="Q68:R68"/>
    <mergeCell ref="S68:T68"/>
    <mergeCell ref="U68:V68"/>
    <mergeCell ref="W68:X68"/>
    <mergeCell ref="Y68:Z68"/>
    <mergeCell ref="AA68:AB68"/>
    <mergeCell ref="O67:P67"/>
    <mergeCell ref="Q67:R67"/>
    <mergeCell ref="S67:T67"/>
    <mergeCell ref="U67:V67"/>
    <mergeCell ref="W67:X67"/>
    <mergeCell ref="E67:F67"/>
    <mergeCell ref="G67:H67"/>
    <mergeCell ref="I67:J67"/>
    <mergeCell ref="K67:L67"/>
    <mergeCell ref="M67:N67"/>
    <mergeCell ref="AA70:AB70"/>
    <mergeCell ref="E72:F72"/>
    <mergeCell ref="G72:H72"/>
    <mergeCell ref="I72:J72"/>
    <mergeCell ref="K72:L72"/>
    <mergeCell ref="M72:N72"/>
    <mergeCell ref="O72:P72"/>
    <mergeCell ref="Q72:R72"/>
    <mergeCell ref="S72:T72"/>
    <mergeCell ref="U72:V72"/>
    <mergeCell ref="W72:X72"/>
    <mergeCell ref="Y72:Z72"/>
    <mergeCell ref="AA72:AB72"/>
    <mergeCell ref="O70:P70"/>
    <mergeCell ref="Q70:R70"/>
    <mergeCell ref="S70:T70"/>
    <mergeCell ref="U70:V70"/>
    <mergeCell ref="E70:F70"/>
    <mergeCell ref="G70:H70"/>
    <mergeCell ref="I70:J70"/>
    <mergeCell ref="E95:F95"/>
    <mergeCell ref="G95:H95"/>
    <mergeCell ref="I95:J95"/>
    <mergeCell ref="K95:L95"/>
    <mergeCell ref="M95:N95"/>
    <mergeCell ref="K70:L70"/>
    <mergeCell ref="Y73:Z73"/>
    <mergeCell ref="AA73:AB73"/>
    <mergeCell ref="O73:P73"/>
    <mergeCell ref="Q73:R73"/>
    <mergeCell ref="S73:T73"/>
    <mergeCell ref="U73:V73"/>
    <mergeCell ref="W73:X73"/>
    <mergeCell ref="W70:X70"/>
    <mergeCell ref="W71:X71"/>
    <mergeCell ref="Y71:Z71"/>
    <mergeCell ref="AA71:AB71"/>
    <mergeCell ref="E73:F73"/>
    <mergeCell ref="G73:H73"/>
    <mergeCell ref="I73:J73"/>
    <mergeCell ref="K73:L73"/>
    <mergeCell ref="M70:N70"/>
    <mergeCell ref="M73:N73"/>
    <mergeCell ref="Y70:Z70"/>
    <mergeCell ref="O94:P94"/>
    <mergeCell ref="Q94:R94"/>
    <mergeCell ref="S94:T94"/>
    <mergeCell ref="U94:V94"/>
    <mergeCell ref="W94:X94"/>
    <mergeCell ref="Y96:Z96"/>
    <mergeCell ref="AA96:AB96"/>
    <mergeCell ref="O96:P96"/>
    <mergeCell ref="Q96:R96"/>
    <mergeCell ref="S96:T96"/>
    <mergeCell ref="U96:V96"/>
    <mergeCell ref="W96:X96"/>
    <mergeCell ref="AA95:AB95"/>
    <mergeCell ref="O95:P95"/>
    <mergeCell ref="Q95:R95"/>
    <mergeCell ref="S95:T95"/>
    <mergeCell ref="U95:V95"/>
    <mergeCell ref="W95:X95"/>
    <mergeCell ref="E96:F96"/>
    <mergeCell ref="G96:H96"/>
    <mergeCell ref="I96:J96"/>
    <mergeCell ref="K96:L96"/>
    <mergeCell ref="M96:N96"/>
    <mergeCell ref="Y98:Z98"/>
    <mergeCell ref="AA98:AB98"/>
    <mergeCell ref="E99:F99"/>
    <mergeCell ref="G99:H99"/>
    <mergeCell ref="I99:J99"/>
    <mergeCell ref="K99:L99"/>
    <mergeCell ref="M99:N99"/>
    <mergeCell ref="O99:P99"/>
    <mergeCell ref="Q99:R99"/>
    <mergeCell ref="S99:T99"/>
    <mergeCell ref="U99:V99"/>
    <mergeCell ref="W99:X99"/>
    <mergeCell ref="Y99:Z99"/>
    <mergeCell ref="AA99:AB99"/>
    <mergeCell ref="O98:P98"/>
    <mergeCell ref="Q98:R98"/>
    <mergeCell ref="S98:T98"/>
    <mergeCell ref="U98:V98"/>
    <mergeCell ref="W98:X98"/>
    <mergeCell ref="E98:F98"/>
    <mergeCell ref="G98:H98"/>
    <mergeCell ref="I98:J98"/>
    <mergeCell ref="K98:L98"/>
    <mergeCell ref="M98:N98"/>
    <mergeCell ref="W65:X65"/>
    <mergeCell ref="Y65:Z65"/>
    <mergeCell ref="AA65:AB65"/>
    <mergeCell ref="E69:F69"/>
    <mergeCell ref="G69:H69"/>
    <mergeCell ref="I69:J69"/>
    <mergeCell ref="K69:L69"/>
    <mergeCell ref="M69:N69"/>
    <mergeCell ref="O69:P69"/>
    <mergeCell ref="Q69:R69"/>
    <mergeCell ref="S69:T69"/>
    <mergeCell ref="U69:V69"/>
    <mergeCell ref="W69:X69"/>
    <mergeCell ref="Y69:Z69"/>
    <mergeCell ref="AA69:AB69"/>
    <mergeCell ref="E65:F65"/>
    <mergeCell ref="G65:H65"/>
    <mergeCell ref="I65:J65"/>
    <mergeCell ref="K65:L65"/>
    <mergeCell ref="M65:N65"/>
    <mergeCell ref="O65:P65"/>
    <mergeCell ref="Q65:R65"/>
    <mergeCell ref="S65:T65"/>
    <mergeCell ref="U65:V65"/>
    <mergeCell ref="E71:F71"/>
    <mergeCell ref="G71:H71"/>
    <mergeCell ref="I71:J71"/>
    <mergeCell ref="K71:L71"/>
    <mergeCell ref="M71:N71"/>
    <mergeCell ref="O71:P71"/>
    <mergeCell ref="Q71:R71"/>
    <mergeCell ref="S71:T71"/>
    <mergeCell ref="U71:V71"/>
    <mergeCell ref="E66:F66"/>
    <mergeCell ref="G66:H66"/>
    <mergeCell ref="I66:J66"/>
    <mergeCell ref="K66:L66"/>
    <mergeCell ref="S66:T66"/>
    <mergeCell ref="U66:V66"/>
  </mergeCells>
  <hyperlinks>
    <hyperlink ref="A5" location="Indice!A1" display="Indice" xr:uid="{93576240-8C4B-4090-89BF-225F690526F4}"/>
  </hyperlinks>
  <pageMargins left="0.25" right="0.25" top="0.75" bottom="0.75" header="0.3" footer="0.3"/>
  <pageSetup paperSize="9"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5"/>
  <sheetViews>
    <sheetView showGridLines="0" zoomScale="85" zoomScaleNormal="85" workbookViewId="0">
      <pane ySplit="6" topLeftCell="A7" activePane="bottomLeft" state="frozen"/>
      <selection pane="bottomLeft" activeCell="B10" sqref="B10"/>
    </sheetView>
  </sheetViews>
  <sheetFormatPr baseColWidth="10" defaultColWidth="14.42578125" defaultRowHeight="15.75" customHeight="1" x14ac:dyDescent="0.2"/>
  <cols>
    <col min="1" max="1" width="0.42578125" customWidth="1"/>
    <col min="2" max="2" width="41.42578125" bestFit="1" customWidth="1"/>
    <col min="3" max="3" width="7.140625" bestFit="1" customWidth="1"/>
    <col min="4" max="4" width="4" bestFit="1" customWidth="1"/>
    <col min="5" max="5" width="11.85546875" bestFit="1" customWidth="1"/>
    <col min="6" max="7" width="11.7109375" bestFit="1" customWidth="1"/>
    <col min="8" max="8" width="11.85546875" bestFit="1" customWidth="1"/>
    <col min="9" max="9" width="12" customWidth="1"/>
    <col min="10" max="10" width="4" bestFit="1" customWidth="1"/>
    <col min="11" max="11" width="11.85546875" bestFit="1" customWidth="1"/>
    <col min="12" max="12" width="11.7109375" bestFit="1" customWidth="1"/>
  </cols>
  <sheetData>
    <row r="1" spans="1:12" s="42" customFormat="1" ht="15" x14ac:dyDescent="0.2">
      <c r="C1" s="433" t="s">
        <v>0</v>
      </c>
      <c r="D1" s="433"/>
      <c r="E1" s="433"/>
      <c r="F1" s="433"/>
      <c r="G1" s="45"/>
    </row>
    <row r="2" spans="1:12" s="42" customFormat="1" ht="15" x14ac:dyDescent="0.25">
      <c r="A2" s="46"/>
      <c r="C2" s="396" t="s">
        <v>143</v>
      </c>
      <c r="D2" s="397"/>
      <c r="E2" s="397"/>
      <c r="F2" s="397"/>
    </row>
    <row r="3" spans="1:12" s="42" customFormat="1" ht="12.75" x14ac:dyDescent="0.2">
      <c r="A3" s="44"/>
      <c r="C3" s="396" t="s">
        <v>140</v>
      </c>
      <c r="D3" s="397"/>
      <c r="E3" s="397"/>
      <c r="F3" s="397"/>
    </row>
    <row r="4" spans="1:12" s="42" customFormat="1" ht="12.75" x14ac:dyDescent="0.2">
      <c r="A4" s="47"/>
      <c r="C4" s="396" t="s">
        <v>141</v>
      </c>
      <c r="D4" s="397"/>
      <c r="E4" s="397"/>
      <c r="F4" s="397"/>
    </row>
    <row r="5" spans="1:12" s="42" customFormat="1" ht="14.25" x14ac:dyDescent="0.2">
      <c r="A5" s="237" t="s">
        <v>1</v>
      </c>
      <c r="C5" s="396" t="s">
        <v>142</v>
      </c>
      <c r="D5" s="397"/>
      <c r="E5" s="397"/>
      <c r="F5" s="397"/>
    </row>
    <row r="6" spans="1:12" s="43" customFormat="1" ht="15.75" customHeight="1" thickBot="1" x14ac:dyDescent="0.25">
      <c r="A6" s="516" t="s">
        <v>38</v>
      </c>
      <c r="B6" s="516"/>
    </row>
    <row r="8" spans="1:12" ht="15.75" customHeight="1" thickBot="1" x14ac:dyDescent="0.25">
      <c r="F8" s="327"/>
      <c r="G8" s="327"/>
      <c r="H8" s="327"/>
    </row>
    <row r="9" spans="1:12" ht="15.75" customHeight="1" x14ac:dyDescent="0.2">
      <c r="B9" s="41"/>
      <c r="C9" s="41"/>
      <c r="D9" s="41"/>
      <c r="E9" s="41"/>
      <c r="F9" s="209" t="s">
        <v>147</v>
      </c>
      <c r="G9" s="210" t="s">
        <v>39</v>
      </c>
      <c r="H9" s="211" t="s">
        <v>40</v>
      </c>
      <c r="I9" s="41"/>
      <c r="J9" s="41"/>
      <c r="K9" s="41"/>
      <c r="L9" s="41"/>
    </row>
    <row r="10" spans="1:12" ht="15.75" customHeight="1" thickBot="1" x14ac:dyDescent="0.25">
      <c r="B10" s="41"/>
      <c r="C10" s="41"/>
      <c r="D10" s="41"/>
      <c r="E10" s="41"/>
      <c r="F10" s="240">
        <f>F25</f>
        <v>12902940</v>
      </c>
      <c r="G10" s="241">
        <f>I25</f>
        <v>27167660</v>
      </c>
      <c r="H10" s="242">
        <f>L25</f>
        <v>35114730</v>
      </c>
      <c r="I10" s="41"/>
      <c r="J10" s="41"/>
      <c r="K10" s="41"/>
      <c r="L10" s="41"/>
    </row>
    <row r="11" spans="1:12" ht="15.75" customHeight="1" thickBot="1" x14ac:dyDescent="0.25">
      <c r="B11" s="41"/>
      <c r="C11" s="41"/>
      <c r="D11" s="41"/>
      <c r="E11" s="41"/>
      <c r="F11" s="41"/>
      <c r="G11" s="41"/>
      <c r="H11" s="41"/>
      <c r="I11" s="41"/>
      <c r="J11" s="41"/>
      <c r="K11" s="41"/>
      <c r="L11" s="41"/>
    </row>
    <row r="12" spans="1:12" ht="15.75" customHeight="1" thickBot="1" x14ac:dyDescent="0.25">
      <c r="B12" s="74"/>
      <c r="C12" s="41"/>
      <c r="D12" s="519" t="s">
        <v>24</v>
      </c>
      <c r="E12" s="520"/>
      <c r="F12" s="520"/>
      <c r="G12" s="521" t="s">
        <v>39</v>
      </c>
      <c r="H12" s="520"/>
      <c r="I12" s="522"/>
      <c r="J12" s="521" t="s">
        <v>40</v>
      </c>
      <c r="K12" s="520"/>
      <c r="L12" s="523"/>
    </row>
    <row r="13" spans="1:12" ht="15.75" customHeight="1" thickBot="1" x14ac:dyDescent="0.25">
      <c r="B13" s="113" t="s">
        <v>186</v>
      </c>
      <c r="C13" s="114" t="s">
        <v>42</v>
      </c>
      <c r="D13" s="114" t="s">
        <v>148</v>
      </c>
      <c r="E13" s="114" t="s">
        <v>187</v>
      </c>
      <c r="F13" s="114" t="s">
        <v>37</v>
      </c>
      <c r="G13" s="114" t="s">
        <v>148</v>
      </c>
      <c r="H13" s="114" t="s">
        <v>187</v>
      </c>
      <c r="I13" s="114" t="s">
        <v>37</v>
      </c>
      <c r="J13" s="114" t="s">
        <v>148</v>
      </c>
      <c r="K13" s="114" t="s">
        <v>187</v>
      </c>
      <c r="L13" s="115" t="s">
        <v>37</v>
      </c>
    </row>
    <row r="14" spans="1:12" ht="15.75" customHeight="1" x14ac:dyDescent="0.2">
      <c r="B14" s="107" t="s">
        <v>157</v>
      </c>
      <c r="C14" s="108">
        <f>Hipótesis!I46</f>
        <v>80</v>
      </c>
      <c r="D14" s="109">
        <f>(F14*100)/$F$25</f>
        <v>33.127333770443016</v>
      </c>
      <c r="E14" s="109">
        <f>'Proyección de Ingresos'!AA25</f>
        <v>8220</v>
      </c>
      <c r="F14" s="110">
        <f>'Proyección de Ingresos'!AD25</f>
        <v>4274400</v>
      </c>
      <c r="G14" s="111">
        <f>(I14*100)/$I$25</f>
        <v>38.071442295729554</v>
      </c>
      <c r="H14" s="109">
        <f>'Proyección de Ingresos'!AC48</f>
        <v>12936</v>
      </c>
      <c r="I14" s="110">
        <f>'Proyección de Ingresos'!AD48</f>
        <v>10343120</v>
      </c>
      <c r="J14" s="111">
        <f>(L14*100)/$L$25</f>
        <v>38.742032189910049</v>
      </c>
      <c r="K14" s="109">
        <f>'Proyección de Ingresos'!AC78</f>
        <v>15216</v>
      </c>
      <c r="L14" s="112">
        <f>'Proyección de Ingresos'!AD78</f>
        <v>13604160</v>
      </c>
    </row>
    <row r="15" spans="1:12" ht="15.75" customHeight="1" x14ac:dyDescent="0.2">
      <c r="B15" s="83" t="s">
        <v>158</v>
      </c>
      <c r="C15" s="108">
        <f>Hipótesis!I47</f>
        <v>125</v>
      </c>
      <c r="D15" s="109">
        <f t="shared" ref="D15:D16" si="0">(F15*100)/$F$25</f>
        <v>32.945979753451539</v>
      </c>
      <c r="E15" s="75">
        <f>'Proyección de Ingresos'!AA26</f>
        <v>5232</v>
      </c>
      <c r="F15" s="110">
        <f>'Proyección de Ingresos'!AD26</f>
        <v>4251000</v>
      </c>
      <c r="G15" s="111">
        <f t="shared" ref="G15:G16" si="1">(I15*100)/$I$25</f>
        <v>37.859351891182385</v>
      </c>
      <c r="H15" s="109">
        <f>'Proyección de Ingresos'!AC49</f>
        <v>8232</v>
      </c>
      <c r="I15" s="110">
        <f>'Proyección de Ingresos'!AD49</f>
        <v>10285500</v>
      </c>
      <c r="J15" s="111">
        <f t="shared" ref="J15:J16" si="2">(L15*100)/$L$25</f>
        <v>38.524431200239903</v>
      </c>
      <c r="K15" s="109">
        <f>'Proyección de Ingresos'!AC79</f>
        <v>9684</v>
      </c>
      <c r="L15" s="112">
        <f>'Proyección de Ingresos'!AD79</f>
        <v>13527750</v>
      </c>
    </row>
    <row r="16" spans="1:12" ht="15.75" customHeight="1" thickBot="1" x14ac:dyDescent="0.25">
      <c r="B16" s="116" t="s">
        <v>159</v>
      </c>
      <c r="C16" s="108">
        <f>Hipótesis!I48</f>
        <v>195</v>
      </c>
      <c r="D16" s="109">
        <f t="shared" si="0"/>
        <v>14.617133769512995</v>
      </c>
      <c r="E16" s="117">
        <f>'Proyección de Ingresos'!AA27</f>
        <v>1488</v>
      </c>
      <c r="F16" s="110">
        <f>'Proyección de Ingresos'!AD27</f>
        <v>1886040</v>
      </c>
      <c r="G16" s="111">
        <f t="shared" si="1"/>
        <v>16.847383985223608</v>
      </c>
      <c r="H16" s="109">
        <f>'Proyección de Ingresos'!AC50</f>
        <v>2352</v>
      </c>
      <c r="I16" s="110">
        <f>'Proyección de Ingresos'!AD50</f>
        <v>4577040</v>
      </c>
      <c r="J16" s="111">
        <f t="shared" si="2"/>
        <v>17.146137817377493</v>
      </c>
      <c r="K16" s="109">
        <f>'Proyección de Ingresos'!AC80</f>
        <v>2760</v>
      </c>
      <c r="L16" s="112">
        <f>'Proyección de Ingresos'!AD80</f>
        <v>6020820</v>
      </c>
    </row>
    <row r="17" spans="2:12" s="79" customFormat="1" ht="15.75" customHeight="1" thickBot="1" x14ac:dyDescent="0.25">
      <c r="B17" s="506"/>
      <c r="C17" s="507"/>
      <c r="D17" s="507"/>
      <c r="E17" s="507"/>
      <c r="F17" s="507"/>
      <c r="G17" s="507"/>
      <c r="H17" s="507"/>
      <c r="I17" s="507"/>
      <c r="J17" s="507"/>
      <c r="K17" s="507"/>
      <c r="L17" s="508"/>
    </row>
    <row r="18" spans="2:12" s="79" customFormat="1" ht="15.75" customHeight="1" thickBot="1" x14ac:dyDescent="0.25">
      <c r="B18" s="121" t="s">
        <v>49</v>
      </c>
      <c r="C18" s="517"/>
      <c r="D18" s="518"/>
      <c r="E18" s="119" t="s">
        <v>188</v>
      </c>
      <c r="F18" s="119" t="s">
        <v>37</v>
      </c>
      <c r="G18" s="118"/>
      <c r="H18" s="119" t="s">
        <v>188</v>
      </c>
      <c r="I18" s="119" t="s">
        <v>37</v>
      </c>
      <c r="J18" s="118"/>
      <c r="K18" s="119" t="s">
        <v>188</v>
      </c>
      <c r="L18" s="120" t="s">
        <v>37</v>
      </c>
    </row>
    <row r="19" spans="2:12" ht="15.75" customHeight="1" x14ac:dyDescent="0.2">
      <c r="B19" s="107" t="s">
        <v>168</v>
      </c>
      <c r="C19" s="108">
        <f>Hipótesis!I49</f>
        <v>300</v>
      </c>
      <c r="D19" s="109">
        <f>(F19*100)/$F$25</f>
        <v>6.0102581272175177</v>
      </c>
      <c r="E19" s="109">
        <f>'Proyección de Ingresos'!AC31</f>
        <v>2585</v>
      </c>
      <c r="F19" s="110">
        <f t="shared" ref="F19:F24" si="3">C19*E19</f>
        <v>775500</v>
      </c>
      <c r="G19" s="111">
        <f>(I19*100)/$I$25</f>
        <v>2.4514441067062824</v>
      </c>
      <c r="H19" s="109">
        <f>'Proyección de Ingresos'!AC54</f>
        <v>2220</v>
      </c>
      <c r="I19" s="110">
        <f t="shared" ref="I19:I24" si="4">H19*C19</f>
        <v>666000</v>
      </c>
      <c r="J19" s="111">
        <f>(L19*100)/$L$25</f>
        <v>1.8966399570778416</v>
      </c>
      <c r="K19" s="109">
        <f>'Proyección de Ingresos'!AC84</f>
        <v>2220</v>
      </c>
      <c r="L19" s="112">
        <f t="shared" ref="L19:L24" si="5">K19*C19</f>
        <v>666000</v>
      </c>
    </row>
    <row r="20" spans="2:12" ht="15.75" customHeight="1" x14ac:dyDescent="0.2">
      <c r="B20" s="83" t="s">
        <v>170</v>
      </c>
      <c r="C20" s="108">
        <f>Hipótesis!I50</f>
        <v>160</v>
      </c>
      <c r="D20" s="109">
        <f t="shared" ref="D20:D24" si="6">(F20*100)/$F$25</f>
        <v>3.2054710011826764</v>
      </c>
      <c r="E20" s="109">
        <f>'Proyección de Ingresos'!AC32</f>
        <v>2585</v>
      </c>
      <c r="F20" s="71">
        <f t="shared" si="3"/>
        <v>413600</v>
      </c>
      <c r="G20" s="111">
        <f t="shared" ref="G20:G24" si="7">(I20*100)/$I$25</f>
        <v>1.3074368569100172</v>
      </c>
      <c r="H20" s="109">
        <f>'Proyección de Ingresos'!AC55</f>
        <v>2220</v>
      </c>
      <c r="I20" s="71">
        <f t="shared" si="4"/>
        <v>355200</v>
      </c>
      <c r="J20" s="111">
        <f t="shared" ref="J20:J24" si="8">(L20*100)/$L$25</f>
        <v>1.0115413104415156</v>
      </c>
      <c r="K20" s="109">
        <f>'Proyección de Ingresos'!AC85</f>
        <v>2220</v>
      </c>
      <c r="L20" s="101">
        <f t="shared" si="5"/>
        <v>355200</v>
      </c>
    </row>
    <row r="21" spans="2:12" ht="15.75" customHeight="1" x14ac:dyDescent="0.2">
      <c r="B21" s="83" t="s">
        <v>169</v>
      </c>
      <c r="C21" s="108">
        <f>Hipótesis!I51</f>
        <v>160</v>
      </c>
      <c r="D21" s="109">
        <f t="shared" si="6"/>
        <v>2.7280604265384478</v>
      </c>
      <c r="E21" s="109">
        <f>'Proyección de Ingresos'!AC33</f>
        <v>2200</v>
      </c>
      <c r="F21" s="71">
        <f t="shared" si="3"/>
        <v>352000</v>
      </c>
      <c r="G21" s="111">
        <f t="shared" si="7"/>
        <v>1.2014284631065024</v>
      </c>
      <c r="H21" s="109">
        <f>'Proyección de Ingresos'!AC56</f>
        <v>2040</v>
      </c>
      <c r="I21" s="71">
        <f t="shared" si="4"/>
        <v>326400</v>
      </c>
      <c r="J21" s="111">
        <f t="shared" si="8"/>
        <v>0.92952444743274398</v>
      </c>
      <c r="K21" s="109">
        <f>'Proyección de Ingresos'!AC86</f>
        <v>2040</v>
      </c>
      <c r="L21" s="101">
        <f t="shared" si="5"/>
        <v>326400</v>
      </c>
    </row>
    <row r="22" spans="2:12" s="41" customFormat="1" ht="15.75" customHeight="1" x14ac:dyDescent="0.2">
      <c r="B22" s="83" t="s">
        <v>171</v>
      </c>
      <c r="C22" s="108">
        <f>Hipótesis!I52</f>
        <v>360</v>
      </c>
      <c r="D22" s="109">
        <f t="shared" si="6"/>
        <v>5.2174155657547816</v>
      </c>
      <c r="E22" s="109">
        <f>'Proyección de Ingresos'!AC34</f>
        <v>1870</v>
      </c>
      <c r="F22" s="71">
        <f t="shared" si="3"/>
        <v>673200</v>
      </c>
      <c r="G22" s="111">
        <f t="shared" si="7"/>
        <v>1.5901259070527236</v>
      </c>
      <c r="H22" s="109">
        <f>'Proyección de Ingresos'!AC57</f>
        <v>1200</v>
      </c>
      <c r="I22" s="71">
        <f t="shared" si="4"/>
        <v>432000</v>
      </c>
      <c r="J22" s="111">
        <f t="shared" si="8"/>
        <v>1.2302529451315729</v>
      </c>
      <c r="K22" s="109">
        <f>'Proyección de Ingresos'!AC87</f>
        <v>1200</v>
      </c>
      <c r="L22" s="101">
        <f t="shared" si="5"/>
        <v>432000</v>
      </c>
    </row>
    <row r="23" spans="2:12" s="41" customFormat="1" ht="15.75" customHeight="1" x14ac:dyDescent="0.2">
      <c r="B23" s="83" t="s">
        <v>172</v>
      </c>
      <c r="C23" s="108">
        <f>Hipótesis!I53</f>
        <v>80</v>
      </c>
      <c r="D23" s="109">
        <f t="shared" si="6"/>
        <v>0.90211998195760035</v>
      </c>
      <c r="E23" s="109">
        <f>'Proyección de Ingresos'!AC35</f>
        <v>1455</v>
      </c>
      <c r="F23" s="71">
        <f t="shared" si="3"/>
        <v>116400</v>
      </c>
      <c r="G23" s="111">
        <f t="shared" si="7"/>
        <v>0.24735291887486813</v>
      </c>
      <c r="H23" s="109">
        <f>'Proyección de Ingresos'!AC58</f>
        <v>840</v>
      </c>
      <c r="I23" s="71">
        <f t="shared" si="4"/>
        <v>67200</v>
      </c>
      <c r="J23" s="111">
        <f t="shared" si="8"/>
        <v>0.19137268035380026</v>
      </c>
      <c r="K23" s="109">
        <f>'Proyección de Ingresos'!AC88</f>
        <v>840</v>
      </c>
      <c r="L23" s="101">
        <f t="shared" si="5"/>
        <v>67200</v>
      </c>
    </row>
    <row r="24" spans="2:12" ht="15.75" customHeight="1" x14ac:dyDescent="0.2">
      <c r="B24" s="83" t="s">
        <v>173</v>
      </c>
      <c r="C24" s="108">
        <f>Hipótesis!I54</f>
        <v>80</v>
      </c>
      <c r="D24" s="109">
        <f t="shared" si="6"/>
        <v>1.2462276039414273</v>
      </c>
      <c r="E24" s="109">
        <f>'Proyección de Ingresos'!AC36</f>
        <v>2010</v>
      </c>
      <c r="F24" s="71">
        <f t="shared" si="3"/>
        <v>160800</v>
      </c>
      <c r="G24" s="111">
        <f t="shared" si="7"/>
        <v>0.42403357521405965</v>
      </c>
      <c r="H24" s="109">
        <f>'Proyección de Ingresos'!AC59</f>
        <v>1440</v>
      </c>
      <c r="I24" s="71">
        <f t="shared" si="4"/>
        <v>115200</v>
      </c>
      <c r="J24" s="111">
        <f t="shared" si="8"/>
        <v>0.32806745203508614</v>
      </c>
      <c r="K24" s="109">
        <f>'Proyección de Ingresos'!AC89</f>
        <v>1440</v>
      </c>
      <c r="L24" s="101">
        <f t="shared" si="5"/>
        <v>115200</v>
      </c>
    </row>
    <row r="25" spans="2:12" ht="15.75" customHeight="1" thickBot="1" x14ac:dyDescent="0.25">
      <c r="B25" s="102" t="s">
        <v>149</v>
      </c>
      <c r="C25" s="103">
        <f t="shared" ref="C25:L25" si="9">SUM(C14:C24)</f>
        <v>1540</v>
      </c>
      <c r="D25" s="104">
        <f t="shared" si="9"/>
        <v>99.999999999999972</v>
      </c>
      <c r="E25" s="104">
        <f t="shared" si="9"/>
        <v>27645</v>
      </c>
      <c r="F25" s="103">
        <f t="shared" si="9"/>
        <v>12902940</v>
      </c>
      <c r="G25" s="105">
        <f t="shared" si="9"/>
        <v>99.999999999999986</v>
      </c>
      <c r="H25" s="104">
        <f t="shared" si="9"/>
        <v>33480</v>
      </c>
      <c r="I25" s="103">
        <f t="shared" si="9"/>
        <v>27167660</v>
      </c>
      <c r="J25" s="105">
        <f t="shared" si="9"/>
        <v>99.999999999999986</v>
      </c>
      <c r="K25" s="104">
        <f t="shared" si="9"/>
        <v>37620</v>
      </c>
      <c r="L25" s="106">
        <f t="shared" si="9"/>
        <v>35114730</v>
      </c>
    </row>
  </sheetData>
  <mergeCells count="11">
    <mergeCell ref="C18:D18"/>
    <mergeCell ref="B17:L17"/>
    <mergeCell ref="D12:F12"/>
    <mergeCell ref="G12:I12"/>
    <mergeCell ref="J12:L12"/>
    <mergeCell ref="A6:B6"/>
    <mergeCell ref="C1:F1"/>
    <mergeCell ref="C2:F2"/>
    <mergeCell ref="C3:F3"/>
    <mergeCell ref="C4:F4"/>
    <mergeCell ref="C5:F5"/>
  </mergeCells>
  <hyperlinks>
    <hyperlink ref="A5" location="Indice!A1" display="Indice" xr:uid="{7FB209D4-6FCD-4CD8-9EDE-B62E0375389C}"/>
  </hyperlink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3"/>
  <sheetViews>
    <sheetView showGridLines="0" workbookViewId="0">
      <pane ySplit="6" topLeftCell="A13" activePane="bottomLeft" state="frozen"/>
      <selection pane="bottomLeft" activeCell="A7" sqref="A7"/>
    </sheetView>
  </sheetViews>
  <sheetFormatPr baseColWidth="10" defaultColWidth="14.42578125" defaultRowHeight="15.75" customHeight="1" x14ac:dyDescent="0.2"/>
  <cols>
    <col min="2" max="2" width="8.85546875" customWidth="1"/>
    <col min="3" max="3" width="14.42578125" bestFit="1" customWidth="1"/>
  </cols>
  <sheetData>
    <row r="1" spans="1:8" s="42" customFormat="1" ht="15" x14ac:dyDescent="0.2">
      <c r="D1" s="433" t="s">
        <v>0</v>
      </c>
      <c r="E1" s="433"/>
      <c r="F1" s="433"/>
      <c r="G1" s="433"/>
      <c r="H1" s="45"/>
    </row>
    <row r="2" spans="1:8" s="42" customFormat="1" ht="15" x14ac:dyDescent="0.25">
      <c r="A2" s="46"/>
      <c r="D2" s="396" t="s">
        <v>143</v>
      </c>
      <c r="E2" s="397"/>
      <c r="F2" s="397"/>
      <c r="G2" s="397"/>
    </row>
    <row r="3" spans="1:8" s="42" customFormat="1" ht="12.75" x14ac:dyDescent="0.2">
      <c r="A3" s="44"/>
      <c r="D3" s="396" t="s">
        <v>140</v>
      </c>
      <c r="E3" s="397"/>
      <c r="F3" s="397"/>
      <c r="G3" s="397"/>
    </row>
    <row r="4" spans="1:8" s="42" customFormat="1" ht="12.75" x14ac:dyDescent="0.2">
      <c r="A4" s="47"/>
      <c r="D4" s="396" t="s">
        <v>141</v>
      </c>
      <c r="E4" s="397"/>
      <c r="F4" s="397"/>
      <c r="G4" s="397"/>
    </row>
    <row r="5" spans="1:8" s="42" customFormat="1" ht="14.25" x14ac:dyDescent="0.2">
      <c r="A5" s="237" t="s">
        <v>1</v>
      </c>
      <c r="D5" s="396" t="s">
        <v>142</v>
      </c>
      <c r="E5" s="397"/>
      <c r="F5" s="397"/>
      <c r="G5" s="397"/>
    </row>
    <row r="6" spans="1:8" s="43" customFormat="1" ht="15.75" customHeight="1" thickBot="1" x14ac:dyDescent="0.25">
      <c r="A6" s="524" t="s">
        <v>44</v>
      </c>
      <c r="B6" s="525"/>
    </row>
    <row r="8" spans="1:8" ht="15.75" customHeight="1" thickBot="1" x14ac:dyDescent="0.25"/>
    <row r="9" spans="1:8" ht="15.75" customHeight="1" thickBot="1" x14ac:dyDescent="0.25">
      <c r="C9" s="78"/>
      <c r="D9" s="174" t="s">
        <v>45</v>
      </c>
      <c r="E9" s="175" t="s">
        <v>46</v>
      </c>
      <c r="F9" s="176" t="s">
        <v>47</v>
      </c>
    </row>
    <row r="10" spans="1:8" ht="15.75" customHeight="1" x14ac:dyDescent="0.2">
      <c r="C10" s="170" t="s">
        <v>48</v>
      </c>
      <c r="D10" s="171">
        <f>'Costos fijos'!C24</f>
        <v>6085000</v>
      </c>
      <c r="E10" s="171">
        <f>'Costos fijos'!D24</f>
        <v>7913000</v>
      </c>
      <c r="F10" s="172">
        <f>'Costos fijos'!E24</f>
        <v>8893400</v>
      </c>
    </row>
    <row r="11" spans="1:8" ht="15.75" customHeight="1" x14ac:dyDescent="0.2">
      <c r="C11" s="173" t="s">
        <v>200</v>
      </c>
      <c r="D11" s="8">
        <f>'Costos variables'!O24</f>
        <v>881778</v>
      </c>
      <c r="E11" s="8">
        <f>'Costos variables'!O34</f>
        <v>2718001.2</v>
      </c>
      <c r="F11" s="64">
        <f>'Costos variables'!O44</f>
        <v>3588204.6</v>
      </c>
    </row>
    <row r="12" spans="1:8" ht="15.75" customHeight="1" x14ac:dyDescent="0.2">
      <c r="C12" s="173" t="s">
        <v>201</v>
      </c>
      <c r="D12" s="11">
        <f>'Costos RRHH'!C21</f>
        <v>6037200</v>
      </c>
      <c r="E12" s="11">
        <f>'Costos RRHH'!D21</f>
        <v>12592800</v>
      </c>
      <c r="F12" s="11">
        <f>'Costos RRHH'!E21</f>
        <v>15674400</v>
      </c>
    </row>
    <row r="13" spans="1:8" ht="15.75" customHeight="1" thickBot="1" x14ac:dyDescent="0.25">
      <c r="C13" s="130" t="s">
        <v>43</v>
      </c>
      <c r="D13" s="166">
        <f t="shared" ref="D13:F13" si="0">SUM(D10:D12)</f>
        <v>13003978</v>
      </c>
      <c r="E13" s="166">
        <f t="shared" si="0"/>
        <v>23223801.199999999</v>
      </c>
      <c r="F13" s="169">
        <f t="shared" si="0"/>
        <v>28156004.600000001</v>
      </c>
    </row>
  </sheetData>
  <mergeCells count="6">
    <mergeCell ref="D2:G2"/>
    <mergeCell ref="D3:G3"/>
    <mergeCell ref="A6:B6"/>
    <mergeCell ref="D1:G1"/>
    <mergeCell ref="D4:G4"/>
    <mergeCell ref="D5:G5"/>
  </mergeCells>
  <hyperlinks>
    <hyperlink ref="A5" location="Indice!A1" display="Indice" xr:uid="{5CD11C2C-77B5-4CED-B209-DB7D8F2F13FF}"/>
    <hyperlink ref="C10" location="'Costos fijos'!A1" display="Costos Fijos" xr:uid="{AAB4F124-E749-47F6-A768-03D0C3C367D9}"/>
    <hyperlink ref="C11" location="'Costos variables'!A1" display="Costos Variable" xr:uid="{7AEE09CF-2177-4609-A7D2-935F612AA603}"/>
    <hyperlink ref="C12" location="'Costos RRHH'!A1" display="Costos RR HH" xr:uid="{60988CC3-CA93-44CF-9A53-D87899E8CCE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81"/>
  <sheetViews>
    <sheetView showGridLines="0" zoomScale="85" zoomScaleNormal="85" workbookViewId="0">
      <pane xSplit="2" ySplit="6" topLeftCell="C7" activePane="bottomRight" state="frozen"/>
      <selection pane="topRight" activeCell="C1" sqref="C1"/>
      <selection pane="bottomLeft" activeCell="A7" sqref="A7"/>
      <selection pane="bottomRight" activeCell="H25" sqref="H25"/>
    </sheetView>
  </sheetViews>
  <sheetFormatPr baseColWidth="10" defaultColWidth="14.42578125" defaultRowHeight="15.75" customHeight="1" x14ac:dyDescent="0.2"/>
  <cols>
    <col min="1" max="1" width="12.7109375" customWidth="1"/>
    <col min="2" max="2" width="19.85546875" customWidth="1"/>
    <col min="3" max="4" width="14.85546875" customWidth="1"/>
    <col min="5" max="5" width="14" customWidth="1"/>
    <col min="7" max="7" width="15.5703125" bestFit="1" customWidth="1"/>
  </cols>
  <sheetData>
    <row r="1" spans="1:10" s="42" customFormat="1" ht="15" x14ac:dyDescent="0.2">
      <c r="D1" s="433" t="s">
        <v>0</v>
      </c>
      <c r="E1" s="433"/>
      <c r="F1" s="433"/>
      <c r="G1" s="433"/>
      <c r="H1" s="45"/>
    </row>
    <row r="2" spans="1:10" s="42" customFormat="1" ht="15" x14ac:dyDescent="0.25">
      <c r="A2" s="46"/>
      <c r="D2" s="396" t="s">
        <v>143</v>
      </c>
      <c r="E2" s="397"/>
      <c r="F2" s="397"/>
      <c r="G2" s="397"/>
    </row>
    <row r="3" spans="1:10" s="42" customFormat="1" ht="12.75" x14ac:dyDescent="0.2">
      <c r="A3" s="44"/>
      <c r="D3" s="396" t="s">
        <v>140</v>
      </c>
      <c r="E3" s="397"/>
      <c r="F3" s="397"/>
      <c r="G3" s="397"/>
    </row>
    <row r="4" spans="1:10" s="42" customFormat="1" ht="12.75" x14ac:dyDescent="0.2">
      <c r="A4" s="47"/>
      <c r="D4" s="396" t="s">
        <v>141</v>
      </c>
      <c r="E4" s="397"/>
      <c r="F4" s="397"/>
      <c r="G4" s="397"/>
    </row>
    <row r="5" spans="1:10" s="42" customFormat="1" ht="14.25" x14ac:dyDescent="0.2">
      <c r="A5" s="237" t="s">
        <v>1</v>
      </c>
      <c r="D5" s="396" t="s">
        <v>142</v>
      </c>
      <c r="E5" s="397"/>
      <c r="F5" s="397"/>
      <c r="G5" s="397"/>
    </row>
    <row r="6" spans="1:10" s="43" customFormat="1" ht="15.75" customHeight="1" thickBot="1" x14ac:dyDescent="0.25">
      <c r="A6" s="48" t="s">
        <v>7</v>
      </c>
      <c r="B6" s="48"/>
    </row>
    <row r="7" spans="1:10" ht="15.75" customHeight="1" thickBot="1" x14ac:dyDescent="0.25">
      <c r="G7" s="249"/>
      <c r="H7" s="249"/>
      <c r="I7" s="249"/>
    </row>
    <row r="8" spans="1:10" ht="15.75" customHeight="1" x14ac:dyDescent="0.2">
      <c r="A8" s="323"/>
      <c r="B8" s="62"/>
      <c r="C8" s="62" t="s">
        <v>24</v>
      </c>
      <c r="D8" s="62" t="s">
        <v>39</v>
      </c>
      <c r="E8" s="63" t="s">
        <v>40</v>
      </c>
      <c r="G8" s="249"/>
      <c r="H8" s="249"/>
      <c r="I8" s="249"/>
      <c r="J8" s="41"/>
    </row>
    <row r="9" spans="1:10" ht="15.75" customHeight="1" x14ac:dyDescent="0.2">
      <c r="A9" s="531" t="s">
        <v>246</v>
      </c>
      <c r="B9" s="238" t="s">
        <v>50</v>
      </c>
      <c r="C9" s="8">
        <f>O28</f>
        <v>1430000</v>
      </c>
      <c r="D9" s="8">
        <f>O47</f>
        <v>1716000</v>
      </c>
      <c r="E9" s="64">
        <f>O66</f>
        <v>2154900</v>
      </c>
      <c r="G9" s="249"/>
      <c r="H9" s="249"/>
      <c r="I9" s="249"/>
      <c r="J9" s="41"/>
    </row>
    <row r="10" spans="1:10" s="326" customFormat="1" ht="15.75" customHeight="1" x14ac:dyDescent="0.2">
      <c r="A10" s="532"/>
      <c r="B10" s="238" t="s">
        <v>247</v>
      </c>
      <c r="C10" s="8">
        <f t="shared" ref="C10:C23" si="0">O29</f>
        <v>180000</v>
      </c>
      <c r="D10" s="8">
        <f t="shared" ref="D10:D23" si="1">O48</f>
        <v>234000</v>
      </c>
      <c r="E10" s="64">
        <f t="shared" ref="E10:E23" si="2">O67</f>
        <v>283500</v>
      </c>
    </row>
    <row r="11" spans="1:10" s="326" customFormat="1" ht="15.75" customHeight="1" x14ac:dyDescent="0.2">
      <c r="A11" s="531" t="s">
        <v>49</v>
      </c>
      <c r="B11" s="238" t="s">
        <v>54</v>
      </c>
      <c r="C11" s="8">
        <f t="shared" si="0"/>
        <v>180000</v>
      </c>
      <c r="D11" s="8">
        <f t="shared" si="1"/>
        <v>180000</v>
      </c>
      <c r="E11" s="64">
        <f t="shared" si="2"/>
        <v>180000</v>
      </c>
    </row>
    <row r="12" spans="1:10" s="326" customFormat="1" ht="15.75" customHeight="1" x14ac:dyDescent="0.2">
      <c r="A12" s="532"/>
      <c r="B12" s="238" t="s">
        <v>52</v>
      </c>
      <c r="C12" s="8">
        <f t="shared" si="0"/>
        <v>30000</v>
      </c>
      <c r="D12" s="8">
        <f t="shared" si="1"/>
        <v>30000</v>
      </c>
      <c r="E12" s="64">
        <f t="shared" si="2"/>
        <v>30000</v>
      </c>
    </row>
    <row r="13" spans="1:10" ht="15.75" customHeight="1" x14ac:dyDescent="0.2">
      <c r="A13" s="532"/>
      <c r="B13" s="238" t="s">
        <v>250</v>
      </c>
      <c r="C13" s="8">
        <f t="shared" si="0"/>
        <v>288000</v>
      </c>
      <c r="D13" s="8">
        <f t="shared" si="1"/>
        <v>288000</v>
      </c>
      <c r="E13" s="64">
        <f t="shared" si="2"/>
        <v>288000</v>
      </c>
      <c r="J13" s="41"/>
    </row>
    <row r="14" spans="1:10" ht="15.75" customHeight="1" x14ac:dyDescent="0.2">
      <c r="A14" s="532"/>
      <c r="B14" s="238" t="s">
        <v>251</v>
      </c>
      <c r="C14" s="8">
        <f t="shared" si="0"/>
        <v>60000</v>
      </c>
      <c r="D14" s="8">
        <f t="shared" si="1"/>
        <v>60000</v>
      </c>
      <c r="E14" s="64">
        <f t="shared" si="2"/>
        <v>60000</v>
      </c>
    </row>
    <row r="15" spans="1:10" s="326" customFormat="1" ht="15.75" customHeight="1" x14ac:dyDescent="0.2">
      <c r="A15" s="532"/>
      <c r="B15" s="238" t="s">
        <v>252</v>
      </c>
      <c r="C15" s="8">
        <f t="shared" si="0"/>
        <v>168000</v>
      </c>
      <c r="D15" s="8">
        <f t="shared" si="1"/>
        <v>168000</v>
      </c>
      <c r="E15" s="64">
        <f t="shared" si="2"/>
        <v>168000</v>
      </c>
    </row>
    <row r="16" spans="1:10" ht="15.75" customHeight="1" x14ac:dyDescent="0.2">
      <c r="A16" s="532"/>
      <c r="B16" s="238" t="s">
        <v>253</v>
      </c>
      <c r="C16" s="8">
        <f t="shared" si="0"/>
        <v>288000</v>
      </c>
      <c r="D16" s="8">
        <f t="shared" si="1"/>
        <v>288000</v>
      </c>
      <c r="E16" s="64">
        <f t="shared" si="2"/>
        <v>288000</v>
      </c>
    </row>
    <row r="17" spans="1:15" ht="15.75" customHeight="1" x14ac:dyDescent="0.2">
      <c r="A17" s="533"/>
      <c r="B17" s="238" t="s">
        <v>254</v>
      </c>
      <c r="C17" s="8">
        <f t="shared" si="0"/>
        <v>216000</v>
      </c>
      <c r="D17" s="8">
        <f t="shared" si="1"/>
        <v>216000</v>
      </c>
      <c r="E17" s="64">
        <f t="shared" si="2"/>
        <v>216000</v>
      </c>
    </row>
    <row r="18" spans="1:15" s="326" customFormat="1" ht="15.75" customHeight="1" x14ac:dyDescent="0.2">
      <c r="A18" s="325" t="s">
        <v>53</v>
      </c>
      <c r="B18" s="238" t="s">
        <v>55</v>
      </c>
      <c r="C18" s="8">
        <f t="shared" si="0"/>
        <v>360000</v>
      </c>
      <c r="D18" s="8">
        <f t="shared" si="1"/>
        <v>360000</v>
      </c>
      <c r="E18" s="64">
        <f t="shared" si="2"/>
        <v>360000</v>
      </c>
    </row>
    <row r="19" spans="1:15" s="326" customFormat="1" ht="15.75" customHeight="1" x14ac:dyDescent="0.2">
      <c r="A19" s="325" t="s">
        <v>248</v>
      </c>
      <c r="B19" s="238" t="s">
        <v>249</v>
      </c>
      <c r="C19" s="8">
        <f t="shared" si="0"/>
        <v>305000</v>
      </c>
      <c r="D19" s="8">
        <f t="shared" si="1"/>
        <v>305000</v>
      </c>
      <c r="E19" s="64">
        <f t="shared" si="2"/>
        <v>305000</v>
      </c>
    </row>
    <row r="20" spans="1:15" ht="15.75" customHeight="1" x14ac:dyDescent="0.2">
      <c r="A20" s="526" t="s">
        <v>51</v>
      </c>
      <c r="B20" s="239" t="s">
        <v>190</v>
      </c>
      <c r="C20" s="8">
        <f t="shared" si="0"/>
        <v>396000</v>
      </c>
      <c r="D20" s="8">
        <f t="shared" si="1"/>
        <v>768000</v>
      </c>
      <c r="E20" s="64">
        <f t="shared" si="2"/>
        <v>720000</v>
      </c>
    </row>
    <row r="21" spans="1:15" s="326" customFormat="1" ht="15.75" customHeight="1" x14ac:dyDescent="0.2">
      <c r="A21" s="527"/>
      <c r="B21" s="239" t="s">
        <v>191</v>
      </c>
      <c r="C21" s="8">
        <f t="shared" si="0"/>
        <v>396000</v>
      </c>
      <c r="D21" s="8">
        <f t="shared" si="1"/>
        <v>768000</v>
      </c>
      <c r="E21" s="64">
        <f t="shared" si="2"/>
        <v>780000</v>
      </c>
    </row>
    <row r="22" spans="1:15" s="326" customFormat="1" ht="15.75" customHeight="1" x14ac:dyDescent="0.2">
      <c r="A22" s="527"/>
      <c r="B22" s="239" t="s">
        <v>192</v>
      </c>
      <c r="C22" s="8">
        <f t="shared" si="0"/>
        <v>1212000</v>
      </c>
      <c r="D22" s="8">
        <f t="shared" si="1"/>
        <v>1584000</v>
      </c>
      <c r="E22" s="64">
        <f t="shared" si="2"/>
        <v>2160000</v>
      </c>
    </row>
    <row r="23" spans="1:15" ht="15.75" customHeight="1" x14ac:dyDescent="0.2">
      <c r="A23" s="528"/>
      <c r="B23" s="239" t="s">
        <v>193</v>
      </c>
      <c r="C23" s="8">
        <f t="shared" si="0"/>
        <v>576000</v>
      </c>
      <c r="D23" s="8">
        <f t="shared" si="1"/>
        <v>948000</v>
      </c>
      <c r="E23" s="64">
        <f t="shared" si="2"/>
        <v>900000</v>
      </c>
    </row>
    <row r="24" spans="1:15" ht="15.75" customHeight="1" thickBot="1" x14ac:dyDescent="0.25">
      <c r="A24" s="529" t="s">
        <v>56</v>
      </c>
      <c r="B24" s="530"/>
      <c r="C24" s="166">
        <f t="shared" ref="C24:E24" si="3">SUM(C9:C23)</f>
        <v>6085000</v>
      </c>
      <c r="D24" s="166">
        <f t="shared" si="3"/>
        <v>7913000</v>
      </c>
      <c r="E24" s="169">
        <f t="shared" si="3"/>
        <v>8893400</v>
      </c>
    </row>
    <row r="25" spans="1:15" ht="15.75" customHeight="1" x14ac:dyDescent="0.2">
      <c r="D25" s="327"/>
      <c r="E25" s="327"/>
    </row>
    <row r="26" spans="1:15" ht="15.75" customHeight="1" thickBot="1" x14ac:dyDescent="0.25"/>
    <row r="27" spans="1:15" ht="12.75" x14ac:dyDescent="0.2">
      <c r="A27" s="320"/>
      <c r="B27" s="62" t="s">
        <v>45</v>
      </c>
      <c r="C27" s="62" t="s">
        <v>25</v>
      </c>
      <c r="D27" s="62" t="s">
        <v>26</v>
      </c>
      <c r="E27" s="62" t="s">
        <v>27</v>
      </c>
      <c r="F27" s="62" t="s">
        <v>28</v>
      </c>
      <c r="G27" s="62" t="s">
        <v>29</v>
      </c>
      <c r="H27" s="62" t="s">
        <v>30</v>
      </c>
      <c r="I27" s="62" t="s">
        <v>31</v>
      </c>
      <c r="J27" s="62" t="s">
        <v>32</v>
      </c>
      <c r="K27" s="62" t="s">
        <v>33</v>
      </c>
      <c r="L27" s="62" t="s">
        <v>34</v>
      </c>
      <c r="M27" s="62" t="s">
        <v>35</v>
      </c>
      <c r="N27" s="62" t="s">
        <v>36</v>
      </c>
      <c r="O27" s="321" t="s">
        <v>57</v>
      </c>
    </row>
    <row r="28" spans="1:15" ht="12.75" x14ac:dyDescent="0.2">
      <c r="A28" s="531" t="s">
        <v>246</v>
      </c>
      <c r="B28" s="238" t="s">
        <v>50</v>
      </c>
      <c r="C28" s="9">
        <v>220000</v>
      </c>
      <c r="D28" s="9">
        <v>110000</v>
      </c>
      <c r="E28" s="9">
        <v>110000</v>
      </c>
      <c r="F28" s="9">
        <v>110000</v>
      </c>
      <c r="G28" s="9">
        <v>110000</v>
      </c>
      <c r="H28" s="9">
        <v>110000</v>
      </c>
      <c r="I28" s="9">
        <v>110000</v>
      </c>
      <c r="J28" s="9">
        <v>110000</v>
      </c>
      <c r="K28" s="9">
        <v>110000</v>
      </c>
      <c r="L28" s="9">
        <v>110000</v>
      </c>
      <c r="M28" s="9">
        <v>110000</v>
      </c>
      <c r="N28" s="9">
        <v>110000</v>
      </c>
      <c r="O28" s="64">
        <f t="shared" ref="O28:O42" si="4">SUM(C28:N28)</f>
        <v>1430000</v>
      </c>
    </row>
    <row r="29" spans="1:15" s="326" customFormat="1" ht="12.75" x14ac:dyDescent="0.2">
      <c r="A29" s="532"/>
      <c r="B29" s="238" t="s">
        <v>247</v>
      </c>
      <c r="C29" s="9">
        <v>15000</v>
      </c>
      <c r="D29" s="9">
        <v>15000</v>
      </c>
      <c r="E29" s="9">
        <v>15000</v>
      </c>
      <c r="F29" s="9">
        <v>15000</v>
      </c>
      <c r="G29" s="9">
        <v>15000</v>
      </c>
      <c r="H29" s="9">
        <v>15000</v>
      </c>
      <c r="I29" s="9">
        <v>15000</v>
      </c>
      <c r="J29" s="9">
        <v>15000</v>
      </c>
      <c r="K29" s="9">
        <v>15000</v>
      </c>
      <c r="L29" s="9">
        <v>15000</v>
      </c>
      <c r="M29" s="9">
        <v>15000</v>
      </c>
      <c r="N29" s="9">
        <v>15000</v>
      </c>
      <c r="O29" s="64">
        <f t="shared" si="4"/>
        <v>180000</v>
      </c>
    </row>
    <row r="30" spans="1:15" ht="12.75" x14ac:dyDescent="0.2">
      <c r="A30" s="531" t="s">
        <v>49</v>
      </c>
      <c r="B30" s="238" t="s">
        <v>54</v>
      </c>
      <c r="C30" s="9">
        <v>15000</v>
      </c>
      <c r="D30" s="9">
        <v>15000</v>
      </c>
      <c r="E30" s="9">
        <v>15000</v>
      </c>
      <c r="F30" s="9">
        <v>15000</v>
      </c>
      <c r="G30" s="9">
        <v>15000</v>
      </c>
      <c r="H30" s="9">
        <v>15000</v>
      </c>
      <c r="I30" s="9">
        <v>15000</v>
      </c>
      <c r="J30" s="9">
        <v>15000</v>
      </c>
      <c r="K30" s="9">
        <v>15000</v>
      </c>
      <c r="L30" s="9">
        <v>15000</v>
      </c>
      <c r="M30" s="9">
        <v>15000</v>
      </c>
      <c r="N30" s="9">
        <v>15000</v>
      </c>
      <c r="O30" s="64">
        <f t="shared" si="4"/>
        <v>180000</v>
      </c>
    </row>
    <row r="31" spans="1:15" s="326" customFormat="1" ht="12.75" x14ac:dyDescent="0.2">
      <c r="A31" s="532"/>
      <c r="B31" s="238" t="s">
        <v>52</v>
      </c>
      <c r="C31" s="9">
        <v>2500</v>
      </c>
      <c r="D31" s="9">
        <v>2500</v>
      </c>
      <c r="E31" s="9">
        <v>2500</v>
      </c>
      <c r="F31" s="9">
        <v>2500</v>
      </c>
      <c r="G31" s="9">
        <v>2500</v>
      </c>
      <c r="H31" s="9">
        <v>2500</v>
      </c>
      <c r="I31" s="9">
        <v>2500</v>
      </c>
      <c r="J31" s="9">
        <v>2500</v>
      </c>
      <c r="K31" s="9">
        <v>2500</v>
      </c>
      <c r="L31" s="9">
        <v>2500</v>
      </c>
      <c r="M31" s="9">
        <v>2500</v>
      </c>
      <c r="N31" s="9">
        <v>2500</v>
      </c>
      <c r="O31" s="64">
        <f t="shared" si="4"/>
        <v>30000</v>
      </c>
    </row>
    <row r="32" spans="1:15" s="326" customFormat="1" ht="12.75" x14ac:dyDescent="0.2">
      <c r="A32" s="532"/>
      <c r="B32" s="238" t="s">
        <v>250</v>
      </c>
      <c r="C32" s="9">
        <v>24000</v>
      </c>
      <c r="D32" s="9">
        <v>24000</v>
      </c>
      <c r="E32" s="9">
        <v>24000</v>
      </c>
      <c r="F32" s="9">
        <v>24000</v>
      </c>
      <c r="G32" s="9">
        <v>24000</v>
      </c>
      <c r="H32" s="9">
        <v>24000</v>
      </c>
      <c r="I32" s="9">
        <v>24000</v>
      </c>
      <c r="J32" s="9">
        <v>24000</v>
      </c>
      <c r="K32" s="9">
        <v>24000</v>
      </c>
      <c r="L32" s="9">
        <v>24000</v>
      </c>
      <c r="M32" s="9">
        <v>24000</v>
      </c>
      <c r="N32" s="9">
        <v>24000</v>
      </c>
      <c r="O32" s="64">
        <f t="shared" si="4"/>
        <v>288000</v>
      </c>
    </row>
    <row r="33" spans="1:15" s="326" customFormat="1" ht="12.75" x14ac:dyDescent="0.2">
      <c r="A33" s="532"/>
      <c r="B33" s="238" t="s">
        <v>251</v>
      </c>
      <c r="C33" s="9">
        <v>5000</v>
      </c>
      <c r="D33" s="9">
        <v>5000</v>
      </c>
      <c r="E33" s="9">
        <v>5000</v>
      </c>
      <c r="F33" s="9">
        <v>5000</v>
      </c>
      <c r="G33" s="9">
        <v>5000</v>
      </c>
      <c r="H33" s="9">
        <v>5000</v>
      </c>
      <c r="I33" s="9">
        <v>5000</v>
      </c>
      <c r="J33" s="9">
        <v>5000</v>
      </c>
      <c r="K33" s="9">
        <v>5000</v>
      </c>
      <c r="L33" s="9">
        <v>5000</v>
      </c>
      <c r="M33" s="9">
        <v>5000</v>
      </c>
      <c r="N33" s="9">
        <v>5000</v>
      </c>
      <c r="O33" s="64">
        <f t="shared" si="4"/>
        <v>60000</v>
      </c>
    </row>
    <row r="34" spans="1:15" ht="12.75" x14ac:dyDescent="0.2">
      <c r="A34" s="532"/>
      <c r="B34" s="238" t="s">
        <v>252</v>
      </c>
      <c r="C34" s="9">
        <v>14000</v>
      </c>
      <c r="D34" s="9">
        <v>14000</v>
      </c>
      <c r="E34" s="9">
        <v>14000</v>
      </c>
      <c r="F34" s="9">
        <v>14000</v>
      </c>
      <c r="G34" s="9">
        <v>14000</v>
      </c>
      <c r="H34" s="9">
        <v>14000</v>
      </c>
      <c r="I34" s="9">
        <v>14000</v>
      </c>
      <c r="J34" s="9">
        <v>14000</v>
      </c>
      <c r="K34" s="9">
        <v>14000</v>
      </c>
      <c r="L34" s="9">
        <v>14000</v>
      </c>
      <c r="M34" s="9">
        <v>14000</v>
      </c>
      <c r="N34" s="9">
        <v>14000</v>
      </c>
      <c r="O34" s="64">
        <f t="shared" si="4"/>
        <v>168000</v>
      </c>
    </row>
    <row r="35" spans="1:15" ht="12.75" x14ac:dyDescent="0.2">
      <c r="A35" s="532"/>
      <c r="B35" s="238" t="s">
        <v>253</v>
      </c>
      <c r="C35" s="9">
        <v>24000</v>
      </c>
      <c r="D35" s="9">
        <v>24000</v>
      </c>
      <c r="E35" s="9">
        <v>24000</v>
      </c>
      <c r="F35" s="9">
        <v>24000</v>
      </c>
      <c r="G35" s="9">
        <v>24000</v>
      </c>
      <c r="H35" s="9">
        <v>24000</v>
      </c>
      <c r="I35" s="9">
        <v>24000</v>
      </c>
      <c r="J35" s="9">
        <v>24000</v>
      </c>
      <c r="K35" s="9">
        <v>24000</v>
      </c>
      <c r="L35" s="9">
        <v>24000</v>
      </c>
      <c r="M35" s="9">
        <v>24000</v>
      </c>
      <c r="N35" s="9">
        <v>24000</v>
      </c>
      <c r="O35" s="64">
        <f t="shared" si="4"/>
        <v>288000</v>
      </c>
    </row>
    <row r="36" spans="1:15" ht="12.75" x14ac:dyDescent="0.2">
      <c r="A36" s="533"/>
      <c r="B36" s="238" t="s">
        <v>254</v>
      </c>
      <c r="C36" s="9">
        <v>18000</v>
      </c>
      <c r="D36" s="9">
        <v>18000</v>
      </c>
      <c r="E36" s="9">
        <v>18000</v>
      </c>
      <c r="F36" s="9">
        <v>18000</v>
      </c>
      <c r="G36" s="9">
        <v>18000</v>
      </c>
      <c r="H36" s="9">
        <v>18000</v>
      </c>
      <c r="I36" s="9">
        <v>18000</v>
      </c>
      <c r="J36" s="9">
        <v>18000</v>
      </c>
      <c r="K36" s="9">
        <v>18000</v>
      </c>
      <c r="L36" s="9">
        <v>18000</v>
      </c>
      <c r="M36" s="9">
        <v>18000</v>
      </c>
      <c r="N36" s="9">
        <v>18000</v>
      </c>
      <c r="O36" s="64">
        <f t="shared" si="4"/>
        <v>216000</v>
      </c>
    </row>
    <row r="37" spans="1:15" s="326" customFormat="1" ht="12.75" x14ac:dyDescent="0.2">
      <c r="A37" s="325" t="s">
        <v>53</v>
      </c>
      <c r="B37" s="238" t="s">
        <v>55</v>
      </c>
      <c r="C37" s="9">
        <v>30000</v>
      </c>
      <c r="D37" s="9">
        <v>30000</v>
      </c>
      <c r="E37" s="9">
        <v>30000</v>
      </c>
      <c r="F37" s="9">
        <v>30000</v>
      </c>
      <c r="G37" s="9">
        <v>30000</v>
      </c>
      <c r="H37" s="9">
        <v>30000</v>
      </c>
      <c r="I37" s="9">
        <v>30000</v>
      </c>
      <c r="J37" s="9">
        <v>30000</v>
      </c>
      <c r="K37" s="9">
        <v>30000</v>
      </c>
      <c r="L37" s="9">
        <v>30000</v>
      </c>
      <c r="M37" s="9">
        <v>30000</v>
      </c>
      <c r="N37" s="9">
        <v>30000</v>
      </c>
      <c r="O37" s="64">
        <f t="shared" si="4"/>
        <v>360000</v>
      </c>
    </row>
    <row r="38" spans="1:15" ht="12.75" x14ac:dyDescent="0.2">
      <c r="A38" s="325" t="s">
        <v>248</v>
      </c>
      <c r="B38" s="238" t="s">
        <v>249</v>
      </c>
      <c r="C38" s="9">
        <v>25000</v>
      </c>
      <c r="D38" s="9">
        <v>25000</v>
      </c>
      <c r="E38" s="9">
        <v>25000</v>
      </c>
      <c r="F38" s="9">
        <v>25000</v>
      </c>
      <c r="G38" s="9">
        <v>25000</v>
      </c>
      <c r="H38" s="9">
        <v>25000</v>
      </c>
      <c r="I38" s="9">
        <v>25000</v>
      </c>
      <c r="J38" s="9">
        <v>25000</v>
      </c>
      <c r="K38" s="9">
        <v>25000</v>
      </c>
      <c r="L38" s="9">
        <v>30000</v>
      </c>
      <c r="M38" s="9">
        <v>25000</v>
      </c>
      <c r="N38" s="9">
        <v>25000</v>
      </c>
      <c r="O38" s="64">
        <f t="shared" si="4"/>
        <v>305000</v>
      </c>
    </row>
    <row r="39" spans="1:15" s="79" customFormat="1" ht="12.75" x14ac:dyDescent="0.2">
      <c r="A39" s="526" t="s">
        <v>51</v>
      </c>
      <c r="B39" s="239" t="s">
        <v>190</v>
      </c>
      <c r="C39" s="9">
        <v>33000</v>
      </c>
      <c r="D39" s="9">
        <v>33000</v>
      </c>
      <c r="E39" s="9">
        <v>33000</v>
      </c>
      <c r="F39" s="9">
        <v>33000</v>
      </c>
      <c r="G39" s="9">
        <v>33000</v>
      </c>
      <c r="H39" s="9">
        <v>33000</v>
      </c>
      <c r="I39" s="9">
        <v>33000</v>
      </c>
      <c r="J39" s="9">
        <v>33000</v>
      </c>
      <c r="K39" s="9">
        <v>33000</v>
      </c>
      <c r="L39" s="9">
        <v>33000</v>
      </c>
      <c r="M39" s="9">
        <v>33000</v>
      </c>
      <c r="N39" s="9">
        <v>33000</v>
      </c>
      <c r="O39" s="64">
        <f t="shared" si="4"/>
        <v>396000</v>
      </c>
    </row>
    <row r="40" spans="1:15" s="79" customFormat="1" ht="12.75" x14ac:dyDescent="0.2">
      <c r="A40" s="527"/>
      <c r="B40" s="239" t="s">
        <v>191</v>
      </c>
      <c r="C40" s="9">
        <v>33000</v>
      </c>
      <c r="D40" s="9">
        <v>33000</v>
      </c>
      <c r="E40" s="9">
        <v>33000</v>
      </c>
      <c r="F40" s="9">
        <v>33000</v>
      </c>
      <c r="G40" s="9">
        <v>33000</v>
      </c>
      <c r="H40" s="9">
        <v>33000</v>
      </c>
      <c r="I40" s="9">
        <v>33000</v>
      </c>
      <c r="J40" s="9">
        <v>33000</v>
      </c>
      <c r="K40" s="9">
        <v>33000</v>
      </c>
      <c r="L40" s="9">
        <v>33000</v>
      </c>
      <c r="M40" s="9">
        <v>33000</v>
      </c>
      <c r="N40" s="9">
        <v>33000</v>
      </c>
      <c r="O40" s="64">
        <f t="shared" si="4"/>
        <v>396000</v>
      </c>
    </row>
    <row r="41" spans="1:15" s="79" customFormat="1" ht="12.75" x14ac:dyDescent="0.2">
      <c r="A41" s="527"/>
      <c r="B41" s="239" t="s">
        <v>192</v>
      </c>
      <c r="C41" s="9">
        <v>101000</v>
      </c>
      <c r="D41" s="9">
        <v>101000</v>
      </c>
      <c r="E41" s="9">
        <v>101000</v>
      </c>
      <c r="F41" s="9">
        <v>101000</v>
      </c>
      <c r="G41" s="9">
        <v>101000</v>
      </c>
      <c r="H41" s="9">
        <v>101000</v>
      </c>
      <c r="I41" s="9">
        <v>101000</v>
      </c>
      <c r="J41" s="9">
        <v>101000</v>
      </c>
      <c r="K41" s="9">
        <v>101000</v>
      </c>
      <c r="L41" s="9">
        <v>101000</v>
      </c>
      <c r="M41" s="9">
        <v>101000</v>
      </c>
      <c r="N41" s="9">
        <v>101000</v>
      </c>
      <c r="O41" s="64">
        <f t="shared" si="4"/>
        <v>1212000</v>
      </c>
    </row>
    <row r="42" spans="1:15" s="79" customFormat="1" ht="12.75" x14ac:dyDescent="0.2">
      <c r="A42" s="528"/>
      <c r="B42" s="239" t="s">
        <v>193</v>
      </c>
      <c r="C42" s="9">
        <v>48000</v>
      </c>
      <c r="D42" s="9">
        <v>48000</v>
      </c>
      <c r="E42" s="9">
        <v>48000</v>
      </c>
      <c r="F42" s="9">
        <v>48000</v>
      </c>
      <c r="G42" s="9">
        <v>48000</v>
      </c>
      <c r="H42" s="9">
        <v>48000</v>
      </c>
      <c r="I42" s="9">
        <v>48000</v>
      </c>
      <c r="J42" s="9">
        <v>48000</v>
      </c>
      <c r="K42" s="9">
        <v>48000</v>
      </c>
      <c r="L42" s="9">
        <v>48000</v>
      </c>
      <c r="M42" s="9">
        <v>48000</v>
      </c>
      <c r="N42" s="9">
        <v>48000</v>
      </c>
      <c r="O42" s="64">
        <f t="shared" si="4"/>
        <v>576000</v>
      </c>
    </row>
    <row r="43" spans="1:15" ht="13.5" thickBot="1" x14ac:dyDescent="0.25">
      <c r="A43" s="529" t="s">
        <v>56</v>
      </c>
      <c r="B43" s="530"/>
      <c r="C43" s="167">
        <f t="shared" ref="C43:N43" si="5">SUM(C27:C42)</f>
        <v>607500</v>
      </c>
      <c r="D43" s="167">
        <f t="shared" si="5"/>
        <v>497500</v>
      </c>
      <c r="E43" s="167">
        <f t="shared" si="5"/>
        <v>497500</v>
      </c>
      <c r="F43" s="167">
        <f t="shared" si="5"/>
        <v>497500</v>
      </c>
      <c r="G43" s="167">
        <f t="shared" si="5"/>
        <v>497500</v>
      </c>
      <c r="H43" s="167">
        <f t="shared" si="5"/>
        <v>497500</v>
      </c>
      <c r="I43" s="167">
        <f t="shared" si="5"/>
        <v>497500</v>
      </c>
      <c r="J43" s="167">
        <f t="shared" si="5"/>
        <v>497500</v>
      </c>
      <c r="K43" s="167">
        <f t="shared" si="5"/>
        <v>497500</v>
      </c>
      <c r="L43" s="167">
        <f t="shared" si="5"/>
        <v>502500</v>
      </c>
      <c r="M43" s="167">
        <f t="shared" si="5"/>
        <v>497500</v>
      </c>
      <c r="N43" s="167">
        <f t="shared" si="5"/>
        <v>497500</v>
      </c>
      <c r="O43" s="322"/>
    </row>
    <row r="45" spans="1:15" ht="15.75" customHeight="1" thickBot="1" x14ac:dyDescent="0.25"/>
    <row r="46" spans="1:15" ht="12.75" x14ac:dyDescent="0.2">
      <c r="A46" s="320"/>
      <c r="B46" s="62" t="s">
        <v>46</v>
      </c>
      <c r="C46" s="62" t="s">
        <v>25</v>
      </c>
      <c r="D46" s="62" t="s">
        <v>26</v>
      </c>
      <c r="E46" s="62" t="s">
        <v>27</v>
      </c>
      <c r="F46" s="62" t="s">
        <v>28</v>
      </c>
      <c r="G46" s="62" t="s">
        <v>29</v>
      </c>
      <c r="H46" s="62" t="s">
        <v>30</v>
      </c>
      <c r="I46" s="62" t="s">
        <v>31</v>
      </c>
      <c r="J46" s="62" t="s">
        <v>32</v>
      </c>
      <c r="K46" s="62" t="s">
        <v>33</v>
      </c>
      <c r="L46" s="62" t="s">
        <v>34</v>
      </c>
      <c r="M46" s="62" t="s">
        <v>35</v>
      </c>
      <c r="N46" s="62" t="s">
        <v>36</v>
      </c>
      <c r="O46" s="321" t="s">
        <v>57</v>
      </c>
    </row>
    <row r="47" spans="1:15" s="326" customFormat="1" ht="12.75" x14ac:dyDescent="0.2">
      <c r="A47" s="531" t="s">
        <v>246</v>
      </c>
      <c r="B47" s="238" t="s">
        <v>50</v>
      </c>
      <c r="C47" s="9">
        <v>143000</v>
      </c>
      <c r="D47" s="9">
        <v>143000</v>
      </c>
      <c r="E47" s="354">
        <v>143000</v>
      </c>
      <c r="F47" s="354">
        <v>143000</v>
      </c>
      <c r="G47" s="354">
        <v>143000</v>
      </c>
      <c r="H47" s="354">
        <v>143000</v>
      </c>
      <c r="I47" s="354">
        <v>143000</v>
      </c>
      <c r="J47" s="354">
        <v>143000</v>
      </c>
      <c r="K47" s="354">
        <v>143000</v>
      </c>
      <c r="L47" s="354">
        <v>143000</v>
      </c>
      <c r="M47" s="354">
        <v>143000</v>
      </c>
      <c r="N47" s="354">
        <v>143000</v>
      </c>
      <c r="O47" s="64">
        <f>SUM(C47:N47)</f>
        <v>1716000</v>
      </c>
    </row>
    <row r="48" spans="1:15" s="326" customFormat="1" ht="12.75" x14ac:dyDescent="0.2">
      <c r="A48" s="532"/>
      <c r="B48" s="238" t="s">
        <v>247</v>
      </c>
      <c r="C48" s="9">
        <v>19500</v>
      </c>
      <c r="D48" s="354">
        <v>19500</v>
      </c>
      <c r="E48" s="354">
        <v>19500</v>
      </c>
      <c r="F48" s="354">
        <v>19500</v>
      </c>
      <c r="G48" s="354">
        <v>19500</v>
      </c>
      <c r="H48" s="354">
        <v>19500</v>
      </c>
      <c r="I48" s="354">
        <v>19500</v>
      </c>
      <c r="J48" s="354">
        <v>19500</v>
      </c>
      <c r="K48" s="354">
        <v>19500</v>
      </c>
      <c r="L48" s="354">
        <v>19500</v>
      </c>
      <c r="M48" s="354">
        <v>19500</v>
      </c>
      <c r="N48" s="354">
        <v>19500</v>
      </c>
      <c r="O48" s="64">
        <f t="shared" ref="O48:O61" si="6">SUM(C48:N48)</f>
        <v>234000</v>
      </c>
    </row>
    <row r="49" spans="1:15" s="326" customFormat="1" ht="12.75" x14ac:dyDescent="0.2">
      <c r="A49" s="531" t="s">
        <v>49</v>
      </c>
      <c r="B49" s="238" t="s">
        <v>54</v>
      </c>
      <c r="C49" s="9">
        <v>15000</v>
      </c>
      <c r="D49" s="9">
        <v>15000</v>
      </c>
      <c r="E49" s="9">
        <v>15000</v>
      </c>
      <c r="F49" s="9">
        <v>15000</v>
      </c>
      <c r="G49" s="9">
        <v>15000</v>
      </c>
      <c r="H49" s="9">
        <v>15000</v>
      </c>
      <c r="I49" s="9">
        <v>15000</v>
      </c>
      <c r="J49" s="9">
        <v>15000</v>
      </c>
      <c r="K49" s="9">
        <v>15000</v>
      </c>
      <c r="L49" s="9">
        <v>15000</v>
      </c>
      <c r="M49" s="9">
        <v>15000</v>
      </c>
      <c r="N49" s="9">
        <v>15000</v>
      </c>
      <c r="O49" s="64">
        <f t="shared" si="6"/>
        <v>180000</v>
      </c>
    </row>
    <row r="50" spans="1:15" s="326" customFormat="1" ht="12.75" x14ac:dyDescent="0.2">
      <c r="A50" s="532"/>
      <c r="B50" s="238" t="s">
        <v>52</v>
      </c>
      <c r="C50" s="9">
        <v>2500</v>
      </c>
      <c r="D50" s="9">
        <v>2500</v>
      </c>
      <c r="E50" s="9">
        <v>2500</v>
      </c>
      <c r="F50" s="9">
        <v>2500</v>
      </c>
      <c r="G50" s="9">
        <v>2500</v>
      </c>
      <c r="H50" s="9">
        <v>2500</v>
      </c>
      <c r="I50" s="9">
        <v>2500</v>
      </c>
      <c r="J50" s="9">
        <v>2500</v>
      </c>
      <c r="K50" s="9">
        <v>2500</v>
      </c>
      <c r="L50" s="9">
        <v>2500</v>
      </c>
      <c r="M50" s="9">
        <v>2500</v>
      </c>
      <c r="N50" s="9">
        <v>2500</v>
      </c>
      <c r="O50" s="64">
        <f t="shared" si="6"/>
        <v>30000</v>
      </c>
    </row>
    <row r="51" spans="1:15" s="326" customFormat="1" ht="12.75" x14ac:dyDescent="0.2">
      <c r="A51" s="532"/>
      <c r="B51" s="238" t="s">
        <v>250</v>
      </c>
      <c r="C51" s="9">
        <v>24000</v>
      </c>
      <c r="D51" s="9">
        <v>24000</v>
      </c>
      <c r="E51" s="9">
        <v>24000</v>
      </c>
      <c r="F51" s="9">
        <v>24000</v>
      </c>
      <c r="G51" s="9">
        <v>24000</v>
      </c>
      <c r="H51" s="9">
        <v>24000</v>
      </c>
      <c r="I51" s="9">
        <v>24000</v>
      </c>
      <c r="J51" s="9">
        <v>24000</v>
      </c>
      <c r="K51" s="9">
        <v>24000</v>
      </c>
      <c r="L51" s="9">
        <v>24000</v>
      </c>
      <c r="M51" s="9">
        <v>24000</v>
      </c>
      <c r="N51" s="9">
        <v>24000</v>
      </c>
      <c r="O51" s="64">
        <f t="shared" si="6"/>
        <v>288000</v>
      </c>
    </row>
    <row r="52" spans="1:15" ht="12.75" x14ac:dyDescent="0.2">
      <c r="A52" s="532"/>
      <c r="B52" s="238" t="s">
        <v>251</v>
      </c>
      <c r="C52" s="9">
        <v>5000</v>
      </c>
      <c r="D52" s="9">
        <v>5000</v>
      </c>
      <c r="E52" s="9">
        <v>5000</v>
      </c>
      <c r="F52" s="9">
        <v>5000</v>
      </c>
      <c r="G52" s="9">
        <v>5000</v>
      </c>
      <c r="H52" s="9">
        <v>5000</v>
      </c>
      <c r="I52" s="9">
        <v>5000</v>
      </c>
      <c r="J52" s="9">
        <v>5000</v>
      </c>
      <c r="K52" s="9">
        <v>5000</v>
      </c>
      <c r="L52" s="9">
        <v>5000</v>
      </c>
      <c r="M52" s="9">
        <v>5000</v>
      </c>
      <c r="N52" s="9">
        <v>5000</v>
      </c>
      <c r="O52" s="64">
        <f t="shared" si="6"/>
        <v>60000</v>
      </c>
    </row>
    <row r="53" spans="1:15" ht="12.75" x14ac:dyDescent="0.2">
      <c r="A53" s="532"/>
      <c r="B53" s="238" t="s">
        <v>252</v>
      </c>
      <c r="C53" s="9">
        <v>14000</v>
      </c>
      <c r="D53" s="9">
        <v>14000</v>
      </c>
      <c r="E53" s="9">
        <v>14000</v>
      </c>
      <c r="F53" s="9">
        <v>14000</v>
      </c>
      <c r="G53" s="9">
        <v>14000</v>
      </c>
      <c r="H53" s="9">
        <v>14000</v>
      </c>
      <c r="I53" s="9">
        <v>14000</v>
      </c>
      <c r="J53" s="9">
        <v>14000</v>
      </c>
      <c r="K53" s="9">
        <v>14000</v>
      </c>
      <c r="L53" s="9">
        <v>14000</v>
      </c>
      <c r="M53" s="9">
        <v>14000</v>
      </c>
      <c r="N53" s="9">
        <v>14000</v>
      </c>
      <c r="O53" s="64">
        <f t="shared" si="6"/>
        <v>168000</v>
      </c>
    </row>
    <row r="54" spans="1:15" ht="12.75" x14ac:dyDescent="0.2">
      <c r="A54" s="532"/>
      <c r="B54" s="238" t="s">
        <v>253</v>
      </c>
      <c r="C54" s="9">
        <v>24000</v>
      </c>
      <c r="D54" s="9">
        <v>24000</v>
      </c>
      <c r="E54" s="9">
        <v>24000</v>
      </c>
      <c r="F54" s="9">
        <v>24000</v>
      </c>
      <c r="G54" s="9">
        <v>24000</v>
      </c>
      <c r="H54" s="9">
        <v>24000</v>
      </c>
      <c r="I54" s="9">
        <v>24000</v>
      </c>
      <c r="J54" s="9">
        <v>24000</v>
      </c>
      <c r="K54" s="9">
        <v>24000</v>
      </c>
      <c r="L54" s="9">
        <v>24000</v>
      </c>
      <c r="M54" s="9">
        <v>24000</v>
      </c>
      <c r="N54" s="9">
        <v>24000</v>
      </c>
      <c r="O54" s="64">
        <f t="shared" si="6"/>
        <v>288000</v>
      </c>
    </row>
    <row r="55" spans="1:15" ht="12.75" x14ac:dyDescent="0.2">
      <c r="A55" s="533"/>
      <c r="B55" s="238" t="s">
        <v>254</v>
      </c>
      <c r="C55" s="9">
        <v>18000</v>
      </c>
      <c r="D55" s="9">
        <v>18000</v>
      </c>
      <c r="E55" s="9">
        <v>18000</v>
      </c>
      <c r="F55" s="9">
        <v>18000</v>
      </c>
      <c r="G55" s="9">
        <v>18000</v>
      </c>
      <c r="H55" s="9">
        <v>18000</v>
      </c>
      <c r="I55" s="9">
        <v>18000</v>
      </c>
      <c r="J55" s="9">
        <v>18000</v>
      </c>
      <c r="K55" s="9">
        <v>18000</v>
      </c>
      <c r="L55" s="9">
        <v>18000</v>
      </c>
      <c r="M55" s="9">
        <v>18000</v>
      </c>
      <c r="N55" s="9">
        <v>18000</v>
      </c>
      <c r="O55" s="64">
        <f t="shared" si="6"/>
        <v>216000</v>
      </c>
    </row>
    <row r="56" spans="1:15" ht="12.75" x14ac:dyDescent="0.2">
      <c r="A56" s="325" t="s">
        <v>53</v>
      </c>
      <c r="B56" s="238" t="s">
        <v>55</v>
      </c>
      <c r="C56" s="9">
        <v>30000</v>
      </c>
      <c r="D56" s="9">
        <v>30000</v>
      </c>
      <c r="E56" s="9">
        <v>30000</v>
      </c>
      <c r="F56" s="9">
        <v>30000</v>
      </c>
      <c r="G56" s="9">
        <v>30000</v>
      </c>
      <c r="H56" s="9">
        <v>30000</v>
      </c>
      <c r="I56" s="9">
        <v>30000</v>
      </c>
      <c r="J56" s="9">
        <v>30000</v>
      </c>
      <c r="K56" s="9">
        <v>30000</v>
      </c>
      <c r="L56" s="9">
        <v>30000</v>
      </c>
      <c r="M56" s="9">
        <v>30000</v>
      </c>
      <c r="N56" s="9">
        <v>30000</v>
      </c>
      <c r="O56" s="64">
        <f t="shared" si="6"/>
        <v>360000</v>
      </c>
    </row>
    <row r="57" spans="1:15" ht="12.75" x14ac:dyDescent="0.2">
      <c r="A57" s="325" t="s">
        <v>248</v>
      </c>
      <c r="B57" s="238" t="s">
        <v>249</v>
      </c>
      <c r="C57" s="9">
        <v>25000</v>
      </c>
      <c r="D57" s="9">
        <v>25000</v>
      </c>
      <c r="E57" s="9">
        <v>25000</v>
      </c>
      <c r="F57" s="9">
        <v>25000</v>
      </c>
      <c r="G57" s="9">
        <v>25000</v>
      </c>
      <c r="H57" s="9">
        <v>25000</v>
      </c>
      <c r="I57" s="9">
        <v>25000</v>
      </c>
      <c r="J57" s="9">
        <v>25000</v>
      </c>
      <c r="K57" s="9">
        <v>25000</v>
      </c>
      <c r="L57" s="9">
        <v>30000</v>
      </c>
      <c r="M57" s="9">
        <v>25000</v>
      </c>
      <c r="N57" s="9">
        <v>25000</v>
      </c>
      <c r="O57" s="64">
        <f t="shared" si="6"/>
        <v>305000</v>
      </c>
    </row>
    <row r="58" spans="1:15" s="79" customFormat="1" ht="12.75" x14ac:dyDescent="0.2">
      <c r="A58" s="526" t="s">
        <v>51</v>
      </c>
      <c r="B58" s="239" t="s">
        <v>190</v>
      </c>
      <c r="C58" s="9">
        <v>64000</v>
      </c>
      <c r="D58" s="9">
        <v>64000</v>
      </c>
      <c r="E58" s="9">
        <v>64000</v>
      </c>
      <c r="F58" s="9">
        <v>64000</v>
      </c>
      <c r="G58" s="9">
        <v>64000</v>
      </c>
      <c r="H58" s="9">
        <v>64000</v>
      </c>
      <c r="I58" s="9">
        <v>64000</v>
      </c>
      <c r="J58" s="9">
        <v>64000</v>
      </c>
      <c r="K58" s="9">
        <v>64000</v>
      </c>
      <c r="L58" s="9">
        <v>64000</v>
      </c>
      <c r="M58" s="9">
        <v>64000</v>
      </c>
      <c r="N58" s="9">
        <v>64000</v>
      </c>
      <c r="O58" s="64">
        <f t="shared" si="6"/>
        <v>768000</v>
      </c>
    </row>
    <row r="59" spans="1:15" s="79" customFormat="1" ht="12.75" x14ac:dyDescent="0.2">
      <c r="A59" s="527"/>
      <c r="B59" s="239" t="s">
        <v>191</v>
      </c>
      <c r="C59" s="9">
        <v>64000</v>
      </c>
      <c r="D59" s="9">
        <v>64000</v>
      </c>
      <c r="E59" s="9">
        <v>64000</v>
      </c>
      <c r="F59" s="9">
        <v>64000</v>
      </c>
      <c r="G59" s="9">
        <v>64000</v>
      </c>
      <c r="H59" s="9">
        <v>64000</v>
      </c>
      <c r="I59" s="9">
        <v>64000</v>
      </c>
      <c r="J59" s="9">
        <v>64000</v>
      </c>
      <c r="K59" s="9">
        <v>64000</v>
      </c>
      <c r="L59" s="9">
        <v>64000</v>
      </c>
      <c r="M59" s="9">
        <v>64000</v>
      </c>
      <c r="N59" s="9">
        <v>64000</v>
      </c>
      <c r="O59" s="64">
        <f t="shared" si="6"/>
        <v>768000</v>
      </c>
    </row>
    <row r="60" spans="1:15" s="79" customFormat="1" ht="12.75" x14ac:dyDescent="0.2">
      <c r="A60" s="527"/>
      <c r="B60" s="239" t="s">
        <v>192</v>
      </c>
      <c r="C60" s="9">
        <v>132000</v>
      </c>
      <c r="D60" s="9">
        <v>132000</v>
      </c>
      <c r="E60" s="9">
        <v>132000</v>
      </c>
      <c r="F60" s="9">
        <v>132000</v>
      </c>
      <c r="G60" s="9">
        <v>132000</v>
      </c>
      <c r="H60" s="9">
        <v>132000</v>
      </c>
      <c r="I60" s="9">
        <v>132000</v>
      </c>
      <c r="J60" s="9">
        <v>132000</v>
      </c>
      <c r="K60" s="9">
        <v>132000</v>
      </c>
      <c r="L60" s="9">
        <v>132000</v>
      </c>
      <c r="M60" s="9">
        <v>132000</v>
      </c>
      <c r="N60" s="9">
        <v>132000</v>
      </c>
      <c r="O60" s="64">
        <f t="shared" si="6"/>
        <v>1584000</v>
      </c>
    </row>
    <row r="61" spans="1:15" s="79" customFormat="1" ht="12.75" x14ac:dyDescent="0.2">
      <c r="A61" s="528"/>
      <c r="B61" s="239" t="s">
        <v>193</v>
      </c>
      <c r="C61" s="9">
        <v>79000</v>
      </c>
      <c r="D61" s="9">
        <v>79000</v>
      </c>
      <c r="E61" s="9">
        <v>79000</v>
      </c>
      <c r="F61" s="9">
        <v>79000</v>
      </c>
      <c r="G61" s="9">
        <v>79000</v>
      </c>
      <c r="H61" s="9">
        <v>79000</v>
      </c>
      <c r="I61" s="9">
        <v>79000</v>
      </c>
      <c r="J61" s="9">
        <v>79000</v>
      </c>
      <c r="K61" s="9">
        <v>79000</v>
      </c>
      <c r="L61" s="9">
        <v>79000</v>
      </c>
      <c r="M61" s="9">
        <v>79000</v>
      </c>
      <c r="N61" s="9">
        <v>79000</v>
      </c>
      <c r="O61" s="64">
        <f t="shared" si="6"/>
        <v>948000</v>
      </c>
    </row>
    <row r="62" spans="1:15" ht="13.5" thickBot="1" x14ac:dyDescent="0.25">
      <c r="A62" s="529" t="s">
        <v>56</v>
      </c>
      <c r="B62" s="530"/>
      <c r="C62" s="166">
        <f>SUM(C52:C61)</f>
        <v>455000</v>
      </c>
      <c r="D62" s="166">
        <f t="shared" ref="D62:N62" si="7">SUM(D52:D61)</f>
        <v>455000</v>
      </c>
      <c r="E62" s="166">
        <f t="shared" si="7"/>
        <v>455000</v>
      </c>
      <c r="F62" s="166">
        <f t="shared" si="7"/>
        <v>455000</v>
      </c>
      <c r="G62" s="166">
        <f t="shared" si="7"/>
        <v>455000</v>
      </c>
      <c r="H62" s="166">
        <f t="shared" si="7"/>
        <v>455000</v>
      </c>
      <c r="I62" s="166">
        <f t="shared" si="7"/>
        <v>455000</v>
      </c>
      <c r="J62" s="166">
        <f t="shared" si="7"/>
        <v>455000</v>
      </c>
      <c r="K62" s="166">
        <f t="shared" si="7"/>
        <v>455000</v>
      </c>
      <c r="L62" s="166">
        <f t="shared" si="7"/>
        <v>460000</v>
      </c>
      <c r="M62" s="166">
        <f t="shared" si="7"/>
        <v>455000</v>
      </c>
      <c r="N62" s="166">
        <f t="shared" si="7"/>
        <v>455000</v>
      </c>
      <c r="O62" s="322"/>
    </row>
    <row r="64" spans="1:15" ht="15.75" customHeight="1" thickBot="1" x14ac:dyDescent="0.25"/>
    <row r="65" spans="1:15" ht="12.75" x14ac:dyDescent="0.2">
      <c r="A65" s="320"/>
      <c r="B65" s="62" t="s">
        <v>47</v>
      </c>
      <c r="C65" s="62" t="s">
        <v>25</v>
      </c>
      <c r="D65" s="62" t="s">
        <v>26</v>
      </c>
      <c r="E65" s="62" t="s">
        <v>27</v>
      </c>
      <c r="F65" s="62" t="s">
        <v>28</v>
      </c>
      <c r="G65" s="62" t="s">
        <v>29</v>
      </c>
      <c r="H65" s="62" t="s">
        <v>30</v>
      </c>
      <c r="I65" s="62" t="s">
        <v>31</v>
      </c>
      <c r="J65" s="62" t="s">
        <v>32</v>
      </c>
      <c r="K65" s="62" t="s">
        <v>33</v>
      </c>
      <c r="L65" s="62" t="s">
        <v>34</v>
      </c>
      <c r="M65" s="62" t="s">
        <v>35</v>
      </c>
      <c r="N65" s="62" t="s">
        <v>36</v>
      </c>
      <c r="O65" s="321" t="s">
        <v>57</v>
      </c>
    </row>
    <row r="66" spans="1:15" s="326" customFormat="1" ht="12.75" x14ac:dyDescent="0.2">
      <c r="A66" s="531" t="s">
        <v>246</v>
      </c>
      <c r="B66" s="238" t="s">
        <v>50</v>
      </c>
      <c r="C66" s="9">
        <v>110000</v>
      </c>
      <c r="D66" s="9">
        <v>185900</v>
      </c>
      <c r="E66" s="354">
        <v>185900</v>
      </c>
      <c r="F66" s="354">
        <v>185900</v>
      </c>
      <c r="G66" s="354">
        <v>185900</v>
      </c>
      <c r="H66" s="354">
        <v>185900</v>
      </c>
      <c r="I66" s="354">
        <v>185900</v>
      </c>
      <c r="J66" s="354">
        <v>185900</v>
      </c>
      <c r="K66" s="354">
        <v>185900</v>
      </c>
      <c r="L66" s="354">
        <v>185900</v>
      </c>
      <c r="M66" s="354">
        <v>185900</v>
      </c>
      <c r="N66" s="354">
        <v>185900</v>
      </c>
      <c r="O66" s="64">
        <f>SUM(C66:N66)</f>
        <v>2154900</v>
      </c>
    </row>
    <row r="67" spans="1:15" s="326" customFormat="1" ht="12.75" x14ac:dyDescent="0.2">
      <c r="A67" s="532"/>
      <c r="B67" s="238" t="s">
        <v>247</v>
      </c>
      <c r="C67" s="9">
        <v>15000</v>
      </c>
      <c r="D67" s="9">
        <v>15000</v>
      </c>
      <c r="E67" s="9">
        <v>25350</v>
      </c>
      <c r="F67" s="354">
        <v>25350</v>
      </c>
      <c r="G67" s="354">
        <v>25350</v>
      </c>
      <c r="H67" s="354">
        <v>25350</v>
      </c>
      <c r="I67" s="354">
        <v>25350</v>
      </c>
      <c r="J67" s="354">
        <v>25350</v>
      </c>
      <c r="K67" s="354">
        <v>25350</v>
      </c>
      <c r="L67" s="354">
        <v>25350</v>
      </c>
      <c r="M67" s="354">
        <v>25350</v>
      </c>
      <c r="N67" s="354">
        <v>25350</v>
      </c>
      <c r="O67" s="64">
        <f t="shared" ref="O67:O80" si="8">SUM(C67:N67)</f>
        <v>283500</v>
      </c>
    </row>
    <row r="68" spans="1:15" s="326" customFormat="1" ht="12.75" x14ac:dyDescent="0.2">
      <c r="A68" s="531" t="s">
        <v>49</v>
      </c>
      <c r="B68" s="238" t="s">
        <v>54</v>
      </c>
      <c r="C68" s="9">
        <v>15000</v>
      </c>
      <c r="D68" s="9">
        <v>15000</v>
      </c>
      <c r="E68" s="9">
        <v>15000</v>
      </c>
      <c r="F68" s="9">
        <v>15000</v>
      </c>
      <c r="G68" s="9">
        <v>15000</v>
      </c>
      <c r="H68" s="9">
        <v>15000</v>
      </c>
      <c r="I68" s="9">
        <v>15000</v>
      </c>
      <c r="J68" s="9">
        <v>15000</v>
      </c>
      <c r="K68" s="9">
        <v>15000</v>
      </c>
      <c r="L68" s="9">
        <v>15000</v>
      </c>
      <c r="M68" s="9">
        <v>15000</v>
      </c>
      <c r="N68" s="9">
        <v>15000</v>
      </c>
      <c r="O68" s="64">
        <f t="shared" si="8"/>
        <v>180000</v>
      </c>
    </row>
    <row r="69" spans="1:15" s="326" customFormat="1" ht="12.75" x14ac:dyDescent="0.2">
      <c r="A69" s="532"/>
      <c r="B69" s="238" t="s">
        <v>52</v>
      </c>
      <c r="C69" s="9">
        <v>2500</v>
      </c>
      <c r="D69" s="9">
        <v>2500</v>
      </c>
      <c r="E69" s="9">
        <v>2500</v>
      </c>
      <c r="F69" s="9">
        <v>2500</v>
      </c>
      <c r="G69" s="9">
        <v>2500</v>
      </c>
      <c r="H69" s="9">
        <v>2500</v>
      </c>
      <c r="I69" s="9">
        <v>2500</v>
      </c>
      <c r="J69" s="9">
        <v>2500</v>
      </c>
      <c r="K69" s="9">
        <v>2500</v>
      </c>
      <c r="L69" s="9">
        <v>2500</v>
      </c>
      <c r="M69" s="9">
        <v>2500</v>
      </c>
      <c r="N69" s="9">
        <v>2500</v>
      </c>
      <c r="O69" s="64">
        <f t="shared" si="8"/>
        <v>30000</v>
      </c>
    </row>
    <row r="70" spans="1:15" s="326" customFormat="1" ht="12.75" x14ac:dyDescent="0.2">
      <c r="A70" s="532"/>
      <c r="B70" s="238" t="s">
        <v>250</v>
      </c>
      <c r="C70" s="9">
        <v>24000</v>
      </c>
      <c r="D70" s="9">
        <v>24000</v>
      </c>
      <c r="E70" s="9">
        <v>24000</v>
      </c>
      <c r="F70" s="9">
        <v>24000</v>
      </c>
      <c r="G70" s="9">
        <v>24000</v>
      </c>
      <c r="H70" s="9">
        <v>24000</v>
      </c>
      <c r="I70" s="9">
        <v>24000</v>
      </c>
      <c r="J70" s="9">
        <v>24000</v>
      </c>
      <c r="K70" s="9">
        <v>24000</v>
      </c>
      <c r="L70" s="9">
        <v>24000</v>
      </c>
      <c r="M70" s="9">
        <v>24000</v>
      </c>
      <c r="N70" s="9">
        <v>24000</v>
      </c>
      <c r="O70" s="64">
        <f t="shared" si="8"/>
        <v>288000</v>
      </c>
    </row>
    <row r="71" spans="1:15" ht="12.75" x14ac:dyDescent="0.2">
      <c r="A71" s="532"/>
      <c r="B71" s="238" t="s">
        <v>251</v>
      </c>
      <c r="C71" s="9">
        <v>5000</v>
      </c>
      <c r="D71" s="9">
        <v>5000</v>
      </c>
      <c r="E71" s="9">
        <v>5000</v>
      </c>
      <c r="F71" s="9">
        <v>5000</v>
      </c>
      <c r="G71" s="9">
        <v>5000</v>
      </c>
      <c r="H71" s="9">
        <v>5000</v>
      </c>
      <c r="I71" s="9">
        <v>5000</v>
      </c>
      <c r="J71" s="9">
        <v>5000</v>
      </c>
      <c r="K71" s="9">
        <v>5000</v>
      </c>
      <c r="L71" s="9">
        <v>5000</v>
      </c>
      <c r="M71" s="9">
        <v>5000</v>
      </c>
      <c r="N71" s="9">
        <v>5000</v>
      </c>
      <c r="O71" s="64">
        <f t="shared" si="8"/>
        <v>60000</v>
      </c>
    </row>
    <row r="72" spans="1:15" ht="12.75" x14ac:dyDescent="0.2">
      <c r="A72" s="532"/>
      <c r="B72" s="238" t="s">
        <v>252</v>
      </c>
      <c r="C72" s="9">
        <v>14000</v>
      </c>
      <c r="D72" s="9">
        <v>14000</v>
      </c>
      <c r="E72" s="9">
        <v>14000</v>
      </c>
      <c r="F72" s="9">
        <v>14000</v>
      </c>
      <c r="G72" s="9">
        <v>14000</v>
      </c>
      <c r="H72" s="9">
        <v>14000</v>
      </c>
      <c r="I72" s="9">
        <v>14000</v>
      </c>
      <c r="J72" s="9">
        <v>14000</v>
      </c>
      <c r="K72" s="9">
        <v>14000</v>
      </c>
      <c r="L72" s="9">
        <v>14000</v>
      </c>
      <c r="M72" s="9">
        <v>14000</v>
      </c>
      <c r="N72" s="9">
        <v>14000</v>
      </c>
      <c r="O72" s="64">
        <f t="shared" si="8"/>
        <v>168000</v>
      </c>
    </row>
    <row r="73" spans="1:15" ht="12.75" x14ac:dyDescent="0.2">
      <c r="A73" s="532"/>
      <c r="B73" s="238" t="s">
        <v>253</v>
      </c>
      <c r="C73" s="9">
        <v>24000</v>
      </c>
      <c r="D73" s="9">
        <v>24000</v>
      </c>
      <c r="E73" s="9">
        <v>24000</v>
      </c>
      <c r="F73" s="9">
        <v>24000</v>
      </c>
      <c r="G73" s="9">
        <v>24000</v>
      </c>
      <c r="H73" s="9">
        <v>24000</v>
      </c>
      <c r="I73" s="9">
        <v>24000</v>
      </c>
      <c r="J73" s="9">
        <v>24000</v>
      </c>
      <c r="K73" s="9">
        <v>24000</v>
      </c>
      <c r="L73" s="9">
        <v>24000</v>
      </c>
      <c r="M73" s="9">
        <v>24000</v>
      </c>
      <c r="N73" s="9">
        <v>24000</v>
      </c>
      <c r="O73" s="64">
        <f t="shared" si="8"/>
        <v>288000</v>
      </c>
    </row>
    <row r="74" spans="1:15" ht="12.75" x14ac:dyDescent="0.2">
      <c r="A74" s="533"/>
      <c r="B74" s="238" t="s">
        <v>254</v>
      </c>
      <c r="C74" s="9">
        <v>18000</v>
      </c>
      <c r="D74" s="9">
        <v>18000</v>
      </c>
      <c r="E74" s="9">
        <v>18000</v>
      </c>
      <c r="F74" s="9">
        <v>18000</v>
      </c>
      <c r="G74" s="9">
        <v>18000</v>
      </c>
      <c r="H74" s="9">
        <v>18000</v>
      </c>
      <c r="I74" s="9">
        <v>18000</v>
      </c>
      <c r="J74" s="9">
        <v>18000</v>
      </c>
      <c r="K74" s="9">
        <v>18000</v>
      </c>
      <c r="L74" s="9">
        <v>18000</v>
      </c>
      <c r="M74" s="9">
        <v>18000</v>
      </c>
      <c r="N74" s="9">
        <v>18000</v>
      </c>
      <c r="O74" s="64">
        <f t="shared" si="8"/>
        <v>216000</v>
      </c>
    </row>
    <row r="75" spans="1:15" ht="12.75" x14ac:dyDescent="0.2">
      <c r="A75" s="325" t="s">
        <v>53</v>
      </c>
      <c r="B75" s="238" t="s">
        <v>55</v>
      </c>
      <c r="C75" s="9">
        <v>30000</v>
      </c>
      <c r="D75" s="9">
        <v>30000</v>
      </c>
      <c r="E75" s="9">
        <v>30000</v>
      </c>
      <c r="F75" s="9">
        <v>30000</v>
      </c>
      <c r="G75" s="9">
        <v>30000</v>
      </c>
      <c r="H75" s="9">
        <v>30000</v>
      </c>
      <c r="I75" s="9">
        <v>30000</v>
      </c>
      <c r="J75" s="9">
        <v>30000</v>
      </c>
      <c r="K75" s="9">
        <v>30000</v>
      </c>
      <c r="L75" s="9">
        <v>30000</v>
      </c>
      <c r="M75" s="9">
        <v>30000</v>
      </c>
      <c r="N75" s="9">
        <v>30000</v>
      </c>
      <c r="O75" s="64">
        <f t="shared" si="8"/>
        <v>360000</v>
      </c>
    </row>
    <row r="76" spans="1:15" ht="12.75" x14ac:dyDescent="0.2">
      <c r="A76" s="325" t="s">
        <v>248</v>
      </c>
      <c r="B76" s="238" t="s">
        <v>249</v>
      </c>
      <c r="C76" s="9">
        <v>25000</v>
      </c>
      <c r="D76" s="9">
        <v>25000</v>
      </c>
      <c r="E76" s="9">
        <v>25000</v>
      </c>
      <c r="F76" s="9">
        <v>25000</v>
      </c>
      <c r="G76" s="9">
        <v>25000</v>
      </c>
      <c r="H76" s="9">
        <v>25000</v>
      </c>
      <c r="I76" s="9">
        <v>25000</v>
      </c>
      <c r="J76" s="9">
        <v>25000</v>
      </c>
      <c r="K76" s="9">
        <v>25000</v>
      </c>
      <c r="L76" s="9">
        <v>30000</v>
      </c>
      <c r="M76" s="9">
        <v>25000</v>
      </c>
      <c r="N76" s="9">
        <v>25000</v>
      </c>
      <c r="O76" s="64">
        <f t="shared" si="8"/>
        <v>305000</v>
      </c>
    </row>
    <row r="77" spans="1:15" s="79" customFormat="1" ht="12.75" x14ac:dyDescent="0.2">
      <c r="A77" s="526" t="s">
        <v>51</v>
      </c>
      <c r="B77" s="239" t="s">
        <v>190</v>
      </c>
      <c r="C77" s="9">
        <v>60000</v>
      </c>
      <c r="D77" s="9">
        <v>60000</v>
      </c>
      <c r="E77" s="9">
        <v>60000</v>
      </c>
      <c r="F77" s="9">
        <v>60000</v>
      </c>
      <c r="G77" s="9">
        <v>60000</v>
      </c>
      <c r="H77" s="9">
        <v>60000</v>
      </c>
      <c r="I77" s="9">
        <v>60000</v>
      </c>
      <c r="J77" s="9">
        <v>60000</v>
      </c>
      <c r="K77" s="9">
        <v>60000</v>
      </c>
      <c r="L77" s="9">
        <v>60000</v>
      </c>
      <c r="M77" s="9">
        <v>60000</v>
      </c>
      <c r="N77" s="9">
        <v>60000</v>
      </c>
      <c r="O77" s="64">
        <f t="shared" si="8"/>
        <v>720000</v>
      </c>
    </row>
    <row r="78" spans="1:15" s="79" customFormat="1" ht="12.75" x14ac:dyDescent="0.2">
      <c r="A78" s="527"/>
      <c r="B78" s="239" t="s">
        <v>191</v>
      </c>
      <c r="C78" s="9">
        <v>65000</v>
      </c>
      <c r="D78" s="9">
        <v>65000</v>
      </c>
      <c r="E78" s="9">
        <v>65000</v>
      </c>
      <c r="F78" s="9">
        <v>65000</v>
      </c>
      <c r="G78" s="9">
        <v>65000</v>
      </c>
      <c r="H78" s="9">
        <v>65000</v>
      </c>
      <c r="I78" s="9">
        <v>65000</v>
      </c>
      <c r="J78" s="9">
        <v>65000</v>
      </c>
      <c r="K78" s="9">
        <v>65000</v>
      </c>
      <c r="L78" s="9">
        <v>65000</v>
      </c>
      <c r="M78" s="9">
        <v>65000</v>
      </c>
      <c r="N78" s="9">
        <v>65000</v>
      </c>
      <c r="O78" s="64">
        <f t="shared" si="8"/>
        <v>780000</v>
      </c>
    </row>
    <row r="79" spans="1:15" s="79" customFormat="1" ht="12.75" x14ac:dyDescent="0.2">
      <c r="A79" s="527"/>
      <c r="B79" s="239" t="s">
        <v>192</v>
      </c>
      <c r="C79" s="9">
        <v>180000</v>
      </c>
      <c r="D79" s="9">
        <v>180000</v>
      </c>
      <c r="E79" s="9">
        <v>180000</v>
      </c>
      <c r="F79" s="9">
        <v>180000</v>
      </c>
      <c r="G79" s="9">
        <v>180000</v>
      </c>
      <c r="H79" s="9">
        <v>180000</v>
      </c>
      <c r="I79" s="9">
        <v>180000</v>
      </c>
      <c r="J79" s="9">
        <v>180000</v>
      </c>
      <c r="K79" s="9">
        <v>180000</v>
      </c>
      <c r="L79" s="9">
        <v>180000</v>
      </c>
      <c r="M79" s="9">
        <v>180000</v>
      </c>
      <c r="N79" s="9">
        <v>180000</v>
      </c>
      <c r="O79" s="64">
        <f t="shared" si="8"/>
        <v>2160000</v>
      </c>
    </row>
    <row r="80" spans="1:15" s="79" customFormat="1" ht="12.75" x14ac:dyDescent="0.2">
      <c r="A80" s="528"/>
      <c r="B80" s="239" t="s">
        <v>193</v>
      </c>
      <c r="C80" s="9">
        <v>75000</v>
      </c>
      <c r="D80" s="9">
        <v>75000</v>
      </c>
      <c r="E80" s="9">
        <v>75000</v>
      </c>
      <c r="F80" s="9">
        <v>75000</v>
      </c>
      <c r="G80" s="9">
        <v>75000</v>
      </c>
      <c r="H80" s="9">
        <v>75000</v>
      </c>
      <c r="I80" s="9">
        <v>75000</v>
      </c>
      <c r="J80" s="9">
        <v>75000</v>
      </c>
      <c r="K80" s="9">
        <v>75000</v>
      </c>
      <c r="L80" s="9">
        <v>75000</v>
      </c>
      <c r="M80" s="9">
        <v>75000</v>
      </c>
      <c r="N80" s="9">
        <v>75000</v>
      </c>
      <c r="O80" s="64">
        <f t="shared" si="8"/>
        <v>900000</v>
      </c>
    </row>
    <row r="81" spans="1:15" ht="13.5" thickBot="1" x14ac:dyDescent="0.25">
      <c r="A81" s="529" t="s">
        <v>56</v>
      </c>
      <c r="B81" s="530"/>
      <c r="C81" s="166">
        <f>SUM(C71:C80)</f>
        <v>496000</v>
      </c>
      <c r="D81" s="166">
        <f t="shared" ref="D81:N81" si="9">SUM(D71:D80)</f>
        <v>496000</v>
      </c>
      <c r="E81" s="166">
        <f t="shared" si="9"/>
        <v>496000</v>
      </c>
      <c r="F81" s="166">
        <f t="shared" si="9"/>
        <v>496000</v>
      </c>
      <c r="G81" s="166">
        <f t="shared" si="9"/>
        <v>496000</v>
      </c>
      <c r="H81" s="166">
        <f t="shared" si="9"/>
        <v>496000</v>
      </c>
      <c r="I81" s="166">
        <f t="shared" si="9"/>
        <v>496000</v>
      </c>
      <c r="J81" s="166">
        <f t="shared" si="9"/>
        <v>496000</v>
      </c>
      <c r="K81" s="166">
        <f t="shared" si="9"/>
        <v>496000</v>
      </c>
      <c r="L81" s="166">
        <f t="shared" si="9"/>
        <v>501000</v>
      </c>
      <c r="M81" s="166">
        <f t="shared" si="9"/>
        <v>496000</v>
      </c>
      <c r="N81" s="166">
        <f t="shared" si="9"/>
        <v>496000</v>
      </c>
      <c r="O81" s="322"/>
    </row>
  </sheetData>
  <mergeCells count="21">
    <mergeCell ref="A81:B81"/>
    <mergeCell ref="A62:B62"/>
    <mergeCell ref="A43:B43"/>
    <mergeCell ref="A39:A42"/>
    <mergeCell ref="A58:A61"/>
    <mergeCell ref="A77:A80"/>
    <mergeCell ref="A47:A48"/>
    <mergeCell ref="A49:A55"/>
    <mergeCell ref="A66:A67"/>
    <mergeCell ref="A68:A74"/>
    <mergeCell ref="A20:A23"/>
    <mergeCell ref="A24:B24"/>
    <mergeCell ref="A28:A29"/>
    <mergeCell ref="A30:A36"/>
    <mergeCell ref="A9:A10"/>
    <mergeCell ref="A11:A17"/>
    <mergeCell ref="D1:G1"/>
    <mergeCell ref="D2:G2"/>
    <mergeCell ref="D3:G3"/>
    <mergeCell ref="D4:G4"/>
    <mergeCell ref="D5:G5"/>
  </mergeCells>
  <hyperlinks>
    <hyperlink ref="A5" location="Indice!A1" display="Indice" xr:uid="{346D01D6-552E-47DD-9BC7-C828B71CDF14}"/>
  </hyperlinks>
  <pageMargins left="0.7" right="0.7" top="0.75" bottom="0.75" header="0.3" footer="0.3"/>
  <ignoredErrors>
    <ignoredError sqref="C62:H62 C81:N81 I62:N62" formulaRange="1"/>
  </ignoredErrors>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44"/>
  <sheetViews>
    <sheetView showGridLines="0" workbookViewId="0">
      <pane ySplit="6" topLeftCell="A7" activePane="bottomLeft" state="frozen"/>
      <selection pane="bottomLeft" activeCell="A17" sqref="A17"/>
    </sheetView>
  </sheetViews>
  <sheetFormatPr baseColWidth="10" defaultColWidth="14.42578125" defaultRowHeight="15.75" customHeight="1" x14ac:dyDescent="0.2"/>
  <cols>
    <col min="2" max="2" width="34.42578125" bestFit="1" customWidth="1"/>
    <col min="4" max="4" width="15.42578125" customWidth="1"/>
  </cols>
  <sheetData>
    <row r="1" spans="1:16" s="42" customFormat="1" ht="15.75" customHeight="1" x14ac:dyDescent="0.2">
      <c r="D1" s="433" t="s">
        <v>0</v>
      </c>
      <c r="E1" s="433"/>
      <c r="F1" s="433"/>
      <c r="G1" s="433"/>
    </row>
    <row r="2" spans="1:16" s="42" customFormat="1" ht="15.75" customHeight="1" x14ac:dyDescent="0.25">
      <c r="A2" s="46"/>
      <c r="D2" s="396" t="s">
        <v>143</v>
      </c>
      <c r="E2" s="397"/>
      <c r="F2" s="397"/>
      <c r="G2" s="397"/>
    </row>
    <row r="3" spans="1:16" s="42" customFormat="1" ht="15.75" customHeight="1" x14ac:dyDescent="0.2">
      <c r="A3" s="44"/>
      <c r="D3" s="396" t="s">
        <v>140</v>
      </c>
      <c r="E3" s="397"/>
      <c r="F3" s="397"/>
      <c r="G3" s="397"/>
    </row>
    <row r="4" spans="1:16" s="42" customFormat="1" ht="15.75" customHeight="1" x14ac:dyDescent="0.2">
      <c r="A4" s="47"/>
      <c r="D4" s="396" t="s">
        <v>141</v>
      </c>
      <c r="E4" s="397"/>
      <c r="F4" s="397"/>
      <c r="G4" s="397"/>
    </row>
    <row r="5" spans="1:16" s="42" customFormat="1" ht="15.75" customHeight="1" x14ac:dyDescent="0.2">
      <c r="A5" s="237" t="s">
        <v>1</v>
      </c>
      <c r="D5" s="396" t="s">
        <v>142</v>
      </c>
      <c r="E5" s="397"/>
      <c r="F5" s="397"/>
      <c r="G5" s="397"/>
    </row>
    <row r="6" spans="1:16" s="43" customFormat="1" thickBot="1" x14ac:dyDescent="0.25">
      <c r="A6" s="524" t="s">
        <v>58</v>
      </c>
      <c r="B6" s="525"/>
      <c r="H6" s="52"/>
    </row>
    <row r="7" spans="1:16" ht="15.75" customHeight="1" thickBot="1" x14ac:dyDescent="0.25">
      <c r="M7" s="345"/>
      <c r="N7" s="345"/>
      <c r="O7" s="345"/>
      <c r="P7" s="345"/>
    </row>
    <row r="8" spans="1:16" ht="15.75" customHeight="1" thickBot="1" x14ac:dyDescent="0.25">
      <c r="B8" s="41"/>
      <c r="C8" s="181" t="s">
        <v>24</v>
      </c>
      <c r="D8" s="156" t="s">
        <v>39</v>
      </c>
      <c r="E8" s="80" t="s">
        <v>40</v>
      </c>
      <c r="G8" s="548" t="s">
        <v>58</v>
      </c>
      <c r="H8" s="535"/>
      <c r="I8" s="535"/>
      <c r="J8" s="535"/>
      <c r="K8" s="536"/>
      <c r="M8" s="345"/>
      <c r="N8" s="345"/>
      <c r="O8" s="345"/>
      <c r="P8" s="345"/>
    </row>
    <row r="9" spans="1:16" ht="15.75" customHeight="1" x14ac:dyDescent="0.2">
      <c r="B9" s="58" t="s">
        <v>145</v>
      </c>
      <c r="C9" s="182">
        <f>O19</f>
        <v>9936</v>
      </c>
      <c r="D9" s="93">
        <f>O29</f>
        <v>12927</v>
      </c>
      <c r="E9" s="183">
        <f>O39</f>
        <v>16806</v>
      </c>
      <c r="G9" s="537" t="s">
        <v>261</v>
      </c>
      <c r="H9" s="538"/>
      <c r="I9" s="538"/>
      <c r="J9" s="538"/>
      <c r="K9" s="539"/>
      <c r="M9" s="345"/>
      <c r="N9" s="345"/>
      <c r="O9" s="345"/>
      <c r="P9" s="345"/>
    </row>
    <row r="10" spans="1:16" s="41" customFormat="1" ht="15.75" customHeight="1" x14ac:dyDescent="0.2">
      <c r="B10" s="59" t="s">
        <v>146</v>
      </c>
      <c r="C10" s="182">
        <f t="shared" ref="C10" si="0">O20</f>
        <v>9936</v>
      </c>
      <c r="D10" s="93">
        <f t="shared" ref="D10" si="1">O30</f>
        <v>12927</v>
      </c>
      <c r="E10" s="183">
        <f t="shared" ref="E10" si="2">O40</f>
        <v>16806</v>
      </c>
      <c r="G10" s="540"/>
      <c r="H10" s="541"/>
      <c r="I10" s="541"/>
      <c r="J10" s="541"/>
      <c r="K10" s="542"/>
      <c r="M10" s="345"/>
      <c r="N10" s="345"/>
      <c r="O10" s="345"/>
      <c r="P10" s="345"/>
    </row>
    <row r="11" spans="1:16" s="358" customFormat="1" ht="15.75" customHeight="1" x14ac:dyDescent="0.2">
      <c r="B11" s="59" t="s">
        <v>260</v>
      </c>
      <c r="C11" s="182">
        <f>O21</f>
        <v>9180</v>
      </c>
      <c r="D11" s="93">
        <f>O31</f>
        <v>16890</v>
      </c>
      <c r="E11" s="183">
        <f>O41</f>
        <v>35850</v>
      </c>
      <c r="G11" s="540"/>
      <c r="H11" s="541"/>
      <c r="I11" s="541"/>
      <c r="J11" s="541"/>
      <c r="K11" s="542"/>
    </row>
    <row r="12" spans="1:16" s="41" customFormat="1" ht="15.75" customHeight="1" x14ac:dyDescent="0.2">
      <c r="B12" s="59" t="s">
        <v>226</v>
      </c>
      <c r="C12" s="182">
        <f t="shared" ref="C12" si="3">O22</f>
        <v>573447</v>
      </c>
      <c r="D12" s="93">
        <f>O32</f>
        <v>1851390</v>
      </c>
      <c r="E12" s="183">
        <f>O42</f>
        <v>2434995</v>
      </c>
      <c r="G12" s="540"/>
      <c r="H12" s="541"/>
      <c r="I12" s="541"/>
      <c r="J12" s="541"/>
      <c r="K12" s="542"/>
      <c r="N12" s="54"/>
      <c r="O12" s="54"/>
      <c r="P12" s="54"/>
    </row>
    <row r="13" spans="1:16" ht="15.75" customHeight="1" x14ac:dyDescent="0.2">
      <c r="B13" s="59" t="s">
        <v>227</v>
      </c>
      <c r="C13" s="182">
        <f>O23</f>
        <v>279279</v>
      </c>
      <c r="D13" s="93">
        <f>O33</f>
        <v>823867.2</v>
      </c>
      <c r="E13" s="183">
        <f>O43</f>
        <v>1083747.6000000001</v>
      </c>
      <c r="G13" s="543"/>
      <c r="H13" s="544"/>
      <c r="I13" s="544"/>
      <c r="J13" s="544"/>
      <c r="K13" s="542"/>
    </row>
    <row r="14" spans="1:16" ht="15.75" customHeight="1" thickBot="1" x14ac:dyDescent="0.25">
      <c r="B14" s="60" t="s">
        <v>43</v>
      </c>
      <c r="C14" s="184">
        <f>SUM(C9:C13)</f>
        <v>881778</v>
      </c>
      <c r="D14" s="185">
        <f>SUM(D9:D13)</f>
        <v>2718001.2</v>
      </c>
      <c r="E14" s="186">
        <f>SUM(E9:E13)</f>
        <v>3588204.6</v>
      </c>
      <c r="G14" s="545"/>
      <c r="H14" s="546"/>
      <c r="I14" s="546"/>
      <c r="J14" s="546"/>
      <c r="K14" s="547"/>
    </row>
    <row r="16" spans="1:16" ht="15.75" customHeight="1" thickBot="1" x14ac:dyDescent="0.25"/>
    <row r="17" spans="2:15" ht="15.75" customHeight="1" x14ac:dyDescent="0.2">
      <c r="C17" s="534" t="s">
        <v>24</v>
      </c>
      <c r="D17" s="535"/>
      <c r="E17" s="535"/>
      <c r="F17" s="535"/>
      <c r="G17" s="535"/>
      <c r="H17" s="535"/>
      <c r="I17" s="535"/>
      <c r="J17" s="535"/>
      <c r="K17" s="535"/>
      <c r="L17" s="535"/>
      <c r="M17" s="535"/>
      <c r="N17" s="535"/>
      <c r="O17" s="536"/>
    </row>
    <row r="18" spans="2:15" ht="15.75" customHeight="1" thickBot="1" x14ac:dyDescent="0.25">
      <c r="C18" s="202" t="s">
        <v>25</v>
      </c>
      <c r="D18" s="203" t="s">
        <v>26</v>
      </c>
      <c r="E18" s="203" t="s">
        <v>27</v>
      </c>
      <c r="F18" s="203" t="s">
        <v>28</v>
      </c>
      <c r="G18" s="203" t="s">
        <v>29</v>
      </c>
      <c r="H18" s="203" t="s">
        <v>30</v>
      </c>
      <c r="I18" s="203" t="s">
        <v>31</v>
      </c>
      <c r="J18" s="203" t="s">
        <v>32</v>
      </c>
      <c r="K18" s="203" t="s">
        <v>33</v>
      </c>
      <c r="L18" s="203" t="s">
        <v>34</v>
      </c>
      <c r="M18" s="203" t="s">
        <v>35</v>
      </c>
      <c r="N18" s="203" t="s">
        <v>36</v>
      </c>
      <c r="O18" s="204" t="s">
        <v>43</v>
      </c>
    </row>
    <row r="19" spans="2:15" ht="15.75" customHeight="1" x14ac:dyDescent="0.2">
      <c r="B19" s="55" t="s">
        <v>145</v>
      </c>
      <c r="C19" s="377">
        <v>357</v>
      </c>
      <c r="D19" s="94">
        <v>357</v>
      </c>
      <c r="E19" s="94">
        <v>357</v>
      </c>
      <c r="F19" s="94">
        <v>561</v>
      </c>
      <c r="G19" s="94">
        <v>561</v>
      </c>
      <c r="H19" s="94">
        <v>561</v>
      </c>
      <c r="I19" s="94">
        <v>1197</v>
      </c>
      <c r="J19" s="94">
        <f t="shared" ref="J19" si="4">I19</f>
        <v>1197</v>
      </c>
      <c r="K19" s="94">
        <f t="shared" ref="K19" si="5">J19</f>
        <v>1197</v>
      </c>
      <c r="L19" s="94">
        <f t="shared" ref="L19" si="6">K19</f>
        <v>1197</v>
      </c>
      <c r="M19" s="94">
        <f t="shared" ref="M19" si="7">L19</f>
        <v>1197</v>
      </c>
      <c r="N19" s="94">
        <f t="shared" ref="N19" si="8">M19</f>
        <v>1197</v>
      </c>
      <c r="O19" s="183">
        <f>SUM(C19:N19)</f>
        <v>9936</v>
      </c>
    </row>
    <row r="20" spans="2:15" s="41" customFormat="1" ht="15.75" customHeight="1" x14ac:dyDescent="0.2">
      <c r="B20" s="56" t="s">
        <v>146</v>
      </c>
      <c r="C20" s="378">
        <v>357</v>
      </c>
      <c r="D20" s="93">
        <v>357</v>
      </c>
      <c r="E20" s="93">
        <v>357</v>
      </c>
      <c r="F20" s="93">
        <v>561</v>
      </c>
      <c r="G20" s="93">
        <v>561</v>
      </c>
      <c r="H20" s="93">
        <v>561</v>
      </c>
      <c r="I20" s="93">
        <v>1197</v>
      </c>
      <c r="J20" s="93">
        <v>1197</v>
      </c>
      <c r="K20" s="93">
        <v>1197</v>
      </c>
      <c r="L20" s="93">
        <v>1197</v>
      </c>
      <c r="M20" s="93">
        <v>1197</v>
      </c>
      <c r="N20" s="93">
        <v>1197</v>
      </c>
      <c r="O20" s="183">
        <f t="shared" ref="O20" si="9">SUM(C20:N20)</f>
        <v>9936</v>
      </c>
    </row>
    <row r="21" spans="2:15" s="345" customFormat="1" ht="15.75" customHeight="1" x14ac:dyDescent="0.2">
      <c r="B21" s="56" t="s">
        <v>260</v>
      </c>
      <c r="C21" s="379">
        <v>700</v>
      </c>
      <c r="D21" s="93">
        <v>700</v>
      </c>
      <c r="E21" s="93">
        <v>700</v>
      </c>
      <c r="F21" s="93">
        <v>700</v>
      </c>
      <c r="G21" s="93">
        <v>700</v>
      </c>
      <c r="H21" s="93">
        <v>700</v>
      </c>
      <c r="I21" s="93">
        <v>830</v>
      </c>
      <c r="J21" s="93">
        <v>830</v>
      </c>
      <c r="K21" s="93">
        <v>830</v>
      </c>
      <c r="L21" s="93">
        <v>830</v>
      </c>
      <c r="M21" s="93">
        <v>830</v>
      </c>
      <c r="N21" s="93">
        <v>830</v>
      </c>
      <c r="O21" s="183">
        <f>SUM(C21:N21)</f>
        <v>9180</v>
      </c>
    </row>
    <row r="22" spans="2:15" s="41" customFormat="1" ht="15.75" customHeight="1" x14ac:dyDescent="0.2">
      <c r="B22" s="56" t="s">
        <v>226</v>
      </c>
      <c r="C22" s="380">
        <f>'Proyección de Ingresos'!F26*0.15</f>
        <v>8175</v>
      </c>
      <c r="D22" s="94">
        <f>'Proyección de Ingresos'!H26*0.15</f>
        <v>16350</v>
      </c>
      <c r="E22" s="94">
        <f>'Proyección de Ingresos'!J26*0.15</f>
        <v>24525</v>
      </c>
      <c r="F22" s="94">
        <f>'Proyección de Ingresos'!L26*0.15</f>
        <v>32700</v>
      </c>
      <c r="G22" s="94">
        <f>'Proyección de Ingresos'!N26*0.15</f>
        <v>40875</v>
      </c>
      <c r="H22" s="94">
        <f>'Proyección de Ingresos'!P26*0.15</f>
        <v>49050</v>
      </c>
      <c r="I22" s="94">
        <f>'Proyección de Ingresos'!R26*0.15</f>
        <v>57225</v>
      </c>
      <c r="J22" s="94">
        <v>1197</v>
      </c>
      <c r="K22" s="94">
        <f>'Proyección de Ingresos'!V26*0.15</f>
        <v>73575</v>
      </c>
      <c r="L22" s="94">
        <f>'Proyección de Ingresos'!X26*0.15</f>
        <v>81750</v>
      </c>
      <c r="M22" s="94">
        <f>'Proyección de Ingresos'!Z26*0.15</f>
        <v>89925</v>
      </c>
      <c r="N22" s="94">
        <f>'Proyección de Ingresos'!AB26*0.15</f>
        <v>98100</v>
      </c>
      <c r="O22" s="196">
        <f>SUM(C22:N22)</f>
        <v>573447</v>
      </c>
    </row>
    <row r="23" spans="2:15" ht="15.75" customHeight="1" x14ac:dyDescent="0.2">
      <c r="B23" s="56" t="s">
        <v>227</v>
      </c>
      <c r="C23" s="380">
        <f>'Proyección de Ingresos'!F27*0.15</f>
        <v>3627</v>
      </c>
      <c r="D23" s="94">
        <f>'Proyección de Ingresos'!H27*0.15</f>
        <v>7254</v>
      </c>
      <c r="E23" s="94">
        <f>'Proyección de Ingresos'!J27*0.15</f>
        <v>10881</v>
      </c>
      <c r="F23" s="94">
        <f>'Proyección de Ingresos'!L27*0.15</f>
        <v>14508</v>
      </c>
      <c r="G23" s="94">
        <f>'Proyección de Ingresos'!N27*0.15</f>
        <v>18135</v>
      </c>
      <c r="H23" s="94">
        <f>'Proyección de Ingresos'!P27*0.15</f>
        <v>21762</v>
      </c>
      <c r="I23" s="94">
        <f>'Proyección de Ingresos'!P27*0.15</f>
        <v>21762</v>
      </c>
      <c r="J23" s="94">
        <f>'Proyección de Ingresos'!T27*0.15</f>
        <v>29016</v>
      </c>
      <c r="K23" s="94">
        <f>'Proyección de Ingresos'!V27*0.15</f>
        <v>32643</v>
      </c>
      <c r="L23" s="94">
        <f>'Proyección de Ingresos'!X27*0.15</f>
        <v>36270</v>
      </c>
      <c r="M23" s="94">
        <f>'Proyección de Ingresos'!Z27*0.15</f>
        <v>39897</v>
      </c>
      <c r="N23" s="94">
        <f>'Proyección de Ingresos'!AB27*0.15</f>
        <v>43524</v>
      </c>
      <c r="O23" s="196">
        <f>SUM(C23:N23)</f>
        <v>279279</v>
      </c>
    </row>
    <row r="24" spans="2:15" ht="15.75" customHeight="1" thickBot="1" x14ac:dyDescent="0.25">
      <c r="B24" s="57" t="s">
        <v>43</v>
      </c>
      <c r="C24" s="381">
        <f t="shared" ref="C24:O24" si="10">SUM(C19:C23)</f>
        <v>13216</v>
      </c>
      <c r="D24" s="206">
        <f t="shared" si="10"/>
        <v>25018</v>
      </c>
      <c r="E24" s="206">
        <f t="shared" si="10"/>
        <v>36820</v>
      </c>
      <c r="F24" s="206">
        <f t="shared" si="10"/>
        <v>49030</v>
      </c>
      <c r="G24" s="206">
        <f t="shared" si="10"/>
        <v>60832</v>
      </c>
      <c r="H24" s="206">
        <f t="shared" si="10"/>
        <v>72634</v>
      </c>
      <c r="I24" s="206">
        <f t="shared" si="10"/>
        <v>82211</v>
      </c>
      <c r="J24" s="206">
        <f t="shared" si="10"/>
        <v>33437</v>
      </c>
      <c r="K24" s="206">
        <f t="shared" si="10"/>
        <v>109442</v>
      </c>
      <c r="L24" s="206">
        <f t="shared" si="10"/>
        <v>121244</v>
      </c>
      <c r="M24" s="206">
        <f t="shared" si="10"/>
        <v>133046</v>
      </c>
      <c r="N24" s="206">
        <f t="shared" si="10"/>
        <v>144848</v>
      </c>
      <c r="O24" s="207">
        <f t="shared" si="10"/>
        <v>881778</v>
      </c>
    </row>
    <row r="26" spans="2:15" ht="15.75" customHeight="1" thickBot="1" x14ac:dyDescent="0.25"/>
    <row r="27" spans="2:15" s="79" customFormat="1" ht="15.75" customHeight="1" x14ac:dyDescent="0.2">
      <c r="C27" s="534" t="s">
        <v>39</v>
      </c>
      <c r="D27" s="535"/>
      <c r="E27" s="535"/>
      <c r="F27" s="535"/>
      <c r="G27" s="535"/>
      <c r="H27" s="535"/>
      <c r="I27" s="535"/>
      <c r="J27" s="535"/>
      <c r="K27" s="535"/>
      <c r="L27" s="535"/>
      <c r="M27" s="535"/>
      <c r="N27" s="535"/>
      <c r="O27" s="536"/>
    </row>
    <row r="28" spans="2:15" s="79" customFormat="1" ht="15.75" customHeight="1" thickBot="1" x14ac:dyDescent="0.25">
      <c r="C28" s="202" t="s">
        <v>25</v>
      </c>
      <c r="D28" s="203" t="s">
        <v>26</v>
      </c>
      <c r="E28" s="203" t="s">
        <v>27</v>
      </c>
      <c r="F28" s="203" t="s">
        <v>28</v>
      </c>
      <c r="G28" s="203" t="s">
        <v>29</v>
      </c>
      <c r="H28" s="203" t="s">
        <v>30</v>
      </c>
      <c r="I28" s="203" t="s">
        <v>31</v>
      </c>
      <c r="J28" s="203" t="s">
        <v>32</v>
      </c>
      <c r="K28" s="203" t="s">
        <v>33</v>
      </c>
      <c r="L28" s="203" t="s">
        <v>34</v>
      </c>
      <c r="M28" s="203" t="s">
        <v>35</v>
      </c>
      <c r="N28" s="203" t="s">
        <v>36</v>
      </c>
      <c r="O28" s="204" t="s">
        <v>43</v>
      </c>
    </row>
    <row r="29" spans="2:15" s="79" customFormat="1" ht="15.75" customHeight="1" x14ac:dyDescent="0.2">
      <c r="B29" s="55" t="s">
        <v>145</v>
      </c>
      <c r="C29" s="214">
        <v>465</v>
      </c>
      <c r="D29" s="94">
        <v>465</v>
      </c>
      <c r="E29" s="94">
        <v>465</v>
      </c>
      <c r="F29" s="94">
        <v>730</v>
      </c>
      <c r="G29" s="94">
        <v>730</v>
      </c>
      <c r="H29" s="94">
        <v>730</v>
      </c>
      <c r="I29" s="94">
        <v>1557</v>
      </c>
      <c r="J29" s="94">
        <v>1557</v>
      </c>
      <c r="K29" s="94">
        <v>1557</v>
      </c>
      <c r="L29" s="94">
        <v>1557</v>
      </c>
      <c r="M29" s="94">
        <v>1557</v>
      </c>
      <c r="N29" s="94">
        <v>1557</v>
      </c>
      <c r="O29" s="183">
        <f>SUM(C29:N29)</f>
        <v>12927</v>
      </c>
    </row>
    <row r="30" spans="2:15" s="79" customFormat="1" ht="15.75" customHeight="1" x14ac:dyDescent="0.2">
      <c r="B30" s="56" t="s">
        <v>146</v>
      </c>
      <c r="C30" s="214">
        <v>465</v>
      </c>
      <c r="D30" s="94">
        <v>465</v>
      </c>
      <c r="E30" s="94">
        <v>465</v>
      </c>
      <c r="F30" s="94">
        <v>730</v>
      </c>
      <c r="G30" s="94">
        <v>730</v>
      </c>
      <c r="H30" s="94">
        <v>730</v>
      </c>
      <c r="I30" s="94">
        <v>1557</v>
      </c>
      <c r="J30" s="94">
        <v>1557</v>
      </c>
      <c r="K30" s="94">
        <v>1557</v>
      </c>
      <c r="L30" s="94">
        <v>1557</v>
      </c>
      <c r="M30" s="94">
        <v>1557</v>
      </c>
      <c r="N30" s="94">
        <v>1557</v>
      </c>
      <c r="O30" s="183">
        <f t="shared" ref="O30:O33" si="11">SUM(C30:N30)</f>
        <v>12927</v>
      </c>
    </row>
    <row r="31" spans="2:15" s="358" customFormat="1" ht="15.75" customHeight="1" x14ac:dyDescent="0.2">
      <c r="B31" s="56" t="s">
        <v>260</v>
      </c>
      <c r="C31" s="375">
        <v>1030</v>
      </c>
      <c r="D31" s="375">
        <v>1030</v>
      </c>
      <c r="E31" s="375">
        <v>1030</v>
      </c>
      <c r="F31" s="93">
        <v>1350</v>
      </c>
      <c r="G31" s="93">
        <v>1350</v>
      </c>
      <c r="H31" s="93">
        <v>1350</v>
      </c>
      <c r="I31" s="93">
        <v>1500</v>
      </c>
      <c r="J31" s="93">
        <v>1500</v>
      </c>
      <c r="K31" s="93">
        <v>1500</v>
      </c>
      <c r="L31" s="93">
        <v>1750</v>
      </c>
      <c r="M31" s="93">
        <v>1750</v>
      </c>
      <c r="N31" s="93">
        <v>1750</v>
      </c>
      <c r="O31" s="183">
        <f>SUM(C31:N31)</f>
        <v>16890</v>
      </c>
    </row>
    <row r="32" spans="2:15" s="79" customFormat="1" ht="15.75" customHeight="1" x14ac:dyDescent="0.2">
      <c r="B32" s="56" t="s">
        <v>226</v>
      </c>
      <c r="C32" s="214">
        <f>'Proyección de Ingresos'!F49*0.18</f>
        <v>123345</v>
      </c>
      <c r="D32" s="94">
        <f>'Proyección de Ingresos'!H49*0.18</f>
        <v>128970</v>
      </c>
      <c r="E32" s="94">
        <f>'Proyección de Ingresos'!J49*0.18</f>
        <v>134595</v>
      </c>
      <c r="F32" s="94">
        <f>'Proyección de Ingresos'!L49*0.18</f>
        <v>140220</v>
      </c>
      <c r="G32" s="94">
        <f>'Proyección de Ingresos'!N49*0.18</f>
        <v>145845</v>
      </c>
      <c r="H32" s="94">
        <f>'Proyección de Ingresos'!P49*0.18</f>
        <v>151470</v>
      </c>
      <c r="I32" s="94">
        <f>'Proyección de Ingresos'!R49*0.18</f>
        <v>157095</v>
      </c>
      <c r="J32" s="94">
        <f>'Proyección de Ingresos'!T49*0.18</f>
        <v>162720</v>
      </c>
      <c r="K32" s="94">
        <f>'Proyección de Ingresos'!V49*0.18</f>
        <v>168345</v>
      </c>
      <c r="L32" s="94">
        <f>'Proyección de Ingresos'!X49*0.18</f>
        <v>173970</v>
      </c>
      <c r="M32" s="94">
        <f>'Proyección de Ingresos'!Z49*0.18</f>
        <v>179595</v>
      </c>
      <c r="N32" s="94">
        <f>'Proyección de Ingresos'!AB49*0.18</f>
        <v>185220</v>
      </c>
      <c r="O32" s="183">
        <f t="shared" si="11"/>
        <v>1851390</v>
      </c>
    </row>
    <row r="33" spans="2:15" s="79" customFormat="1" ht="15.75" customHeight="1" x14ac:dyDescent="0.2">
      <c r="B33" s="56" t="s">
        <v>227</v>
      </c>
      <c r="C33" s="214">
        <f>'Proyección de Ingresos'!F50*0.18</f>
        <v>54756</v>
      </c>
      <c r="D33" s="94">
        <f>'Proyección de Ingresos'!H50*0.18</f>
        <v>57283.199999999997</v>
      </c>
      <c r="E33" s="94">
        <f>'Proyección de Ingresos'!J50*0.18</f>
        <v>59810.399999999994</v>
      </c>
      <c r="F33" s="94">
        <f>'Proyección de Ingresos'!L50*0.18</f>
        <v>62337.599999999999</v>
      </c>
      <c r="G33" s="94">
        <f>'Proyección de Ingresos'!N50*0.18</f>
        <v>64864.799999999996</v>
      </c>
      <c r="H33" s="94">
        <f>'Proyección de Ingresos'!P50*0.18</f>
        <v>67392</v>
      </c>
      <c r="I33" s="94">
        <f>'Proyección de Ingresos'!R50*0.18</f>
        <v>69919.199999999997</v>
      </c>
      <c r="J33" s="94">
        <f>'Proyección de Ingresos'!T50*0.18</f>
        <v>72446.399999999994</v>
      </c>
      <c r="K33" s="94">
        <f>'Proyección de Ingresos'!V50*0.18</f>
        <v>74973.599999999991</v>
      </c>
      <c r="L33" s="94">
        <f>'Proyección de Ingresos'!X50*0.18</f>
        <v>77500.800000000003</v>
      </c>
      <c r="M33" s="94">
        <f>'Proyección de Ingresos'!Z50*0.18</f>
        <v>80028</v>
      </c>
      <c r="N33" s="94">
        <f>'Proyección de Ingresos'!AB50*0.18</f>
        <v>82555.199999999997</v>
      </c>
      <c r="O33" s="183">
        <f t="shared" si="11"/>
        <v>823867.2</v>
      </c>
    </row>
    <row r="34" spans="2:15" s="79" customFormat="1" ht="15.75" customHeight="1" thickBot="1" x14ac:dyDescent="0.25">
      <c r="B34" s="57" t="s">
        <v>43</v>
      </c>
      <c r="C34" s="205">
        <f t="shared" ref="C34:O34" si="12">SUM(C29:C33)</f>
        <v>180061</v>
      </c>
      <c r="D34" s="206">
        <f t="shared" si="12"/>
        <v>188213.2</v>
      </c>
      <c r="E34" s="206">
        <f t="shared" si="12"/>
        <v>196365.4</v>
      </c>
      <c r="F34" s="206">
        <f t="shared" si="12"/>
        <v>205367.6</v>
      </c>
      <c r="G34" s="206">
        <f t="shared" si="12"/>
        <v>213519.8</v>
      </c>
      <c r="H34" s="206">
        <f t="shared" si="12"/>
        <v>221672</v>
      </c>
      <c r="I34" s="206">
        <f t="shared" si="12"/>
        <v>231628.2</v>
      </c>
      <c r="J34" s="206">
        <f t="shared" si="12"/>
        <v>239780.4</v>
      </c>
      <c r="K34" s="206">
        <f t="shared" si="12"/>
        <v>247932.59999999998</v>
      </c>
      <c r="L34" s="206">
        <f t="shared" si="12"/>
        <v>256334.8</v>
      </c>
      <c r="M34" s="206">
        <f t="shared" si="12"/>
        <v>264487</v>
      </c>
      <c r="N34" s="206">
        <f t="shared" si="12"/>
        <v>272639.2</v>
      </c>
      <c r="O34" s="207">
        <f t="shared" si="12"/>
        <v>2718001.2</v>
      </c>
    </row>
    <row r="36" spans="2:15" ht="15.75" customHeight="1" thickBot="1" x14ac:dyDescent="0.25"/>
    <row r="37" spans="2:15" s="79" customFormat="1" ht="15.75" customHeight="1" x14ac:dyDescent="0.2">
      <c r="C37" s="534" t="s">
        <v>40</v>
      </c>
      <c r="D37" s="535"/>
      <c r="E37" s="535"/>
      <c r="F37" s="535"/>
      <c r="G37" s="535"/>
      <c r="H37" s="535"/>
      <c r="I37" s="535"/>
      <c r="J37" s="535"/>
      <c r="K37" s="535"/>
      <c r="L37" s="535"/>
      <c r="M37" s="535"/>
      <c r="N37" s="535"/>
      <c r="O37" s="536"/>
    </row>
    <row r="38" spans="2:15" s="79" customFormat="1" ht="15.75" customHeight="1" thickBot="1" x14ac:dyDescent="0.25">
      <c r="C38" s="65" t="s">
        <v>25</v>
      </c>
      <c r="D38" s="203" t="s">
        <v>26</v>
      </c>
      <c r="E38" s="203" t="s">
        <v>27</v>
      </c>
      <c r="F38" s="203" t="s">
        <v>28</v>
      </c>
      <c r="G38" s="203" t="s">
        <v>29</v>
      </c>
      <c r="H38" s="203" t="s">
        <v>30</v>
      </c>
      <c r="I38" s="203" t="s">
        <v>31</v>
      </c>
      <c r="J38" s="203" t="s">
        <v>32</v>
      </c>
      <c r="K38" s="203" t="s">
        <v>33</v>
      </c>
      <c r="L38" s="203" t="s">
        <v>34</v>
      </c>
      <c r="M38" s="203" t="s">
        <v>35</v>
      </c>
      <c r="N38" s="203" t="s">
        <v>36</v>
      </c>
      <c r="O38" s="204" t="s">
        <v>43</v>
      </c>
    </row>
    <row r="39" spans="2:15" s="79" customFormat="1" ht="15.75" customHeight="1" x14ac:dyDescent="0.2">
      <c r="B39" s="55" t="s">
        <v>145</v>
      </c>
      <c r="C39" s="208">
        <v>605</v>
      </c>
      <c r="D39" s="94">
        <v>605</v>
      </c>
      <c r="E39" s="94">
        <v>605</v>
      </c>
      <c r="F39" s="94">
        <v>949</v>
      </c>
      <c r="G39" s="94">
        <v>949</v>
      </c>
      <c r="H39" s="94">
        <v>949</v>
      </c>
      <c r="I39" s="94">
        <v>2024</v>
      </c>
      <c r="J39" s="94">
        <v>2024</v>
      </c>
      <c r="K39" s="94">
        <v>2024</v>
      </c>
      <c r="L39" s="94">
        <v>2024</v>
      </c>
      <c r="M39" s="94">
        <v>2024</v>
      </c>
      <c r="N39" s="94">
        <v>2024</v>
      </c>
      <c r="O39" s="183">
        <f>SUM(C39:N39)</f>
        <v>16806</v>
      </c>
    </row>
    <row r="40" spans="2:15" s="79" customFormat="1" ht="15.75" customHeight="1" x14ac:dyDescent="0.2">
      <c r="B40" s="56" t="s">
        <v>146</v>
      </c>
      <c r="C40" s="208">
        <v>605</v>
      </c>
      <c r="D40" s="94">
        <v>605</v>
      </c>
      <c r="E40" s="94">
        <v>605</v>
      </c>
      <c r="F40" s="94">
        <v>949</v>
      </c>
      <c r="G40" s="94">
        <v>949</v>
      </c>
      <c r="H40" s="94">
        <v>949</v>
      </c>
      <c r="I40" s="94">
        <v>2024</v>
      </c>
      <c r="J40" s="94">
        <v>2024</v>
      </c>
      <c r="K40" s="94">
        <v>2024</v>
      </c>
      <c r="L40" s="94">
        <v>2024</v>
      </c>
      <c r="M40" s="94">
        <v>2024</v>
      </c>
      <c r="N40" s="94">
        <v>2024</v>
      </c>
      <c r="O40" s="183">
        <f t="shared" ref="O40" si="13">SUM(C40:N40)</f>
        <v>16806</v>
      </c>
    </row>
    <row r="41" spans="2:15" s="358" customFormat="1" ht="15.75" customHeight="1" x14ac:dyDescent="0.2">
      <c r="B41" s="56" t="s">
        <v>260</v>
      </c>
      <c r="C41" s="375">
        <v>2100</v>
      </c>
      <c r="D41" s="93">
        <v>2100</v>
      </c>
      <c r="E41" s="93">
        <v>2100</v>
      </c>
      <c r="F41" s="93">
        <v>2700</v>
      </c>
      <c r="G41" s="93">
        <v>2700</v>
      </c>
      <c r="H41" s="93">
        <v>2700</v>
      </c>
      <c r="I41" s="93">
        <v>3250</v>
      </c>
      <c r="J41" s="93">
        <v>3250</v>
      </c>
      <c r="K41" s="93">
        <v>3250</v>
      </c>
      <c r="L41" s="93">
        <v>3900</v>
      </c>
      <c r="M41" s="93">
        <v>3900</v>
      </c>
      <c r="N41" s="93">
        <v>3900</v>
      </c>
      <c r="O41" s="183">
        <f>SUM(C41:N41)</f>
        <v>35850</v>
      </c>
    </row>
    <row r="42" spans="2:15" s="79" customFormat="1" ht="15.75" customHeight="1" x14ac:dyDescent="0.2">
      <c r="B42" s="56" t="s">
        <v>226</v>
      </c>
      <c r="C42" s="214">
        <f>'Proyección de Ingresos'!F79*0.18</f>
        <v>187942.5</v>
      </c>
      <c r="D42" s="94">
        <f>'Proyección de Ingresos'!H79*0.18</f>
        <v>190665</v>
      </c>
      <c r="E42" s="94">
        <f>'Proyección de Ingresos'!J79*0.18</f>
        <v>193387.5</v>
      </c>
      <c r="F42" s="94">
        <f>'Proyección de Ingresos'!L79*0.18</f>
        <v>196110</v>
      </c>
      <c r="G42" s="94">
        <f>'Proyección de Ingresos'!N79*0.18</f>
        <v>198832.5</v>
      </c>
      <c r="H42" s="94">
        <f>'Proyección de Ingresos'!P79*0.18</f>
        <v>201555</v>
      </c>
      <c r="I42" s="94">
        <f>'Proyección de Ingresos'!R79*0.18</f>
        <v>204277.5</v>
      </c>
      <c r="J42" s="94">
        <f>'Proyección de Ingresos'!T79*0.18</f>
        <v>207000</v>
      </c>
      <c r="K42" s="94">
        <f>'Proyección de Ingresos'!V79*0.18</f>
        <v>209722.5</v>
      </c>
      <c r="L42" s="94">
        <f>'Proyección de Ingresos'!X79*0.18</f>
        <v>212445</v>
      </c>
      <c r="M42" s="94">
        <f>'Proyección de Ingresos'!Z79*0.18</f>
        <v>215167.5</v>
      </c>
      <c r="N42" s="94">
        <f>'Proyección de Ingresos'!AB79*0.18</f>
        <v>217890</v>
      </c>
      <c r="O42" s="196">
        <f>SUM(C42:N42)</f>
        <v>2434995</v>
      </c>
    </row>
    <row r="43" spans="2:15" s="79" customFormat="1" ht="15.75" customHeight="1" x14ac:dyDescent="0.2">
      <c r="B43" s="56" t="s">
        <v>227</v>
      </c>
      <c r="C43" s="214">
        <f>'Proyección de Ingresos'!F80*0.18</f>
        <v>83748.599999999991</v>
      </c>
      <c r="D43" s="94">
        <f>'Proyección de Ingresos'!H80*0.18</f>
        <v>84942</v>
      </c>
      <c r="E43" s="94">
        <f>'Proyección de Ingresos'!J80*0.18</f>
        <v>86135.4</v>
      </c>
      <c r="F43" s="94">
        <f>'Proyección de Ingresos'!L80*0.18</f>
        <v>87328.8</v>
      </c>
      <c r="G43" s="94">
        <f>'Proyección de Ingresos'!N80*0.18</f>
        <v>88522.2</v>
      </c>
      <c r="H43" s="94">
        <f>'Proyección de Ingresos'!P80*0.18</f>
        <v>89715.599999999991</v>
      </c>
      <c r="I43" s="94">
        <f>'Proyección de Ingresos'!R80*0.18</f>
        <v>90909</v>
      </c>
      <c r="J43" s="94">
        <f>'Proyección de Ingresos'!T80*0.18</f>
        <v>92102.399999999994</v>
      </c>
      <c r="K43" s="94">
        <f>'Proyección de Ingresos'!V80*0.18</f>
        <v>93295.8</v>
      </c>
      <c r="L43" s="94">
        <f>'Proyección de Ingresos'!X80*0.18</f>
        <v>94489.2</v>
      </c>
      <c r="M43" s="94">
        <f>'Proyección de Ingresos'!Z80*0.18</f>
        <v>95682.599999999991</v>
      </c>
      <c r="N43" s="94">
        <f>'Proyección de Ingresos'!AB80*0.18</f>
        <v>96876</v>
      </c>
      <c r="O43" s="196">
        <f>SUM(C43:N43)</f>
        <v>1083747.6000000001</v>
      </c>
    </row>
    <row r="44" spans="2:15" s="79" customFormat="1" ht="15.75" customHeight="1" thickBot="1" x14ac:dyDescent="0.25">
      <c r="B44" s="57" t="s">
        <v>43</v>
      </c>
      <c r="C44" s="66">
        <f t="shared" ref="C44:O44" si="14">SUM(C39:C43)</f>
        <v>275001.09999999998</v>
      </c>
      <c r="D44" s="206">
        <f t="shared" si="14"/>
        <v>278917</v>
      </c>
      <c r="E44" s="206">
        <f t="shared" si="14"/>
        <v>282832.90000000002</v>
      </c>
      <c r="F44" s="206">
        <f t="shared" si="14"/>
        <v>288036.8</v>
      </c>
      <c r="G44" s="206">
        <f t="shared" si="14"/>
        <v>291952.7</v>
      </c>
      <c r="H44" s="206">
        <f t="shared" si="14"/>
        <v>295868.59999999998</v>
      </c>
      <c r="I44" s="206">
        <f t="shared" si="14"/>
        <v>302484.5</v>
      </c>
      <c r="J44" s="206">
        <f t="shared" si="14"/>
        <v>306400.40000000002</v>
      </c>
      <c r="K44" s="206">
        <f t="shared" si="14"/>
        <v>310316.3</v>
      </c>
      <c r="L44" s="206">
        <f t="shared" si="14"/>
        <v>314882.2</v>
      </c>
      <c r="M44" s="206">
        <f t="shared" si="14"/>
        <v>318798.09999999998</v>
      </c>
      <c r="N44" s="206">
        <f t="shared" si="14"/>
        <v>322714</v>
      </c>
      <c r="O44" s="207">
        <f t="shared" si="14"/>
        <v>3588204.6</v>
      </c>
    </row>
  </sheetData>
  <mergeCells count="11">
    <mergeCell ref="C27:O27"/>
    <mergeCell ref="C37:O37"/>
    <mergeCell ref="A6:B6"/>
    <mergeCell ref="G9:K14"/>
    <mergeCell ref="C17:O17"/>
    <mergeCell ref="G8:K8"/>
    <mergeCell ref="D1:G1"/>
    <mergeCell ref="D2:G2"/>
    <mergeCell ref="D3:G3"/>
    <mergeCell ref="D4:G4"/>
    <mergeCell ref="D5:G5"/>
  </mergeCells>
  <hyperlinks>
    <hyperlink ref="A5" location="Indice!A1" display="Indice" xr:uid="{F09B2B77-184A-463A-A3EC-9815218B6D0D}"/>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83"/>
  <sheetViews>
    <sheetView showGridLines="0" zoomScale="115" zoomScaleNormal="115" workbookViewId="0">
      <pane ySplit="6" topLeftCell="A10" activePane="bottomLeft" state="frozen"/>
      <selection pane="bottomLeft" activeCell="A38" sqref="A38"/>
    </sheetView>
  </sheetViews>
  <sheetFormatPr baseColWidth="10" defaultColWidth="14.42578125" defaultRowHeight="15.75" customHeight="1" x14ac:dyDescent="0.2"/>
  <cols>
    <col min="1" max="1" width="10.140625" customWidth="1"/>
    <col min="2" max="2" width="30.85546875" customWidth="1"/>
    <col min="3" max="3" width="15.42578125" customWidth="1"/>
    <col min="4" max="4" width="16" customWidth="1"/>
    <col min="5" max="5" width="13" customWidth="1"/>
    <col min="7" max="7" width="12.28515625" customWidth="1"/>
    <col min="8" max="8" width="13.5703125" customWidth="1"/>
    <col min="9" max="9" width="16.7109375" customWidth="1"/>
    <col min="10" max="10" width="11.85546875" customWidth="1"/>
    <col min="11" max="12" width="14.7109375" customWidth="1"/>
    <col min="13" max="13" width="13.7109375" customWidth="1"/>
    <col min="14" max="14" width="13.28515625" customWidth="1"/>
  </cols>
  <sheetData>
    <row r="1" spans="1:10" s="42" customFormat="1" ht="15" x14ac:dyDescent="0.2">
      <c r="D1" s="433" t="s">
        <v>0</v>
      </c>
      <c r="E1" s="433"/>
      <c r="F1" s="433"/>
      <c r="G1" s="433"/>
      <c r="H1" s="45"/>
    </row>
    <row r="2" spans="1:10" s="42" customFormat="1" ht="15" x14ac:dyDescent="0.25">
      <c r="A2" s="46"/>
      <c r="D2" s="396" t="s">
        <v>143</v>
      </c>
      <c r="E2" s="397"/>
      <c r="F2" s="397"/>
      <c r="G2" s="397"/>
    </row>
    <row r="3" spans="1:10" s="42" customFormat="1" ht="12.75" x14ac:dyDescent="0.2">
      <c r="A3" s="44"/>
      <c r="D3" s="396" t="s">
        <v>140</v>
      </c>
      <c r="E3" s="397"/>
      <c r="F3" s="397"/>
      <c r="G3" s="397"/>
    </row>
    <row r="4" spans="1:10" s="42" customFormat="1" ht="12.75" x14ac:dyDescent="0.2">
      <c r="A4" s="47"/>
      <c r="D4" s="396" t="s">
        <v>141</v>
      </c>
      <c r="E4" s="397"/>
      <c r="F4" s="397"/>
      <c r="G4" s="397"/>
    </row>
    <row r="5" spans="1:10" s="42" customFormat="1" ht="14.25" x14ac:dyDescent="0.2">
      <c r="A5" s="237" t="s">
        <v>1</v>
      </c>
      <c r="D5" s="396" t="s">
        <v>142</v>
      </c>
      <c r="E5" s="397"/>
      <c r="F5" s="397"/>
      <c r="G5" s="397"/>
    </row>
    <row r="6" spans="1:10" s="43" customFormat="1" ht="13.5" thickBot="1" x14ac:dyDescent="0.25">
      <c r="A6" s="48" t="s">
        <v>9</v>
      </c>
    </row>
    <row r="7" spans="1:10" ht="13.5" thickBot="1" x14ac:dyDescent="0.25">
      <c r="C7" s="14"/>
      <c r="D7" s="14"/>
      <c r="E7" s="14"/>
    </row>
    <row r="8" spans="1:10" ht="13.5" thickBot="1" x14ac:dyDescent="0.25">
      <c r="B8" s="79"/>
      <c r="C8" s="136" t="s">
        <v>24</v>
      </c>
      <c r="D8" s="137" t="s">
        <v>39</v>
      </c>
      <c r="E8" s="138" t="s">
        <v>40</v>
      </c>
      <c r="G8" s="195"/>
      <c r="H8" s="195"/>
      <c r="I8" s="195"/>
      <c r="J8" s="195"/>
    </row>
    <row r="9" spans="1:10" s="79" customFormat="1" ht="15" x14ac:dyDescent="0.25">
      <c r="B9" s="132" t="s">
        <v>59</v>
      </c>
      <c r="C9" s="139" t="s">
        <v>70</v>
      </c>
      <c r="D9" s="133" t="s">
        <v>70</v>
      </c>
      <c r="E9" s="140" t="s">
        <v>70</v>
      </c>
      <c r="G9" s="195"/>
      <c r="H9" s="195"/>
      <c r="I9" s="195"/>
      <c r="J9" s="195"/>
    </row>
    <row r="10" spans="1:10" ht="12.75" x14ac:dyDescent="0.2">
      <c r="B10" s="134" t="s">
        <v>176</v>
      </c>
      <c r="C10" s="333">
        <f>O41</f>
        <v>0</v>
      </c>
      <c r="D10" s="332">
        <f>O56</f>
        <v>2527200</v>
      </c>
      <c r="E10" s="334">
        <f>O72</f>
        <v>2527200</v>
      </c>
      <c r="G10" s="79"/>
      <c r="H10" s="79"/>
      <c r="I10" s="79"/>
    </row>
    <row r="11" spans="1:10" ht="12.75" x14ac:dyDescent="0.2">
      <c r="B11" s="134" t="s">
        <v>177</v>
      </c>
      <c r="C11" s="335">
        <f>O42</f>
        <v>1778400</v>
      </c>
      <c r="D11" s="332">
        <f t="shared" ref="D11:D12" si="0">O57</f>
        <v>1778400</v>
      </c>
      <c r="E11" s="334">
        <f t="shared" ref="E11:E13" si="1">O73</f>
        <v>1778400</v>
      </c>
      <c r="G11" s="79"/>
      <c r="H11" s="79"/>
      <c r="I11" s="79"/>
    </row>
    <row r="12" spans="1:10" ht="12.75" x14ac:dyDescent="0.2">
      <c r="B12" s="134" t="s">
        <v>179</v>
      </c>
      <c r="C12" s="335">
        <f>O44</f>
        <v>1778400</v>
      </c>
      <c r="D12" s="332">
        <f t="shared" si="0"/>
        <v>1778400</v>
      </c>
      <c r="E12" s="334">
        <f t="shared" si="1"/>
        <v>1778400</v>
      </c>
      <c r="G12" s="79"/>
      <c r="H12" s="79"/>
      <c r="I12" s="79"/>
    </row>
    <row r="13" spans="1:10" s="79" customFormat="1" ht="12.75" x14ac:dyDescent="0.2">
      <c r="B13" s="134" t="s">
        <v>178</v>
      </c>
      <c r="C13" s="335">
        <f>O43</f>
        <v>1778400</v>
      </c>
      <c r="D13" s="332">
        <f>O59</f>
        <v>1778400</v>
      </c>
      <c r="E13" s="334">
        <f t="shared" si="1"/>
        <v>1778400</v>
      </c>
    </row>
    <row r="14" spans="1:10" ht="12.75" x14ac:dyDescent="0.2">
      <c r="B14" s="134" t="s">
        <v>174</v>
      </c>
      <c r="C14" s="333">
        <f>O46</f>
        <v>0</v>
      </c>
      <c r="D14" s="332">
        <f>O61</f>
        <v>655200</v>
      </c>
      <c r="E14" s="334">
        <f>O77</f>
        <v>1310400</v>
      </c>
    </row>
    <row r="15" spans="1:10" ht="12.75" x14ac:dyDescent="0.2">
      <c r="B15" s="134" t="s">
        <v>175</v>
      </c>
      <c r="C15" s="333">
        <f>O47</f>
        <v>0</v>
      </c>
      <c r="D15" s="332">
        <f>O62</f>
        <v>655200</v>
      </c>
      <c r="E15" s="334">
        <f>O78</f>
        <v>1310400</v>
      </c>
    </row>
    <row r="16" spans="1:10" ht="12.75" x14ac:dyDescent="0.2">
      <c r="B16" s="134" t="s">
        <v>181</v>
      </c>
      <c r="C16" s="333">
        <v>0</v>
      </c>
      <c r="D16" s="331">
        <f>O65</f>
        <v>720000</v>
      </c>
      <c r="E16" s="334">
        <f>O81</f>
        <v>936000</v>
      </c>
    </row>
    <row r="17" spans="2:11" s="340" customFormat="1" ht="12.75" x14ac:dyDescent="0.2">
      <c r="B17" s="351" t="s">
        <v>255</v>
      </c>
      <c r="C17" s="333">
        <f>O48</f>
        <v>0</v>
      </c>
      <c r="D17" s="331">
        <f>O63</f>
        <v>1296000</v>
      </c>
      <c r="E17" s="334">
        <f>O79</f>
        <v>936000</v>
      </c>
    </row>
    <row r="18" spans="2:11" s="79" customFormat="1" ht="12.75" x14ac:dyDescent="0.2">
      <c r="B18" s="134" t="s">
        <v>60</v>
      </c>
      <c r="C18" s="333">
        <f>O45</f>
        <v>702000</v>
      </c>
      <c r="D18" s="93">
        <f>O60</f>
        <v>1404000</v>
      </c>
      <c r="E18" s="334">
        <f>O76</f>
        <v>1404000</v>
      </c>
    </row>
    <row r="19" spans="2:11" ht="12.75" x14ac:dyDescent="0.2">
      <c r="B19" s="134" t="s">
        <v>61</v>
      </c>
      <c r="C19" s="333">
        <f>O49</f>
        <v>0</v>
      </c>
      <c r="D19" s="331">
        <f>O64</f>
        <v>0</v>
      </c>
      <c r="E19" s="334">
        <f>O80</f>
        <v>1080000</v>
      </c>
    </row>
    <row r="20" spans="2:11" ht="12.75" x14ac:dyDescent="0.2">
      <c r="B20" s="134" t="s">
        <v>182</v>
      </c>
      <c r="C20" s="333">
        <v>0</v>
      </c>
      <c r="D20" s="331">
        <f>O66</f>
        <v>0</v>
      </c>
      <c r="E20" s="334">
        <f>O82</f>
        <v>835200</v>
      </c>
    </row>
    <row r="21" spans="2:11" ht="13.5" thickBot="1" x14ac:dyDescent="0.25">
      <c r="B21" s="135" t="s">
        <v>43</v>
      </c>
      <c r="C21" s="328">
        <f>SUM(C10:C20)</f>
        <v>6037200</v>
      </c>
      <c r="D21" s="329">
        <f>SUM(D10:D20)</f>
        <v>12592800</v>
      </c>
      <c r="E21" s="330">
        <f>SUM(E10:E20)</f>
        <v>15674400</v>
      </c>
    </row>
    <row r="23" spans="2:11" ht="15.75" customHeight="1" thickBot="1" x14ac:dyDescent="0.25"/>
    <row r="24" spans="2:11" ht="30" x14ac:dyDescent="0.25">
      <c r="B24" s="141" t="s">
        <v>59</v>
      </c>
      <c r="C24" s="142" t="s">
        <v>62</v>
      </c>
      <c r="D24" s="142" t="s">
        <v>63</v>
      </c>
      <c r="E24" s="142" t="s">
        <v>64</v>
      </c>
      <c r="F24" s="142" t="s">
        <v>65</v>
      </c>
      <c r="G24" s="142" t="s">
        <v>66</v>
      </c>
      <c r="H24" s="143" t="s">
        <v>67</v>
      </c>
      <c r="I24" s="143" t="s">
        <v>68</v>
      </c>
      <c r="J24" s="142" t="s">
        <v>69</v>
      </c>
      <c r="K24" s="144" t="s">
        <v>37</v>
      </c>
    </row>
    <row r="25" spans="2:11" ht="15" x14ac:dyDescent="0.25">
      <c r="B25" s="145"/>
      <c r="C25" s="15"/>
      <c r="D25" s="16">
        <f>M3</f>
        <v>0</v>
      </c>
      <c r="E25" s="17">
        <v>0.16</v>
      </c>
      <c r="F25" s="17">
        <v>0.02</v>
      </c>
      <c r="G25" s="17">
        <v>0.05</v>
      </c>
      <c r="H25" s="17">
        <v>7.4999999999999997E-2</v>
      </c>
      <c r="I25" s="17">
        <v>1.4999999999999999E-2</v>
      </c>
      <c r="J25" s="17">
        <v>0.12</v>
      </c>
      <c r="K25" s="146"/>
    </row>
    <row r="26" spans="2:11" ht="15" x14ac:dyDescent="0.25">
      <c r="B26" s="123" t="s">
        <v>176</v>
      </c>
      <c r="C26" s="18">
        <v>135000</v>
      </c>
      <c r="D26" s="19">
        <f t="shared" ref="D26:D34" si="2">K26/6</f>
        <v>32400</v>
      </c>
      <c r="E26" s="19">
        <f t="shared" ref="E26:E34" si="3">C26*0.16</f>
        <v>21600</v>
      </c>
      <c r="F26" s="19">
        <f t="shared" ref="F26:F34" si="4">C26*0.02</f>
        <v>2700</v>
      </c>
      <c r="G26" s="19">
        <f t="shared" ref="G26:G34" si="5">C26*0.05</f>
        <v>6750</v>
      </c>
      <c r="H26" s="19">
        <f t="shared" ref="H26:H34" si="6">C26*0.075</f>
        <v>10125</v>
      </c>
      <c r="I26" s="19">
        <f t="shared" ref="I26:I34" si="7">C26*0.015</f>
        <v>2025</v>
      </c>
      <c r="J26" s="19">
        <f t="shared" ref="J26:J34" si="8">C26*0.12</f>
        <v>16200</v>
      </c>
      <c r="K26" s="147">
        <f t="shared" ref="K26:K31" si="9">SUM(E26:J26)+C26</f>
        <v>194400</v>
      </c>
    </row>
    <row r="27" spans="2:11" ht="15" x14ac:dyDescent="0.25">
      <c r="B27" s="123" t="s">
        <v>177</v>
      </c>
      <c r="C27" s="18">
        <v>95000</v>
      </c>
      <c r="D27" s="19">
        <f t="shared" si="2"/>
        <v>22800</v>
      </c>
      <c r="E27" s="19">
        <f t="shared" si="3"/>
        <v>15200</v>
      </c>
      <c r="F27" s="19">
        <f t="shared" si="4"/>
        <v>1900</v>
      </c>
      <c r="G27" s="19">
        <f t="shared" si="5"/>
        <v>4750</v>
      </c>
      <c r="H27" s="19">
        <f t="shared" si="6"/>
        <v>7125</v>
      </c>
      <c r="I27" s="19">
        <f t="shared" si="7"/>
        <v>1425</v>
      </c>
      <c r="J27" s="19">
        <f t="shared" si="8"/>
        <v>11400</v>
      </c>
      <c r="K27" s="147">
        <f t="shared" si="9"/>
        <v>136800</v>
      </c>
    </row>
    <row r="28" spans="2:11" ht="15" x14ac:dyDescent="0.25">
      <c r="B28" s="123" t="s">
        <v>179</v>
      </c>
      <c r="C28" s="18">
        <v>95000</v>
      </c>
      <c r="D28" s="19">
        <f t="shared" si="2"/>
        <v>22800</v>
      </c>
      <c r="E28" s="19">
        <f t="shared" si="3"/>
        <v>15200</v>
      </c>
      <c r="F28" s="19">
        <f t="shared" si="4"/>
        <v>1900</v>
      </c>
      <c r="G28" s="19">
        <f t="shared" si="5"/>
        <v>4750</v>
      </c>
      <c r="H28" s="19">
        <f t="shared" si="6"/>
        <v>7125</v>
      </c>
      <c r="I28" s="19">
        <f t="shared" si="7"/>
        <v>1425</v>
      </c>
      <c r="J28" s="19">
        <f t="shared" si="8"/>
        <v>11400</v>
      </c>
      <c r="K28" s="147">
        <f t="shared" si="9"/>
        <v>136800</v>
      </c>
    </row>
    <row r="29" spans="2:11" ht="15" x14ac:dyDescent="0.25">
      <c r="B29" s="123" t="s">
        <v>178</v>
      </c>
      <c r="C29" s="18">
        <v>95000</v>
      </c>
      <c r="D29" s="19">
        <f t="shared" si="2"/>
        <v>22800</v>
      </c>
      <c r="E29" s="19">
        <f t="shared" si="3"/>
        <v>15200</v>
      </c>
      <c r="F29" s="19">
        <f t="shared" si="4"/>
        <v>1900</v>
      </c>
      <c r="G29" s="19">
        <f t="shared" si="5"/>
        <v>4750</v>
      </c>
      <c r="H29" s="19">
        <f t="shared" si="6"/>
        <v>7125</v>
      </c>
      <c r="I29" s="19">
        <f t="shared" si="7"/>
        <v>1425</v>
      </c>
      <c r="J29" s="19">
        <f t="shared" si="8"/>
        <v>11400</v>
      </c>
      <c r="K29" s="147">
        <f t="shared" si="9"/>
        <v>136800</v>
      </c>
    </row>
    <row r="30" spans="2:11" ht="15" x14ac:dyDescent="0.25">
      <c r="B30" s="123" t="s">
        <v>174</v>
      </c>
      <c r="C30" s="18">
        <v>70000</v>
      </c>
      <c r="D30" s="19">
        <f t="shared" si="2"/>
        <v>16800</v>
      </c>
      <c r="E30" s="19">
        <f t="shared" si="3"/>
        <v>11200</v>
      </c>
      <c r="F30" s="19">
        <f t="shared" si="4"/>
        <v>1400</v>
      </c>
      <c r="G30" s="19">
        <f t="shared" si="5"/>
        <v>3500</v>
      </c>
      <c r="H30" s="19">
        <f t="shared" si="6"/>
        <v>5250</v>
      </c>
      <c r="I30" s="19">
        <f t="shared" si="7"/>
        <v>1050</v>
      </c>
      <c r="J30" s="19">
        <f t="shared" si="8"/>
        <v>8400</v>
      </c>
      <c r="K30" s="147">
        <f t="shared" si="9"/>
        <v>100800</v>
      </c>
    </row>
    <row r="31" spans="2:11" ht="15" x14ac:dyDescent="0.25">
      <c r="B31" s="123" t="s">
        <v>175</v>
      </c>
      <c r="C31" s="18">
        <v>70000</v>
      </c>
      <c r="D31" s="19">
        <f t="shared" si="2"/>
        <v>16800</v>
      </c>
      <c r="E31" s="19">
        <f t="shared" si="3"/>
        <v>11200</v>
      </c>
      <c r="F31" s="19">
        <f t="shared" si="4"/>
        <v>1400</v>
      </c>
      <c r="G31" s="19">
        <f t="shared" si="5"/>
        <v>3500</v>
      </c>
      <c r="H31" s="19">
        <f t="shared" si="6"/>
        <v>5250</v>
      </c>
      <c r="I31" s="19">
        <f t="shared" si="7"/>
        <v>1050</v>
      </c>
      <c r="J31" s="19">
        <f t="shared" si="8"/>
        <v>8400</v>
      </c>
      <c r="K31" s="147">
        <f t="shared" si="9"/>
        <v>100800</v>
      </c>
    </row>
    <row r="32" spans="2:11" ht="15" x14ac:dyDescent="0.25">
      <c r="B32" s="123" t="s">
        <v>181</v>
      </c>
      <c r="C32" s="18">
        <v>50000</v>
      </c>
      <c r="D32" s="19">
        <f t="shared" si="2"/>
        <v>12000</v>
      </c>
      <c r="E32" s="19">
        <f t="shared" si="3"/>
        <v>8000</v>
      </c>
      <c r="F32" s="19">
        <f t="shared" si="4"/>
        <v>1000</v>
      </c>
      <c r="G32" s="19">
        <f t="shared" si="5"/>
        <v>2500</v>
      </c>
      <c r="H32" s="19">
        <f t="shared" si="6"/>
        <v>3750</v>
      </c>
      <c r="I32" s="19">
        <f t="shared" si="7"/>
        <v>750</v>
      </c>
      <c r="J32" s="19">
        <f t="shared" si="8"/>
        <v>6000</v>
      </c>
      <c r="K32" s="147">
        <f t="shared" ref="K32:K34" si="10">SUM(E32:J32)+C32</f>
        <v>72000</v>
      </c>
    </row>
    <row r="33" spans="2:16" s="336" customFormat="1" ht="15" x14ac:dyDescent="0.25">
      <c r="B33" s="343" t="s">
        <v>255</v>
      </c>
      <c r="C33" s="341">
        <v>75000</v>
      </c>
      <c r="D33" s="342">
        <v>12000</v>
      </c>
      <c r="E33" s="342">
        <v>8000</v>
      </c>
      <c r="F33" s="342">
        <v>1000</v>
      </c>
      <c r="G33" s="342">
        <v>2500</v>
      </c>
      <c r="H33" s="342">
        <v>3750</v>
      </c>
      <c r="I33" s="342">
        <v>750</v>
      </c>
      <c r="J33" s="342">
        <v>6000</v>
      </c>
      <c r="K33" s="344">
        <v>72000</v>
      </c>
    </row>
    <row r="34" spans="2:16" ht="15" x14ac:dyDescent="0.25">
      <c r="B34" s="123" t="s">
        <v>60</v>
      </c>
      <c r="C34" s="18">
        <v>75000</v>
      </c>
      <c r="D34" s="19">
        <f t="shared" si="2"/>
        <v>18000</v>
      </c>
      <c r="E34" s="19">
        <f t="shared" si="3"/>
        <v>12000</v>
      </c>
      <c r="F34" s="19">
        <f t="shared" si="4"/>
        <v>1500</v>
      </c>
      <c r="G34" s="19">
        <f t="shared" si="5"/>
        <v>3750</v>
      </c>
      <c r="H34" s="19">
        <f t="shared" si="6"/>
        <v>5625</v>
      </c>
      <c r="I34" s="19">
        <f t="shared" si="7"/>
        <v>1125</v>
      </c>
      <c r="J34" s="19">
        <f t="shared" si="8"/>
        <v>9000</v>
      </c>
      <c r="K34" s="147">
        <f t="shared" si="10"/>
        <v>108000</v>
      </c>
    </row>
    <row r="35" spans="2:16" s="79" customFormat="1" ht="15" x14ac:dyDescent="0.25">
      <c r="B35" s="123" t="s">
        <v>61</v>
      </c>
      <c r="C35" s="20">
        <v>75000</v>
      </c>
      <c r="D35" s="19">
        <f t="shared" ref="D35:D36" si="11">K35/6</f>
        <v>18000</v>
      </c>
      <c r="E35" s="19">
        <f t="shared" ref="E35:E36" si="12">C35*0.16</f>
        <v>12000</v>
      </c>
      <c r="F35" s="19">
        <f t="shared" ref="F35:F36" si="13">C35*0.02</f>
        <v>1500</v>
      </c>
      <c r="G35" s="19">
        <f t="shared" ref="G35:G36" si="14">C35*0.05</f>
        <v>3750</v>
      </c>
      <c r="H35" s="19">
        <f t="shared" ref="H35:H36" si="15">C35*0.075</f>
        <v>5625</v>
      </c>
      <c r="I35" s="19">
        <f t="shared" ref="I35:I36" si="16">C35*0.015</f>
        <v>1125</v>
      </c>
      <c r="J35" s="19">
        <f t="shared" ref="J35:J36" si="17">C35*0.12</f>
        <v>9000</v>
      </c>
      <c r="K35" s="147">
        <f>(SUM(E35:J35)+C35)</f>
        <v>108000</v>
      </c>
    </row>
    <row r="36" spans="2:16" s="79" customFormat="1" thickBot="1" x14ac:dyDescent="0.3">
      <c r="B36" s="148" t="s">
        <v>182</v>
      </c>
      <c r="C36" s="149">
        <v>58000</v>
      </c>
      <c r="D36" s="150">
        <f t="shared" si="11"/>
        <v>13920</v>
      </c>
      <c r="E36" s="150">
        <f t="shared" si="12"/>
        <v>9280</v>
      </c>
      <c r="F36" s="150">
        <f t="shared" si="13"/>
        <v>1160</v>
      </c>
      <c r="G36" s="150">
        <f t="shared" si="14"/>
        <v>2900</v>
      </c>
      <c r="H36" s="150">
        <f t="shared" si="15"/>
        <v>4350</v>
      </c>
      <c r="I36" s="150">
        <f t="shared" si="16"/>
        <v>870</v>
      </c>
      <c r="J36" s="150">
        <f t="shared" si="17"/>
        <v>6960</v>
      </c>
      <c r="K36" s="151">
        <f t="shared" ref="K36" si="18">SUM(E36:J36)+C36</f>
        <v>83520</v>
      </c>
    </row>
    <row r="38" spans="2:16" ht="15.75" customHeight="1" thickBot="1" x14ac:dyDescent="0.25"/>
    <row r="39" spans="2:16" ht="12.75" x14ac:dyDescent="0.2">
      <c r="B39" s="534" t="s">
        <v>24</v>
      </c>
      <c r="C39" s="535"/>
      <c r="D39" s="535"/>
      <c r="E39" s="535"/>
      <c r="F39" s="535"/>
      <c r="G39" s="535"/>
      <c r="H39" s="535"/>
      <c r="I39" s="535"/>
      <c r="J39" s="535"/>
      <c r="K39" s="535"/>
      <c r="L39" s="535"/>
      <c r="M39" s="535"/>
      <c r="N39" s="535"/>
      <c r="O39" s="63"/>
    </row>
    <row r="40" spans="2:16" ht="15" x14ac:dyDescent="0.25">
      <c r="B40" s="127" t="s">
        <v>59</v>
      </c>
      <c r="C40" s="21" t="s">
        <v>25</v>
      </c>
      <c r="D40" s="21" t="s">
        <v>26</v>
      </c>
      <c r="E40" s="21" t="s">
        <v>27</v>
      </c>
      <c r="F40" s="21" t="s">
        <v>28</v>
      </c>
      <c r="G40" s="21" t="s">
        <v>29</v>
      </c>
      <c r="H40" s="21" t="s">
        <v>30</v>
      </c>
      <c r="I40" s="21" t="s">
        <v>31</v>
      </c>
      <c r="J40" s="21" t="s">
        <v>32</v>
      </c>
      <c r="K40" s="21" t="s">
        <v>33</v>
      </c>
      <c r="L40" s="21" t="s">
        <v>34</v>
      </c>
      <c r="M40" s="21" t="s">
        <v>35</v>
      </c>
      <c r="N40" s="21" t="s">
        <v>36</v>
      </c>
      <c r="O40" s="128" t="s">
        <v>70</v>
      </c>
    </row>
    <row r="41" spans="2:16" ht="12.75" x14ac:dyDescent="0.2">
      <c r="B41" s="129" t="s">
        <v>176</v>
      </c>
      <c r="C41" s="9">
        <v>0</v>
      </c>
      <c r="D41" s="9">
        <v>0</v>
      </c>
      <c r="E41" s="9">
        <v>0</v>
      </c>
      <c r="F41" s="9">
        <v>0</v>
      </c>
      <c r="G41" s="9">
        <v>0</v>
      </c>
      <c r="H41" s="22">
        <v>0</v>
      </c>
      <c r="I41" s="9">
        <v>0</v>
      </c>
      <c r="J41" s="9">
        <v>0</v>
      </c>
      <c r="K41" s="9">
        <v>0</v>
      </c>
      <c r="L41" s="9">
        <v>0</v>
      </c>
      <c r="M41" s="9">
        <v>0</v>
      </c>
      <c r="N41" s="22">
        <v>0</v>
      </c>
      <c r="O41" s="124">
        <f t="shared" ref="O41:O50" si="19">SUM(C41:N41)</f>
        <v>0</v>
      </c>
    </row>
    <row r="42" spans="2:16" ht="12.75" x14ac:dyDescent="0.2">
      <c r="B42" s="129" t="s">
        <v>177</v>
      </c>
      <c r="C42" s="11">
        <f>$K$27</f>
        <v>136800</v>
      </c>
      <c r="D42" s="11">
        <f t="shared" ref="D42:G42" si="20">$K$27</f>
        <v>136800</v>
      </c>
      <c r="E42" s="11">
        <f t="shared" si="20"/>
        <v>136800</v>
      </c>
      <c r="F42" s="11">
        <f t="shared" si="20"/>
        <v>136800</v>
      </c>
      <c r="G42" s="11">
        <f t="shared" si="20"/>
        <v>136800</v>
      </c>
      <c r="H42" s="22">
        <f>$K$27+($K$27/2)</f>
        <v>205200</v>
      </c>
      <c r="I42" s="11">
        <f>$K$27</f>
        <v>136800</v>
      </c>
      <c r="J42" s="11">
        <f t="shared" ref="J42:M42" si="21">$K$27</f>
        <v>136800</v>
      </c>
      <c r="K42" s="11">
        <f t="shared" si="21"/>
        <v>136800</v>
      </c>
      <c r="L42" s="11">
        <f t="shared" si="21"/>
        <v>136800</v>
      </c>
      <c r="M42" s="11">
        <f t="shared" si="21"/>
        <v>136800</v>
      </c>
      <c r="N42" s="22">
        <f>$K$27+($K$27/2)</f>
        <v>205200</v>
      </c>
      <c r="O42" s="124">
        <f t="shared" si="19"/>
        <v>1778400</v>
      </c>
    </row>
    <row r="43" spans="2:16" s="249" customFormat="1" ht="12.75" x14ac:dyDescent="0.2">
      <c r="B43" s="129" t="s">
        <v>244</v>
      </c>
      <c r="C43" s="11">
        <f>$K$29</f>
        <v>136800</v>
      </c>
      <c r="D43" s="11">
        <f t="shared" ref="D43:G43" si="22">$K$29</f>
        <v>136800</v>
      </c>
      <c r="E43" s="11">
        <f t="shared" si="22"/>
        <v>136800</v>
      </c>
      <c r="F43" s="11">
        <f t="shared" si="22"/>
        <v>136800</v>
      </c>
      <c r="G43" s="11">
        <f t="shared" si="22"/>
        <v>136800</v>
      </c>
      <c r="H43" s="22">
        <f>$K$29+($K$29/2)</f>
        <v>205200</v>
      </c>
      <c r="I43" s="11">
        <f>$K$29</f>
        <v>136800</v>
      </c>
      <c r="J43" s="11">
        <f t="shared" ref="J43:M43" si="23">$K$29</f>
        <v>136800</v>
      </c>
      <c r="K43" s="11">
        <f t="shared" si="23"/>
        <v>136800</v>
      </c>
      <c r="L43" s="11">
        <f t="shared" si="23"/>
        <v>136800</v>
      </c>
      <c r="M43" s="11">
        <f t="shared" si="23"/>
        <v>136800</v>
      </c>
      <c r="N43" s="22">
        <f>$K$29+($K$29/2)</f>
        <v>205200</v>
      </c>
      <c r="O43" s="124">
        <f>SUM(C43:N43)</f>
        <v>1778400</v>
      </c>
    </row>
    <row r="44" spans="2:16" ht="12.75" x14ac:dyDescent="0.2">
      <c r="B44" s="129" t="s">
        <v>179</v>
      </c>
      <c r="C44" s="11">
        <f>$K$28</f>
        <v>136800</v>
      </c>
      <c r="D44" s="11">
        <f t="shared" ref="D44:G44" si="24">$K$28</f>
        <v>136800</v>
      </c>
      <c r="E44" s="11">
        <f t="shared" si="24"/>
        <v>136800</v>
      </c>
      <c r="F44" s="11">
        <f t="shared" si="24"/>
        <v>136800</v>
      </c>
      <c r="G44" s="11">
        <f t="shared" si="24"/>
        <v>136800</v>
      </c>
      <c r="H44" s="22">
        <f>$K$28+($K$28/2)</f>
        <v>205200</v>
      </c>
      <c r="I44" s="11">
        <f>$K$28</f>
        <v>136800</v>
      </c>
      <c r="J44" s="11">
        <f t="shared" ref="J44:M44" si="25">$K$28</f>
        <v>136800</v>
      </c>
      <c r="K44" s="11">
        <f t="shared" si="25"/>
        <v>136800</v>
      </c>
      <c r="L44" s="11">
        <f t="shared" si="25"/>
        <v>136800</v>
      </c>
      <c r="M44" s="11">
        <f t="shared" si="25"/>
        <v>136800</v>
      </c>
      <c r="N44" s="22">
        <f>$K$28+($K$28/2)</f>
        <v>205200</v>
      </c>
      <c r="O44" s="124">
        <f t="shared" si="19"/>
        <v>1778400</v>
      </c>
    </row>
    <row r="45" spans="2:16" ht="15" x14ac:dyDescent="0.25">
      <c r="B45" s="129" t="s">
        <v>60</v>
      </c>
      <c r="C45" s="9">
        <v>0</v>
      </c>
      <c r="D45" s="9">
        <v>0</v>
      </c>
      <c r="E45" s="9">
        <v>0</v>
      </c>
      <c r="F45" s="9">
        <v>0</v>
      </c>
      <c r="G45" s="9">
        <v>0</v>
      </c>
      <c r="H45" s="22">
        <v>0</v>
      </c>
      <c r="I45" s="11">
        <f>$K$34</f>
        <v>108000</v>
      </c>
      <c r="J45" s="11">
        <f t="shared" ref="J45:M45" si="26">$K$34</f>
        <v>108000</v>
      </c>
      <c r="K45" s="11">
        <f t="shared" si="26"/>
        <v>108000</v>
      </c>
      <c r="L45" s="11">
        <f t="shared" si="26"/>
        <v>108000</v>
      </c>
      <c r="M45" s="11">
        <f t="shared" si="26"/>
        <v>108000</v>
      </c>
      <c r="N45" s="22">
        <f>$K$34+($K$34/2)</f>
        <v>162000</v>
      </c>
      <c r="O45" s="124">
        <f t="shared" si="19"/>
        <v>702000</v>
      </c>
      <c r="P45" s="23"/>
    </row>
    <row r="46" spans="2:16" s="79" customFormat="1" ht="12.75" x14ac:dyDescent="0.2">
      <c r="B46" s="129" t="s">
        <v>174</v>
      </c>
      <c r="C46" s="9">
        <v>0</v>
      </c>
      <c r="D46" s="9">
        <v>0</v>
      </c>
      <c r="E46" s="9">
        <v>0</v>
      </c>
      <c r="F46" s="9">
        <v>0</v>
      </c>
      <c r="G46" s="9">
        <v>0</v>
      </c>
      <c r="H46" s="22">
        <v>0</v>
      </c>
      <c r="I46" s="9">
        <v>0</v>
      </c>
      <c r="J46" s="9">
        <v>0</v>
      </c>
      <c r="K46" s="9">
        <v>0</v>
      </c>
      <c r="L46" s="9">
        <v>0</v>
      </c>
      <c r="M46" s="9">
        <v>0</v>
      </c>
      <c r="N46" s="22">
        <v>0</v>
      </c>
      <c r="O46" s="124">
        <f t="shared" ref="O46:O49" si="27">SUM(C46:N46)</f>
        <v>0</v>
      </c>
    </row>
    <row r="47" spans="2:16" s="79" customFormat="1" ht="12.75" x14ac:dyDescent="0.2">
      <c r="B47" s="129" t="s">
        <v>175</v>
      </c>
      <c r="C47" s="9">
        <v>0</v>
      </c>
      <c r="D47" s="9">
        <v>0</v>
      </c>
      <c r="E47" s="9">
        <v>0</v>
      </c>
      <c r="F47" s="9">
        <v>0</v>
      </c>
      <c r="G47" s="9">
        <v>0</v>
      </c>
      <c r="H47" s="22">
        <v>0</v>
      </c>
      <c r="I47" s="9">
        <v>0</v>
      </c>
      <c r="J47" s="9">
        <v>0</v>
      </c>
      <c r="K47" s="9">
        <v>0</v>
      </c>
      <c r="L47" s="9">
        <v>0</v>
      </c>
      <c r="M47" s="9">
        <v>0</v>
      </c>
      <c r="N47" s="22">
        <v>0</v>
      </c>
      <c r="O47" s="64">
        <f t="shared" si="27"/>
        <v>0</v>
      </c>
    </row>
    <row r="48" spans="2:16" s="345" customFormat="1" ht="12.75" x14ac:dyDescent="0.2">
      <c r="B48" s="352" t="s">
        <v>255</v>
      </c>
      <c r="C48" s="354">
        <v>0</v>
      </c>
      <c r="D48" s="354">
        <v>0</v>
      </c>
      <c r="E48" s="354">
        <v>0</v>
      </c>
      <c r="F48" s="354">
        <v>0</v>
      </c>
      <c r="G48" s="354">
        <v>0</v>
      </c>
      <c r="H48" s="348">
        <v>0</v>
      </c>
      <c r="I48" s="346">
        <v>0</v>
      </c>
      <c r="J48" s="346">
        <v>0</v>
      </c>
      <c r="K48" s="346">
        <v>0</v>
      </c>
      <c r="L48" s="346">
        <v>0</v>
      </c>
      <c r="M48" s="346">
        <v>0</v>
      </c>
      <c r="N48" s="348">
        <v>0</v>
      </c>
      <c r="O48" s="349">
        <v>0</v>
      </c>
    </row>
    <row r="49" spans="2:16" s="79" customFormat="1" ht="12.75" x14ac:dyDescent="0.2">
      <c r="B49" s="129" t="s">
        <v>61</v>
      </c>
      <c r="C49" s="9">
        <v>0</v>
      </c>
      <c r="D49" s="9">
        <v>0</v>
      </c>
      <c r="E49" s="9">
        <v>0</v>
      </c>
      <c r="F49" s="9">
        <v>0</v>
      </c>
      <c r="G49" s="9">
        <v>0</v>
      </c>
      <c r="H49" s="22">
        <v>0</v>
      </c>
      <c r="I49" s="9">
        <v>0</v>
      </c>
      <c r="J49" s="9">
        <v>0</v>
      </c>
      <c r="K49" s="9">
        <v>0</v>
      </c>
      <c r="L49" s="9">
        <v>0</v>
      </c>
      <c r="M49" s="9">
        <v>0</v>
      </c>
      <c r="N49" s="22">
        <v>0</v>
      </c>
      <c r="O49" s="124">
        <f t="shared" si="27"/>
        <v>0</v>
      </c>
    </row>
    <row r="50" spans="2:16" ht="15" x14ac:dyDescent="0.25">
      <c r="B50" s="129" t="s">
        <v>182</v>
      </c>
      <c r="C50" s="9">
        <v>0</v>
      </c>
      <c r="D50" s="9">
        <v>0</v>
      </c>
      <c r="E50" s="9">
        <v>0</v>
      </c>
      <c r="F50" s="9">
        <v>0</v>
      </c>
      <c r="G50" s="9">
        <v>0</v>
      </c>
      <c r="H50" s="22">
        <v>0</v>
      </c>
      <c r="I50" s="9">
        <v>0</v>
      </c>
      <c r="J50" s="9">
        <v>0</v>
      </c>
      <c r="K50" s="9">
        <v>0</v>
      </c>
      <c r="L50" s="9">
        <v>0</v>
      </c>
      <c r="M50" s="9">
        <v>0</v>
      </c>
      <c r="N50" s="22">
        <v>0</v>
      </c>
      <c r="O50" s="64">
        <f t="shared" si="19"/>
        <v>0</v>
      </c>
      <c r="P50" s="24"/>
    </row>
    <row r="51" spans="2:16" ht="15" customHeight="1" thickBot="1" x14ac:dyDescent="0.3">
      <c r="B51" s="130" t="s">
        <v>56</v>
      </c>
      <c r="C51" s="125">
        <f t="shared" ref="C51:O51" si="28">SUM(C41:C50)</f>
        <v>410400</v>
      </c>
      <c r="D51" s="125">
        <f t="shared" si="28"/>
        <v>410400</v>
      </c>
      <c r="E51" s="125">
        <f t="shared" si="28"/>
        <v>410400</v>
      </c>
      <c r="F51" s="125">
        <f t="shared" si="28"/>
        <v>410400</v>
      </c>
      <c r="G51" s="125">
        <f t="shared" si="28"/>
        <v>410400</v>
      </c>
      <c r="H51" s="125">
        <f t="shared" si="28"/>
        <v>615600</v>
      </c>
      <c r="I51" s="125">
        <f t="shared" si="28"/>
        <v>518400</v>
      </c>
      <c r="J51" s="125">
        <f t="shared" si="28"/>
        <v>518400</v>
      </c>
      <c r="K51" s="125">
        <f t="shared" si="28"/>
        <v>518400</v>
      </c>
      <c r="L51" s="125">
        <f t="shared" si="28"/>
        <v>518400</v>
      </c>
      <c r="M51" s="125">
        <f t="shared" si="28"/>
        <v>518400</v>
      </c>
      <c r="N51" s="125">
        <f t="shared" si="28"/>
        <v>777600</v>
      </c>
      <c r="O51" s="126">
        <f t="shared" si="28"/>
        <v>6037200</v>
      </c>
      <c r="P51" s="24"/>
    </row>
    <row r="52" spans="2:16" ht="15" customHeight="1" x14ac:dyDescent="0.25">
      <c r="M52" s="25"/>
      <c r="N52" s="25"/>
      <c r="O52" s="25"/>
      <c r="P52" s="24"/>
    </row>
    <row r="53" spans="2:16" thickBot="1" x14ac:dyDescent="0.3">
      <c r="L53" s="24"/>
      <c r="M53" s="24"/>
      <c r="N53" s="24"/>
      <c r="O53" s="24"/>
      <c r="P53" s="24"/>
    </row>
    <row r="54" spans="2:16" ht="15" x14ac:dyDescent="0.25">
      <c r="B54" s="534" t="s">
        <v>39</v>
      </c>
      <c r="C54" s="535"/>
      <c r="D54" s="535"/>
      <c r="E54" s="535"/>
      <c r="F54" s="535"/>
      <c r="G54" s="535"/>
      <c r="H54" s="535"/>
      <c r="I54" s="535"/>
      <c r="J54" s="535"/>
      <c r="K54" s="535"/>
      <c r="L54" s="535"/>
      <c r="M54" s="535"/>
      <c r="N54" s="535"/>
      <c r="O54" s="536"/>
      <c r="P54" s="24"/>
    </row>
    <row r="55" spans="2:16" ht="15" x14ac:dyDescent="0.25">
      <c r="B55" s="127" t="s">
        <v>59</v>
      </c>
      <c r="C55" s="21" t="s">
        <v>25</v>
      </c>
      <c r="D55" s="21" t="s">
        <v>26</v>
      </c>
      <c r="E55" s="21" t="s">
        <v>27</v>
      </c>
      <c r="F55" s="21" t="s">
        <v>28</v>
      </c>
      <c r="G55" s="21" t="s">
        <v>29</v>
      </c>
      <c r="H55" s="21" t="s">
        <v>30</v>
      </c>
      <c r="I55" s="21" t="s">
        <v>31</v>
      </c>
      <c r="J55" s="21" t="s">
        <v>32</v>
      </c>
      <c r="K55" s="21" t="s">
        <v>33</v>
      </c>
      <c r="L55" s="21" t="s">
        <v>34</v>
      </c>
      <c r="M55" s="21" t="s">
        <v>35</v>
      </c>
      <c r="N55" s="21" t="s">
        <v>36</v>
      </c>
      <c r="O55" s="131" t="s">
        <v>70</v>
      </c>
      <c r="P55" s="24"/>
    </row>
    <row r="56" spans="2:16" ht="15" x14ac:dyDescent="0.25">
      <c r="B56" s="129" t="s">
        <v>176</v>
      </c>
      <c r="C56" s="9">
        <f>$K$26</f>
        <v>194400</v>
      </c>
      <c r="D56" s="9">
        <f>$K$26</f>
        <v>194400</v>
      </c>
      <c r="E56" s="9">
        <f>$K$26</f>
        <v>194400</v>
      </c>
      <c r="F56" s="9">
        <f>$K$26</f>
        <v>194400</v>
      </c>
      <c r="G56" s="9">
        <f>$K$26</f>
        <v>194400</v>
      </c>
      <c r="H56" s="22">
        <f>$K$26+($K$26/2)</f>
        <v>291600</v>
      </c>
      <c r="I56" s="9">
        <f>$K$26</f>
        <v>194400</v>
      </c>
      <c r="J56" s="9">
        <f t="shared" ref="J56:M56" si="29">$K$26</f>
        <v>194400</v>
      </c>
      <c r="K56" s="9">
        <f t="shared" si="29"/>
        <v>194400</v>
      </c>
      <c r="L56" s="9">
        <f t="shared" si="29"/>
        <v>194400</v>
      </c>
      <c r="M56" s="9">
        <f t="shared" si="29"/>
        <v>194400</v>
      </c>
      <c r="N56" s="22">
        <f>$K$26+($K$26/2)</f>
        <v>291600</v>
      </c>
      <c r="O56" s="124">
        <f t="shared" ref="O56:O66" si="30">SUM(C56:N56)</f>
        <v>2527200</v>
      </c>
      <c r="P56" s="24"/>
    </row>
    <row r="57" spans="2:16" ht="15" x14ac:dyDescent="0.25">
      <c r="B57" s="129" t="s">
        <v>177</v>
      </c>
      <c r="C57" s="11">
        <f>$K$27</f>
        <v>136800</v>
      </c>
      <c r="D57" s="11">
        <f t="shared" ref="D57:M57" si="31">$K$27</f>
        <v>136800</v>
      </c>
      <c r="E57" s="11">
        <f t="shared" si="31"/>
        <v>136800</v>
      </c>
      <c r="F57" s="11">
        <f t="shared" si="31"/>
        <v>136800</v>
      </c>
      <c r="G57" s="11">
        <f t="shared" si="31"/>
        <v>136800</v>
      </c>
      <c r="H57" s="22">
        <f>$K$27+($K$27/2)</f>
        <v>205200</v>
      </c>
      <c r="I57" s="11">
        <f t="shared" si="31"/>
        <v>136800</v>
      </c>
      <c r="J57" s="11">
        <f t="shared" si="31"/>
        <v>136800</v>
      </c>
      <c r="K57" s="11">
        <f t="shared" si="31"/>
        <v>136800</v>
      </c>
      <c r="L57" s="11">
        <f t="shared" si="31"/>
        <v>136800</v>
      </c>
      <c r="M57" s="11">
        <f t="shared" si="31"/>
        <v>136800</v>
      </c>
      <c r="N57" s="22">
        <f>$K$27+($K$27/2)</f>
        <v>205200</v>
      </c>
      <c r="O57" s="124">
        <f t="shared" si="30"/>
        <v>1778400</v>
      </c>
      <c r="P57" s="24"/>
    </row>
    <row r="58" spans="2:16" ht="15" x14ac:dyDescent="0.25">
      <c r="B58" s="129" t="s">
        <v>179</v>
      </c>
      <c r="C58" s="11">
        <f>$K$28</f>
        <v>136800</v>
      </c>
      <c r="D58" s="11">
        <f t="shared" ref="D58:M58" si="32">$K$28</f>
        <v>136800</v>
      </c>
      <c r="E58" s="11">
        <f t="shared" si="32"/>
        <v>136800</v>
      </c>
      <c r="F58" s="11">
        <f t="shared" si="32"/>
        <v>136800</v>
      </c>
      <c r="G58" s="11">
        <f t="shared" si="32"/>
        <v>136800</v>
      </c>
      <c r="H58" s="22">
        <f>$K$28+($K$28/2)</f>
        <v>205200</v>
      </c>
      <c r="I58" s="11">
        <f t="shared" si="32"/>
        <v>136800</v>
      </c>
      <c r="J58" s="11">
        <f t="shared" si="32"/>
        <v>136800</v>
      </c>
      <c r="K58" s="11">
        <f t="shared" si="32"/>
        <v>136800</v>
      </c>
      <c r="L58" s="11">
        <f t="shared" si="32"/>
        <v>136800</v>
      </c>
      <c r="M58" s="11">
        <f t="shared" si="32"/>
        <v>136800</v>
      </c>
      <c r="N58" s="22">
        <f>$K$28+($K$28/2)</f>
        <v>205200</v>
      </c>
      <c r="O58" s="124">
        <f t="shared" si="30"/>
        <v>1778400</v>
      </c>
      <c r="P58" s="24"/>
    </row>
    <row r="59" spans="2:16" ht="15" x14ac:dyDescent="0.25">
      <c r="B59" s="129" t="s">
        <v>178</v>
      </c>
      <c r="C59" s="11">
        <f>$K$29</f>
        <v>136800</v>
      </c>
      <c r="D59" s="11">
        <f t="shared" ref="D59:M59" si="33">$K$29</f>
        <v>136800</v>
      </c>
      <c r="E59" s="11">
        <f t="shared" si="33"/>
        <v>136800</v>
      </c>
      <c r="F59" s="11">
        <f t="shared" si="33"/>
        <v>136800</v>
      </c>
      <c r="G59" s="11">
        <f t="shared" si="33"/>
        <v>136800</v>
      </c>
      <c r="H59" s="22">
        <f>$K$29+($K$29/2)</f>
        <v>205200</v>
      </c>
      <c r="I59" s="11">
        <f t="shared" si="33"/>
        <v>136800</v>
      </c>
      <c r="J59" s="11">
        <f t="shared" si="33"/>
        <v>136800</v>
      </c>
      <c r="K59" s="11">
        <f t="shared" si="33"/>
        <v>136800</v>
      </c>
      <c r="L59" s="11">
        <f t="shared" si="33"/>
        <v>136800</v>
      </c>
      <c r="M59" s="11">
        <f t="shared" si="33"/>
        <v>136800</v>
      </c>
      <c r="N59" s="22">
        <f>$K$29+($K$29/2)</f>
        <v>205200</v>
      </c>
      <c r="O59" s="124">
        <f t="shared" si="30"/>
        <v>1778400</v>
      </c>
      <c r="P59" s="24"/>
    </row>
    <row r="60" spans="2:16" ht="15" x14ac:dyDescent="0.25">
      <c r="B60" s="129" t="s">
        <v>60</v>
      </c>
      <c r="C60" s="11">
        <f>$K$34</f>
        <v>108000</v>
      </c>
      <c r="D60" s="11">
        <f t="shared" ref="D60:M60" si="34">$K$34</f>
        <v>108000</v>
      </c>
      <c r="E60" s="11">
        <f t="shared" si="34"/>
        <v>108000</v>
      </c>
      <c r="F60" s="11">
        <f t="shared" si="34"/>
        <v>108000</v>
      </c>
      <c r="G60" s="11">
        <f t="shared" si="34"/>
        <v>108000</v>
      </c>
      <c r="H60" s="22">
        <f>$K$34+($K$34/2)</f>
        <v>162000</v>
      </c>
      <c r="I60" s="11">
        <f t="shared" si="34"/>
        <v>108000</v>
      </c>
      <c r="J60" s="11">
        <f t="shared" si="34"/>
        <v>108000</v>
      </c>
      <c r="K60" s="11">
        <f t="shared" si="34"/>
        <v>108000</v>
      </c>
      <c r="L60" s="11">
        <f t="shared" si="34"/>
        <v>108000</v>
      </c>
      <c r="M60" s="11">
        <f t="shared" si="34"/>
        <v>108000</v>
      </c>
      <c r="N60" s="22">
        <f>$K$34+($K$34/2)</f>
        <v>162000</v>
      </c>
      <c r="O60" s="124">
        <f t="shared" si="30"/>
        <v>1404000</v>
      </c>
      <c r="P60" s="26"/>
    </row>
    <row r="61" spans="2:16" ht="12.75" x14ac:dyDescent="0.2">
      <c r="B61" s="129" t="s">
        <v>174</v>
      </c>
      <c r="C61" s="9">
        <v>0</v>
      </c>
      <c r="D61" s="9">
        <v>0</v>
      </c>
      <c r="E61" s="9">
        <v>0</v>
      </c>
      <c r="F61" s="9">
        <v>0</v>
      </c>
      <c r="G61" s="9">
        <v>0</v>
      </c>
      <c r="H61" s="22">
        <v>0</v>
      </c>
      <c r="I61" s="11">
        <f t="shared" ref="I61:M61" si="35">$K$30</f>
        <v>100800</v>
      </c>
      <c r="J61" s="11">
        <f t="shared" si="35"/>
        <v>100800</v>
      </c>
      <c r="K61" s="11">
        <f t="shared" si="35"/>
        <v>100800</v>
      </c>
      <c r="L61" s="11">
        <f t="shared" si="35"/>
        <v>100800</v>
      </c>
      <c r="M61" s="11">
        <f t="shared" si="35"/>
        <v>100800</v>
      </c>
      <c r="N61" s="22">
        <f>$K$30+($K$30/2)</f>
        <v>151200</v>
      </c>
      <c r="O61" s="124">
        <f t="shared" si="30"/>
        <v>655200</v>
      </c>
    </row>
    <row r="62" spans="2:16" ht="12.75" x14ac:dyDescent="0.2">
      <c r="B62" s="129" t="s">
        <v>175</v>
      </c>
      <c r="C62" s="9">
        <v>0</v>
      </c>
      <c r="D62" s="9">
        <v>0</v>
      </c>
      <c r="E62" s="9">
        <v>0</v>
      </c>
      <c r="F62" s="9">
        <v>0</v>
      </c>
      <c r="G62" s="9">
        <v>0</v>
      </c>
      <c r="H62" s="22">
        <v>0</v>
      </c>
      <c r="I62" s="11">
        <f t="shared" ref="I62:M62" si="36">$K$31</f>
        <v>100800</v>
      </c>
      <c r="J62" s="11">
        <f t="shared" si="36"/>
        <v>100800</v>
      </c>
      <c r="K62" s="11">
        <f t="shared" si="36"/>
        <v>100800</v>
      </c>
      <c r="L62" s="11">
        <f t="shared" si="36"/>
        <v>100800</v>
      </c>
      <c r="M62" s="11">
        <f t="shared" si="36"/>
        <v>100800</v>
      </c>
      <c r="N62" s="22">
        <f>$K$31+($K$31/2)</f>
        <v>151200</v>
      </c>
      <c r="O62" s="124">
        <f t="shared" si="30"/>
        <v>655200</v>
      </c>
    </row>
    <row r="63" spans="2:16" s="345" customFormat="1" ht="12.75" x14ac:dyDescent="0.2">
      <c r="B63" s="353" t="s">
        <v>255</v>
      </c>
      <c r="C63" s="346">
        <f>$K$34</f>
        <v>108000</v>
      </c>
      <c r="D63" s="354">
        <f t="shared" ref="D63:G63" si="37">$K$34</f>
        <v>108000</v>
      </c>
      <c r="E63" s="354">
        <f t="shared" si="37"/>
        <v>108000</v>
      </c>
      <c r="F63" s="354">
        <f t="shared" si="37"/>
        <v>108000</v>
      </c>
      <c r="G63" s="354">
        <f t="shared" si="37"/>
        <v>108000</v>
      </c>
      <c r="H63" s="348">
        <f>$K$33+($K$33/2)</f>
        <v>108000</v>
      </c>
      <c r="I63" s="355">
        <f>$K$34</f>
        <v>108000</v>
      </c>
      <c r="J63" s="355">
        <f t="shared" ref="J63:M63" si="38">$K$34</f>
        <v>108000</v>
      </c>
      <c r="K63" s="355">
        <f t="shared" si="38"/>
        <v>108000</v>
      </c>
      <c r="L63" s="355">
        <f t="shared" si="38"/>
        <v>108000</v>
      </c>
      <c r="M63" s="355">
        <f t="shared" si="38"/>
        <v>108000</v>
      </c>
      <c r="N63" s="348">
        <f>$K$33+($K$33/2)</f>
        <v>108000</v>
      </c>
      <c r="O63" s="350">
        <f>SUM(C63:N63)</f>
        <v>1296000</v>
      </c>
    </row>
    <row r="64" spans="2:16" ht="12.75" x14ac:dyDescent="0.2">
      <c r="B64" s="129" t="s">
        <v>61</v>
      </c>
      <c r="C64" s="9">
        <v>0</v>
      </c>
      <c r="D64" s="9">
        <v>0</v>
      </c>
      <c r="E64" s="9">
        <v>0</v>
      </c>
      <c r="F64" s="9">
        <v>0</v>
      </c>
      <c r="G64" s="9">
        <v>0</v>
      </c>
      <c r="H64" s="22">
        <v>0</v>
      </c>
      <c r="I64" s="9">
        <v>0</v>
      </c>
      <c r="J64" s="9">
        <v>0</v>
      </c>
      <c r="K64" s="9">
        <v>0</v>
      </c>
      <c r="L64" s="9">
        <v>0</v>
      </c>
      <c r="M64" s="9">
        <v>0</v>
      </c>
      <c r="N64" s="22">
        <v>0</v>
      </c>
      <c r="O64" s="124">
        <f t="shared" si="30"/>
        <v>0</v>
      </c>
    </row>
    <row r="65" spans="2:16" s="79" customFormat="1" ht="12.75" x14ac:dyDescent="0.2">
      <c r="B65" s="129" t="s">
        <v>181</v>
      </c>
      <c r="C65" s="9">
        <v>0</v>
      </c>
      <c r="D65" s="9">
        <v>0</v>
      </c>
      <c r="E65" s="9">
        <v>0</v>
      </c>
      <c r="F65" s="9">
        <f>$K$32</f>
        <v>72000</v>
      </c>
      <c r="G65" s="9">
        <f>$K$32</f>
        <v>72000</v>
      </c>
      <c r="H65" s="22">
        <f>$K$32+($K$32/2)</f>
        <v>108000</v>
      </c>
      <c r="I65" s="9">
        <f>$K$32</f>
        <v>72000</v>
      </c>
      <c r="J65" s="9">
        <f t="shared" ref="J65:M65" si="39">$K$32</f>
        <v>72000</v>
      </c>
      <c r="K65" s="9">
        <f t="shared" si="39"/>
        <v>72000</v>
      </c>
      <c r="L65" s="9">
        <f t="shared" si="39"/>
        <v>72000</v>
      </c>
      <c r="M65" s="9">
        <f t="shared" si="39"/>
        <v>72000</v>
      </c>
      <c r="N65" s="22">
        <f>$K$32+($K$32/2)</f>
        <v>108000</v>
      </c>
      <c r="O65" s="124">
        <f t="shared" si="30"/>
        <v>720000</v>
      </c>
    </row>
    <row r="66" spans="2:16" ht="12.75" x14ac:dyDescent="0.2">
      <c r="B66" s="129" t="s">
        <v>245</v>
      </c>
      <c r="C66" s="9">
        <v>0</v>
      </c>
      <c r="D66" s="9">
        <v>0</v>
      </c>
      <c r="E66" s="9">
        <v>0</v>
      </c>
      <c r="F66" s="9">
        <v>0</v>
      </c>
      <c r="G66" s="9">
        <v>0</v>
      </c>
      <c r="H66" s="22">
        <v>0</v>
      </c>
      <c r="I66" s="9">
        <v>0</v>
      </c>
      <c r="J66" s="9">
        <v>0</v>
      </c>
      <c r="K66" s="9">
        <v>0</v>
      </c>
      <c r="L66" s="9">
        <v>0</v>
      </c>
      <c r="M66" s="9">
        <v>0</v>
      </c>
      <c r="N66" s="22">
        <v>0</v>
      </c>
      <c r="O66" s="124">
        <f t="shared" si="30"/>
        <v>0</v>
      </c>
    </row>
    <row r="67" spans="2:16" ht="13.5" thickBot="1" x14ac:dyDescent="0.25">
      <c r="B67" s="130" t="s">
        <v>56</v>
      </c>
      <c r="C67" s="125">
        <f t="shared" ref="C67:O67" si="40">SUM(C56:C66)</f>
        <v>820800</v>
      </c>
      <c r="D67" s="125">
        <f t="shared" si="40"/>
        <v>820800</v>
      </c>
      <c r="E67" s="125">
        <f t="shared" si="40"/>
        <v>820800</v>
      </c>
      <c r="F67" s="125">
        <f t="shared" si="40"/>
        <v>892800</v>
      </c>
      <c r="G67" s="125">
        <f t="shared" si="40"/>
        <v>892800</v>
      </c>
      <c r="H67" s="125">
        <f t="shared" si="40"/>
        <v>1285200</v>
      </c>
      <c r="I67" s="125">
        <f t="shared" si="40"/>
        <v>1094400</v>
      </c>
      <c r="J67" s="125">
        <f t="shared" si="40"/>
        <v>1094400</v>
      </c>
      <c r="K67" s="125">
        <f t="shared" si="40"/>
        <v>1094400</v>
      </c>
      <c r="L67" s="125">
        <f t="shared" si="40"/>
        <v>1094400</v>
      </c>
      <c r="M67" s="125">
        <f t="shared" si="40"/>
        <v>1094400</v>
      </c>
      <c r="N67" s="125">
        <f t="shared" si="40"/>
        <v>1587600</v>
      </c>
      <c r="O67" s="126">
        <f t="shared" si="40"/>
        <v>12592800</v>
      </c>
    </row>
    <row r="69" spans="2:16" ht="15.75" customHeight="1" thickBot="1" x14ac:dyDescent="0.25"/>
    <row r="70" spans="2:16" s="79" customFormat="1" ht="15" x14ac:dyDescent="0.25">
      <c r="B70" s="534" t="s">
        <v>40</v>
      </c>
      <c r="C70" s="535"/>
      <c r="D70" s="535"/>
      <c r="E70" s="535"/>
      <c r="F70" s="535"/>
      <c r="G70" s="535"/>
      <c r="H70" s="535"/>
      <c r="I70" s="535"/>
      <c r="J70" s="535"/>
      <c r="K70" s="535"/>
      <c r="L70" s="535"/>
      <c r="M70" s="535"/>
      <c r="N70" s="535"/>
      <c r="O70" s="536"/>
      <c r="P70" s="24"/>
    </row>
    <row r="71" spans="2:16" s="79" customFormat="1" ht="15" x14ac:dyDescent="0.25">
      <c r="B71" s="127" t="s">
        <v>59</v>
      </c>
      <c r="C71" s="21" t="s">
        <v>25</v>
      </c>
      <c r="D71" s="21" t="s">
        <v>26</v>
      </c>
      <c r="E71" s="21" t="s">
        <v>27</v>
      </c>
      <c r="F71" s="21" t="s">
        <v>28</v>
      </c>
      <c r="G71" s="21" t="s">
        <v>29</v>
      </c>
      <c r="H71" s="21" t="s">
        <v>30</v>
      </c>
      <c r="I71" s="21" t="s">
        <v>31</v>
      </c>
      <c r="J71" s="21" t="s">
        <v>32</v>
      </c>
      <c r="K71" s="21" t="s">
        <v>33</v>
      </c>
      <c r="L71" s="21" t="s">
        <v>34</v>
      </c>
      <c r="M71" s="21" t="s">
        <v>35</v>
      </c>
      <c r="N71" s="21" t="s">
        <v>36</v>
      </c>
      <c r="O71" s="131" t="s">
        <v>70</v>
      </c>
      <c r="P71" s="24"/>
    </row>
    <row r="72" spans="2:16" s="79" customFormat="1" ht="15" x14ac:dyDescent="0.25">
      <c r="B72" s="129" t="s">
        <v>176</v>
      </c>
      <c r="C72" s="9">
        <f>$K$26</f>
        <v>194400</v>
      </c>
      <c r="D72" s="9">
        <f t="shared" ref="D72:G72" si="41">$K$26</f>
        <v>194400</v>
      </c>
      <c r="E72" s="9">
        <f t="shared" si="41"/>
        <v>194400</v>
      </c>
      <c r="F72" s="9">
        <f t="shared" si="41"/>
        <v>194400</v>
      </c>
      <c r="G72" s="9">
        <f t="shared" si="41"/>
        <v>194400</v>
      </c>
      <c r="H72" s="22">
        <f>$K$26+($K$26/2)</f>
        <v>291600</v>
      </c>
      <c r="I72" s="11">
        <f t="shared" ref="I72:M72" si="42">$K$26</f>
        <v>194400</v>
      </c>
      <c r="J72" s="11">
        <f t="shared" si="42"/>
        <v>194400</v>
      </c>
      <c r="K72" s="11">
        <f t="shared" si="42"/>
        <v>194400</v>
      </c>
      <c r="L72" s="11">
        <f t="shared" si="42"/>
        <v>194400</v>
      </c>
      <c r="M72" s="11">
        <f t="shared" si="42"/>
        <v>194400</v>
      </c>
      <c r="N72" s="22">
        <f>$K$26+($K$26/2)</f>
        <v>291600</v>
      </c>
      <c r="O72" s="124">
        <f t="shared" ref="O72:O82" si="43">SUM(C72:N72)</f>
        <v>2527200</v>
      </c>
      <c r="P72" s="24"/>
    </row>
    <row r="73" spans="2:16" s="79" customFormat="1" ht="15" x14ac:dyDescent="0.25">
      <c r="B73" s="129" t="s">
        <v>177</v>
      </c>
      <c r="C73" s="11">
        <f>$K$27</f>
        <v>136800</v>
      </c>
      <c r="D73" s="11">
        <f t="shared" ref="D73:M73" si="44">$K$27</f>
        <v>136800</v>
      </c>
      <c r="E73" s="11">
        <f t="shared" si="44"/>
        <v>136800</v>
      </c>
      <c r="F73" s="11">
        <f t="shared" si="44"/>
        <v>136800</v>
      </c>
      <c r="G73" s="11">
        <f t="shared" si="44"/>
        <v>136800</v>
      </c>
      <c r="H73" s="22">
        <f>$K$27+($K$27/2)</f>
        <v>205200</v>
      </c>
      <c r="I73" s="11">
        <f>$K$27</f>
        <v>136800</v>
      </c>
      <c r="J73" s="11">
        <f t="shared" si="44"/>
        <v>136800</v>
      </c>
      <c r="K73" s="11">
        <f t="shared" si="44"/>
        <v>136800</v>
      </c>
      <c r="L73" s="11">
        <f t="shared" si="44"/>
        <v>136800</v>
      </c>
      <c r="M73" s="11">
        <f t="shared" si="44"/>
        <v>136800</v>
      </c>
      <c r="N73" s="22">
        <f>$K$27+($K$27/2)</f>
        <v>205200</v>
      </c>
      <c r="O73" s="124">
        <f t="shared" si="43"/>
        <v>1778400</v>
      </c>
      <c r="P73" s="24"/>
    </row>
    <row r="74" spans="2:16" s="79" customFormat="1" ht="15" x14ac:dyDescent="0.25">
      <c r="B74" s="129" t="s">
        <v>179</v>
      </c>
      <c r="C74" s="11">
        <f>$K$28</f>
        <v>136800</v>
      </c>
      <c r="D74" s="11">
        <f t="shared" ref="D74:M74" si="45">$K$28</f>
        <v>136800</v>
      </c>
      <c r="E74" s="11">
        <f t="shared" si="45"/>
        <v>136800</v>
      </c>
      <c r="F74" s="11">
        <f t="shared" si="45"/>
        <v>136800</v>
      </c>
      <c r="G74" s="11">
        <f t="shared" si="45"/>
        <v>136800</v>
      </c>
      <c r="H74" s="22">
        <f>$K$28+($K$28/2)</f>
        <v>205200</v>
      </c>
      <c r="I74" s="11">
        <f>$K$28</f>
        <v>136800</v>
      </c>
      <c r="J74" s="11">
        <f t="shared" si="45"/>
        <v>136800</v>
      </c>
      <c r="K74" s="11">
        <f t="shared" si="45"/>
        <v>136800</v>
      </c>
      <c r="L74" s="11">
        <f t="shared" si="45"/>
        <v>136800</v>
      </c>
      <c r="M74" s="11">
        <f t="shared" si="45"/>
        <v>136800</v>
      </c>
      <c r="N74" s="22">
        <f>$K$28+($K$28/2)</f>
        <v>205200</v>
      </c>
      <c r="O74" s="124">
        <f t="shared" si="43"/>
        <v>1778400</v>
      </c>
      <c r="P74" s="24"/>
    </row>
    <row r="75" spans="2:16" s="79" customFormat="1" ht="15" x14ac:dyDescent="0.25">
      <c r="B75" s="129" t="s">
        <v>178</v>
      </c>
      <c r="C75" s="11">
        <f>$K$29</f>
        <v>136800</v>
      </c>
      <c r="D75" s="11">
        <f t="shared" ref="D75:M75" si="46">$K$29</f>
        <v>136800</v>
      </c>
      <c r="E75" s="11">
        <f t="shared" si="46"/>
        <v>136800</v>
      </c>
      <c r="F75" s="11">
        <f t="shared" si="46"/>
        <v>136800</v>
      </c>
      <c r="G75" s="11">
        <f t="shared" si="46"/>
        <v>136800</v>
      </c>
      <c r="H75" s="22">
        <f>$K$29+($K$29/2)</f>
        <v>205200</v>
      </c>
      <c r="I75" s="11">
        <f>$K$29</f>
        <v>136800</v>
      </c>
      <c r="J75" s="11">
        <f t="shared" si="46"/>
        <v>136800</v>
      </c>
      <c r="K75" s="11">
        <f t="shared" si="46"/>
        <v>136800</v>
      </c>
      <c r="L75" s="11">
        <f t="shared" si="46"/>
        <v>136800</v>
      </c>
      <c r="M75" s="11">
        <f t="shared" si="46"/>
        <v>136800</v>
      </c>
      <c r="N75" s="22">
        <f>$K$29+($K$29/2)</f>
        <v>205200</v>
      </c>
      <c r="O75" s="124">
        <f t="shared" si="43"/>
        <v>1778400</v>
      </c>
      <c r="P75" s="24"/>
    </row>
    <row r="76" spans="2:16" s="79" customFormat="1" ht="15" x14ac:dyDescent="0.25">
      <c r="B76" s="129" t="s">
        <v>60</v>
      </c>
      <c r="C76" s="11">
        <f>$K$34</f>
        <v>108000</v>
      </c>
      <c r="D76" s="11">
        <f t="shared" ref="D76:M76" si="47">$K$34</f>
        <v>108000</v>
      </c>
      <c r="E76" s="11">
        <f t="shared" si="47"/>
        <v>108000</v>
      </c>
      <c r="F76" s="11">
        <f t="shared" si="47"/>
        <v>108000</v>
      </c>
      <c r="G76" s="11">
        <f t="shared" si="47"/>
        <v>108000</v>
      </c>
      <c r="H76" s="22">
        <f>$K$34+($K$34/2)</f>
        <v>162000</v>
      </c>
      <c r="I76" s="11">
        <f>$K$34</f>
        <v>108000</v>
      </c>
      <c r="J76" s="11">
        <f t="shared" si="47"/>
        <v>108000</v>
      </c>
      <c r="K76" s="11">
        <f t="shared" si="47"/>
        <v>108000</v>
      </c>
      <c r="L76" s="11">
        <f t="shared" si="47"/>
        <v>108000</v>
      </c>
      <c r="M76" s="11">
        <f t="shared" si="47"/>
        <v>108000</v>
      </c>
      <c r="N76" s="22">
        <f>$K$34+($K$34/2)</f>
        <v>162000</v>
      </c>
      <c r="O76" s="124">
        <f t="shared" si="43"/>
        <v>1404000</v>
      </c>
      <c r="P76" s="26"/>
    </row>
    <row r="77" spans="2:16" s="79" customFormat="1" ht="12.75" x14ac:dyDescent="0.2">
      <c r="B77" s="129" t="s">
        <v>174</v>
      </c>
      <c r="C77" s="11">
        <f>$K$30</f>
        <v>100800</v>
      </c>
      <c r="D77" s="11">
        <f t="shared" ref="D77:M77" si="48">$K$30</f>
        <v>100800</v>
      </c>
      <c r="E77" s="11">
        <f t="shared" si="48"/>
        <v>100800</v>
      </c>
      <c r="F77" s="11">
        <f t="shared" si="48"/>
        <v>100800</v>
      </c>
      <c r="G77" s="11">
        <f t="shared" si="48"/>
        <v>100800</v>
      </c>
      <c r="H77" s="22">
        <f>$K$30+($K$30/2)</f>
        <v>151200</v>
      </c>
      <c r="I77" s="11">
        <f>$K$30</f>
        <v>100800</v>
      </c>
      <c r="J77" s="11">
        <f t="shared" si="48"/>
        <v>100800</v>
      </c>
      <c r="K77" s="11">
        <f t="shared" si="48"/>
        <v>100800</v>
      </c>
      <c r="L77" s="11">
        <f t="shared" si="48"/>
        <v>100800</v>
      </c>
      <c r="M77" s="11">
        <f t="shared" si="48"/>
        <v>100800</v>
      </c>
      <c r="N77" s="22">
        <f>$K$30+($K$30/2)</f>
        <v>151200</v>
      </c>
      <c r="O77" s="124">
        <f t="shared" si="43"/>
        <v>1310400</v>
      </c>
    </row>
    <row r="78" spans="2:16" s="79" customFormat="1" ht="12.75" x14ac:dyDescent="0.2">
      <c r="B78" s="129" t="s">
        <v>175</v>
      </c>
      <c r="C78" s="11">
        <f>$K$31</f>
        <v>100800</v>
      </c>
      <c r="D78" s="11">
        <f t="shared" ref="D78:M78" si="49">$K$31</f>
        <v>100800</v>
      </c>
      <c r="E78" s="11">
        <f t="shared" si="49"/>
        <v>100800</v>
      </c>
      <c r="F78" s="11">
        <f t="shared" si="49"/>
        <v>100800</v>
      </c>
      <c r="G78" s="11">
        <f t="shared" si="49"/>
        <v>100800</v>
      </c>
      <c r="H78" s="22">
        <f>$K$31+($K$31/2)</f>
        <v>151200</v>
      </c>
      <c r="I78" s="11">
        <f>$K$31</f>
        <v>100800</v>
      </c>
      <c r="J78" s="11">
        <f t="shared" si="49"/>
        <v>100800</v>
      </c>
      <c r="K78" s="11">
        <f t="shared" si="49"/>
        <v>100800</v>
      </c>
      <c r="L78" s="11">
        <f t="shared" si="49"/>
        <v>100800</v>
      </c>
      <c r="M78" s="11">
        <f t="shared" si="49"/>
        <v>100800</v>
      </c>
      <c r="N78" s="22">
        <f>$K$31+($K$31/2)</f>
        <v>151200</v>
      </c>
      <c r="O78" s="124">
        <f t="shared" si="43"/>
        <v>1310400</v>
      </c>
    </row>
    <row r="79" spans="2:16" s="345" customFormat="1" ht="12.75" x14ac:dyDescent="0.2">
      <c r="B79" s="357" t="s">
        <v>255</v>
      </c>
      <c r="C79" s="347">
        <f>$K$33</f>
        <v>72000</v>
      </c>
      <c r="D79" s="355">
        <f t="shared" ref="D79:G79" si="50">$K$33</f>
        <v>72000</v>
      </c>
      <c r="E79" s="355">
        <f t="shared" si="50"/>
        <v>72000</v>
      </c>
      <c r="F79" s="355">
        <f t="shared" si="50"/>
        <v>72000</v>
      </c>
      <c r="G79" s="355">
        <f t="shared" si="50"/>
        <v>72000</v>
      </c>
      <c r="H79" s="348">
        <f>$K$33+($K$33/2)</f>
        <v>108000</v>
      </c>
      <c r="I79" s="347">
        <f>$K$33</f>
        <v>72000</v>
      </c>
      <c r="J79" s="355">
        <f t="shared" ref="J79:M79" si="51">$K$33</f>
        <v>72000</v>
      </c>
      <c r="K79" s="355">
        <f t="shared" si="51"/>
        <v>72000</v>
      </c>
      <c r="L79" s="355">
        <f t="shared" si="51"/>
        <v>72000</v>
      </c>
      <c r="M79" s="355">
        <f t="shared" si="51"/>
        <v>72000</v>
      </c>
      <c r="N79" s="356">
        <f>$K$33+($K$33/2)</f>
        <v>108000</v>
      </c>
      <c r="O79" s="350">
        <f>SUM(C79:N79)</f>
        <v>936000</v>
      </c>
    </row>
    <row r="80" spans="2:16" s="79" customFormat="1" ht="12.75" x14ac:dyDescent="0.2">
      <c r="B80" s="129" t="s">
        <v>61</v>
      </c>
      <c r="C80" s="9">
        <v>0</v>
      </c>
      <c r="D80" s="9">
        <v>0</v>
      </c>
      <c r="E80" s="9">
        <v>0</v>
      </c>
      <c r="F80" s="9">
        <f>$K$35</f>
        <v>108000</v>
      </c>
      <c r="G80" s="9">
        <f>$K$35</f>
        <v>108000</v>
      </c>
      <c r="H80" s="22">
        <f>$K$35+($K$35/2)</f>
        <v>162000</v>
      </c>
      <c r="I80" s="9">
        <f>$K$35</f>
        <v>108000</v>
      </c>
      <c r="J80" s="9">
        <f>$K$35</f>
        <v>108000</v>
      </c>
      <c r="K80" s="9">
        <f>$K$35</f>
        <v>108000</v>
      </c>
      <c r="L80" s="9">
        <f>$K$35</f>
        <v>108000</v>
      </c>
      <c r="M80" s="9">
        <f>$K$35</f>
        <v>108000</v>
      </c>
      <c r="N80" s="22">
        <f>$K$35+($K$35/2)</f>
        <v>162000</v>
      </c>
      <c r="O80" s="124">
        <f t="shared" si="43"/>
        <v>1080000</v>
      </c>
    </row>
    <row r="81" spans="2:15" s="79" customFormat="1" ht="12.75" x14ac:dyDescent="0.2">
      <c r="B81" s="129" t="s">
        <v>181</v>
      </c>
      <c r="C81" s="9">
        <f>$K$32</f>
        <v>72000</v>
      </c>
      <c r="D81" s="9">
        <f t="shared" ref="D81:G81" si="52">$K$32</f>
        <v>72000</v>
      </c>
      <c r="E81" s="9">
        <f t="shared" si="52"/>
        <v>72000</v>
      </c>
      <c r="F81" s="9">
        <f t="shared" si="52"/>
        <v>72000</v>
      </c>
      <c r="G81" s="9">
        <f t="shared" si="52"/>
        <v>72000</v>
      </c>
      <c r="H81" s="22">
        <f>$K$32+($K$32/2)</f>
        <v>108000</v>
      </c>
      <c r="I81" s="9">
        <f>$K$32</f>
        <v>72000</v>
      </c>
      <c r="J81" s="9">
        <f t="shared" ref="J81:M81" si="53">$K$32</f>
        <v>72000</v>
      </c>
      <c r="K81" s="9">
        <f t="shared" si="53"/>
        <v>72000</v>
      </c>
      <c r="L81" s="9">
        <f t="shared" si="53"/>
        <v>72000</v>
      </c>
      <c r="M81" s="9">
        <f t="shared" si="53"/>
        <v>72000</v>
      </c>
      <c r="N81" s="22">
        <f>$K$32+($K$32/2)</f>
        <v>108000</v>
      </c>
      <c r="O81" s="124">
        <f t="shared" si="43"/>
        <v>936000</v>
      </c>
    </row>
    <row r="82" spans="2:15" s="79" customFormat="1" ht="12.75" x14ac:dyDescent="0.2">
      <c r="B82" s="129" t="s">
        <v>245</v>
      </c>
      <c r="C82" s="9">
        <v>0</v>
      </c>
      <c r="D82" s="9">
        <v>0</v>
      </c>
      <c r="E82" s="9">
        <v>0</v>
      </c>
      <c r="F82" s="9">
        <f t="shared" ref="F82:G82" si="54">$K$36</f>
        <v>83520</v>
      </c>
      <c r="G82" s="9">
        <f t="shared" si="54"/>
        <v>83520</v>
      </c>
      <c r="H82" s="22">
        <f>$K$36+($K$36/2)</f>
        <v>125280</v>
      </c>
      <c r="I82" s="9">
        <f>$K$36</f>
        <v>83520</v>
      </c>
      <c r="J82" s="9">
        <f t="shared" ref="J82:M82" si="55">$K$36</f>
        <v>83520</v>
      </c>
      <c r="K82" s="9">
        <f t="shared" si="55"/>
        <v>83520</v>
      </c>
      <c r="L82" s="9">
        <f t="shared" si="55"/>
        <v>83520</v>
      </c>
      <c r="M82" s="9">
        <f t="shared" si="55"/>
        <v>83520</v>
      </c>
      <c r="N82" s="31">
        <f>$K$36+($K$36/2)</f>
        <v>125280</v>
      </c>
      <c r="O82" s="124">
        <f t="shared" si="43"/>
        <v>835200</v>
      </c>
    </row>
    <row r="83" spans="2:15" s="79" customFormat="1" ht="13.5" thickBot="1" x14ac:dyDescent="0.25">
      <c r="B83" s="130" t="s">
        <v>56</v>
      </c>
      <c r="C83" s="125">
        <f t="shared" ref="C83:O83" si="56">SUM(C72:C82)</f>
        <v>1058400</v>
      </c>
      <c r="D83" s="125">
        <f t="shared" si="56"/>
        <v>1058400</v>
      </c>
      <c r="E83" s="125">
        <f t="shared" si="56"/>
        <v>1058400</v>
      </c>
      <c r="F83" s="125">
        <f t="shared" si="56"/>
        <v>1249920</v>
      </c>
      <c r="G83" s="125">
        <f t="shared" si="56"/>
        <v>1249920</v>
      </c>
      <c r="H83" s="125">
        <f t="shared" si="56"/>
        <v>1874880</v>
      </c>
      <c r="I83" s="125">
        <f t="shared" si="56"/>
        <v>1249920</v>
      </c>
      <c r="J83" s="125">
        <f t="shared" si="56"/>
        <v>1249920</v>
      </c>
      <c r="K83" s="125">
        <f t="shared" si="56"/>
        <v>1249920</v>
      </c>
      <c r="L83" s="125">
        <f t="shared" si="56"/>
        <v>1249920</v>
      </c>
      <c r="M83" s="125">
        <f t="shared" si="56"/>
        <v>1249920</v>
      </c>
      <c r="N83" s="125">
        <f t="shared" si="56"/>
        <v>1874880</v>
      </c>
      <c r="O83" s="126">
        <f t="shared" si="56"/>
        <v>15674400</v>
      </c>
    </row>
  </sheetData>
  <mergeCells count="8">
    <mergeCell ref="B70:O70"/>
    <mergeCell ref="D1:G1"/>
    <mergeCell ref="B54:O54"/>
    <mergeCell ref="B39:N39"/>
    <mergeCell ref="D4:G4"/>
    <mergeCell ref="D5:G5"/>
    <mergeCell ref="D2:G2"/>
    <mergeCell ref="D3:G3"/>
  </mergeCells>
  <hyperlinks>
    <hyperlink ref="A5" location="Indice!A1" display="Indice" xr:uid="{86BF6CA7-2868-4182-9301-03010937F35B}"/>
  </hyperlinks>
  <pageMargins left="0.7" right="0.7" top="0.75" bottom="0.75" header="0.3" footer="0.3"/>
  <ignoredErrors>
    <ignoredError sqref="H57:H60 I62:M62 C78:M78 H73:H76 H43:H44 H42 H80:H82 H77 C13 H56 H63 H65 H72 H79" formula="1"/>
  </ignoredError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46"/>
  <sheetViews>
    <sheetView showGridLines="0" zoomScaleNormal="100" workbookViewId="0">
      <pane ySplit="6" topLeftCell="A7" activePane="bottomLeft" state="frozen"/>
      <selection pane="bottomLeft" activeCell="A7" sqref="A7"/>
    </sheetView>
  </sheetViews>
  <sheetFormatPr baseColWidth="10" defaultColWidth="14.42578125" defaultRowHeight="15.75" customHeight="1" x14ac:dyDescent="0.2"/>
  <cols>
    <col min="1" max="1" width="7.140625" customWidth="1"/>
    <col min="2" max="2" width="28" bestFit="1" customWidth="1"/>
    <col min="3" max="3" width="20.85546875" bestFit="1" customWidth="1"/>
    <col min="4" max="4" width="11.140625" bestFit="1" customWidth="1"/>
    <col min="5" max="5" width="9.140625" bestFit="1" customWidth="1"/>
    <col min="6" max="6" width="11.140625" bestFit="1" customWidth="1"/>
    <col min="7" max="7" width="9.140625" bestFit="1" customWidth="1"/>
    <col min="8" max="8" width="11.140625" bestFit="1" customWidth="1"/>
    <col min="9" max="9" width="11.7109375" bestFit="1" customWidth="1"/>
    <col min="10" max="10" width="11.140625" bestFit="1" customWidth="1"/>
    <col min="11" max="11" width="9.140625" bestFit="1" customWidth="1"/>
    <col min="12" max="12" width="60.42578125" customWidth="1"/>
    <col min="13" max="13" width="20.7109375" customWidth="1"/>
    <col min="14" max="14" width="14.85546875" customWidth="1"/>
    <col min="15" max="15" width="13.7109375" customWidth="1"/>
    <col min="16" max="16" width="14" customWidth="1"/>
    <col min="17" max="17" width="18.85546875" customWidth="1"/>
  </cols>
  <sheetData>
    <row r="1" spans="1:12" s="42" customFormat="1" ht="15" x14ac:dyDescent="0.2">
      <c r="C1" s="433" t="s">
        <v>0</v>
      </c>
      <c r="D1" s="433"/>
      <c r="E1" s="433"/>
      <c r="F1" s="433"/>
      <c r="G1" s="45"/>
    </row>
    <row r="2" spans="1:12" s="42" customFormat="1" ht="15" x14ac:dyDescent="0.25">
      <c r="A2" s="46"/>
      <c r="C2" s="396" t="s">
        <v>143</v>
      </c>
      <c r="D2" s="397"/>
      <c r="E2" s="397"/>
      <c r="F2" s="397"/>
    </row>
    <row r="3" spans="1:12" s="42" customFormat="1" ht="12.75" x14ac:dyDescent="0.2">
      <c r="A3" s="44"/>
      <c r="C3" s="396" t="s">
        <v>140</v>
      </c>
      <c r="D3" s="397"/>
      <c r="E3" s="397"/>
      <c r="F3" s="397"/>
    </row>
    <row r="4" spans="1:12" s="42" customFormat="1" ht="12.75" x14ac:dyDescent="0.2">
      <c r="A4" s="47"/>
      <c r="C4" s="396" t="s">
        <v>141</v>
      </c>
      <c r="D4" s="397"/>
      <c r="E4" s="397"/>
      <c r="F4" s="397"/>
    </row>
    <row r="5" spans="1:12" s="42" customFormat="1" ht="14.25" x14ac:dyDescent="0.2">
      <c r="A5" s="237" t="s">
        <v>1</v>
      </c>
      <c r="C5" s="396" t="s">
        <v>142</v>
      </c>
      <c r="D5" s="397"/>
      <c r="E5" s="397"/>
      <c r="F5" s="397"/>
    </row>
    <row r="6" spans="1:12" s="43" customFormat="1" ht="15.75" customHeight="1" thickBot="1" x14ac:dyDescent="0.25">
      <c r="A6" s="324" t="s">
        <v>71</v>
      </c>
    </row>
    <row r="7" spans="1:12" ht="15.75" customHeight="1" thickBot="1" x14ac:dyDescent="0.25"/>
    <row r="8" spans="1:12" ht="15.75" customHeight="1" x14ac:dyDescent="0.2">
      <c r="C8" s="382" t="s">
        <v>41</v>
      </c>
      <c r="D8" s="383" t="s">
        <v>72</v>
      </c>
      <c r="E8" s="557" t="s">
        <v>73</v>
      </c>
      <c r="F8" s="558"/>
      <c r="G8" s="558"/>
      <c r="H8" s="558"/>
      <c r="I8" s="558"/>
      <c r="J8" s="558"/>
      <c r="K8" s="558"/>
      <c r="L8" s="559"/>
    </row>
    <row r="9" spans="1:12" ht="15.75" customHeight="1" x14ac:dyDescent="0.2">
      <c r="C9" s="360" t="s">
        <v>18</v>
      </c>
      <c r="D9" s="94">
        <v>35000</v>
      </c>
      <c r="E9" s="551" t="s">
        <v>194</v>
      </c>
      <c r="F9" s="471"/>
      <c r="G9" s="471"/>
      <c r="H9" s="471"/>
      <c r="I9" s="471"/>
      <c r="J9" s="471"/>
      <c r="K9" s="471"/>
      <c r="L9" s="552"/>
    </row>
    <row r="10" spans="1:12" s="345" customFormat="1" ht="15.75" customHeight="1" x14ac:dyDescent="0.2">
      <c r="C10" s="360" t="s">
        <v>180</v>
      </c>
      <c r="D10" s="94">
        <v>5690</v>
      </c>
      <c r="E10" s="551" t="s">
        <v>259</v>
      </c>
      <c r="F10" s="471"/>
      <c r="G10" s="471"/>
      <c r="H10" s="471"/>
      <c r="I10" s="471"/>
      <c r="J10" s="471"/>
      <c r="K10" s="471"/>
      <c r="L10" s="552"/>
    </row>
    <row r="11" spans="1:12" ht="15.75" customHeight="1" x14ac:dyDescent="0.2">
      <c r="C11" s="360" t="s">
        <v>19</v>
      </c>
      <c r="D11" s="94">
        <v>6399</v>
      </c>
      <c r="E11" s="551" t="s">
        <v>195</v>
      </c>
      <c r="F11" s="471"/>
      <c r="G11" s="471"/>
      <c r="H11" s="471"/>
      <c r="I11" s="471"/>
      <c r="J11" s="471"/>
      <c r="K11" s="471"/>
      <c r="L11" s="552"/>
    </row>
    <row r="12" spans="1:12" ht="15.75" customHeight="1" x14ac:dyDescent="0.2">
      <c r="C12" s="360" t="s">
        <v>20</v>
      </c>
      <c r="D12" s="94">
        <v>3600</v>
      </c>
      <c r="E12" s="551" t="s">
        <v>196</v>
      </c>
      <c r="F12" s="471"/>
      <c r="G12" s="471"/>
      <c r="H12" s="471"/>
      <c r="I12" s="471"/>
      <c r="J12" s="471"/>
      <c r="K12" s="471"/>
      <c r="L12" s="552"/>
    </row>
    <row r="13" spans="1:12" s="376" customFormat="1" ht="15.75" customHeight="1" x14ac:dyDescent="0.2">
      <c r="C13" s="360" t="s">
        <v>266</v>
      </c>
      <c r="D13" s="94">
        <v>125000</v>
      </c>
      <c r="E13" s="551" t="s">
        <v>267</v>
      </c>
      <c r="F13" s="471"/>
      <c r="G13" s="471"/>
      <c r="H13" s="471"/>
      <c r="I13" s="471"/>
      <c r="J13" s="471"/>
      <c r="K13" s="471"/>
      <c r="L13" s="552"/>
    </row>
    <row r="14" spans="1:12" ht="15.75" customHeight="1" x14ac:dyDescent="0.2">
      <c r="C14" s="360" t="s">
        <v>21</v>
      </c>
      <c r="D14" s="94">
        <v>90000</v>
      </c>
      <c r="E14" s="551" t="s">
        <v>197</v>
      </c>
      <c r="F14" s="471"/>
      <c r="G14" s="471"/>
      <c r="H14" s="471"/>
      <c r="I14" s="471"/>
      <c r="J14" s="471"/>
      <c r="K14" s="471"/>
      <c r="L14" s="552"/>
    </row>
    <row r="15" spans="1:12" ht="15.75" customHeight="1" x14ac:dyDescent="0.2">
      <c r="C15" s="360" t="s">
        <v>22</v>
      </c>
      <c r="D15" s="94">
        <v>14890</v>
      </c>
      <c r="E15" s="551" t="s">
        <v>198</v>
      </c>
      <c r="F15" s="471"/>
      <c r="G15" s="471"/>
      <c r="H15" s="471"/>
      <c r="I15" s="471"/>
      <c r="J15" s="471"/>
      <c r="K15" s="471"/>
      <c r="L15" s="552"/>
    </row>
    <row r="16" spans="1:12" ht="15.75" customHeight="1" x14ac:dyDescent="0.2">
      <c r="C16" s="360" t="s">
        <v>23</v>
      </c>
      <c r="D16" s="94">
        <v>7669</v>
      </c>
      <c r="E16" s="551" t="s">
        <v>199</v>
      </c>
      <c r="F16" s="471"/>
      <c r="G16" s="471"/>
      <c r="H16" s="471"/>
      <c r="I16" s="471"/>
      <c r="J16" s="471"/>
      <c r="K16" s="471"/>
      <c r="L16" s="552"/>
    </row>
    <row r="17" spans="2:12" s="345" customFormat="1" ht="15.75" customHeight="1" x14ac:dyDescent="0.2">
      <c r="C17" s="360" t="s">
        <v>257</v>
      </c>
      <c r="D17" s="94">
        <v>24000</v>
      </c>
      <c r="E17" s="551" t="s">
        <v>258</v>
      </c>
      <c r="F17" s="471"/>
      <c r="G17" s="471"/>
      <c r="H17" s="471"/>
      <c r="I17" s="471"/>
      <c r="J17" s="471"/>
      <c r="K17" s="471"/>
      <c r="L17" s="552"/>
    </row>
    <row r="18" spans="2:12" s="376" customFormat="1" ht="15.75" customHeight="1" x14ac:dyDescent="0.2">
      <c r="C18" s="360" t="s">
        <v>262</v>
      </c>
      <c r="D18" s="94">
        <v>130000</v>
      </c>
      <c r="E18" s="551" t="s">
        <v>263</v>
      </c>
      <c r="F18" s="471"/>
      <c r="G18" s="471"/>
      <c r="H18" s="471"/>
      <c r="I18" s="471"/>
      <c r="J18" s="471"/>
      <c r="K18" s="471"/>
      <c r="L18" s="552"/>
    </row>
    <row r="19" spans="2:12" s="376" customFormat="1" ht="15.75" customHeight="1" x14ac:dyDescent="0.2">
      <c r="C19" s="360" t="s">
        <v>264</v>
      </c>
      <c r="D19" s="94">
        <v>450000</v>
      </c>
      <c r="E19" s="551" t="s">
        <v>265</v>
      </c>
      <c r="F19" s="471"/>
      <c r="G19" s="471"/>
      <c r="H19" s="471"/>
      <c r="I19" s="471"/>
      <c r="J19" s="471"/>
      <c r="K19" s="471"/>
      <c r="L19" s="552"/>
    </row>
    <row r="20" spans="2:12" s="376" customFormat="1" ht="15.75" customHeight="1" x14ac:dyDescent="0.2">
      <c r="C20" s="360" t="s">
        <v>268</v>
      </c>
      <c r="D20" s="94">
        <v>110000</v>
      </c>
      <c r="E20" s="551" t="s">
        <v>271</v>
      </c>
      <c r="F20" s="471"/>
      <c r="G20" s="471"/>
      <c r="H20" s="471"/>
      <c r="I20" s="471"/>
      <c r="J20" s="471"/>
      <c r="K20" s="471"/>
      <c r="L20" s="552"/>
    </row>
    <row r="21" spans="2:12" s="376" customFormat="1" ht="15.75" customHeight="1" x14ac:dyDescent="0.2">
      <c r="C21" s="360" t="s">
        <v>269</v>
      </c>
      <c r="D21" s="94">
        <v>13000</v>
      </c>
      <c r="E21" s="551" t="s">
        <v>272</v>
      </c>
      <c r="F21" s="471"/>
      <c r="G21" s="471"/>
      <c r="H21" s="471"/>
      <c r="I21" s="471"/>
      <c r="J21" s="471"/>
      <c r="K21" s="471"/>
      <c r="L21" s="552"/>
    </row>
    <row r="22" spans="2:12" s="376" customFormat="1" ht="15.75" customHeight="1" thickBot="1" x14ac:dyDescent="0.25">
      <c r="C22" s="361" t="s">
        <v>270</v>
      </c>
      <c r="D22" s="362">
        <v>6500</v>
      </c>
      <c r="E22" s="549" t="s">
        <v>273</v>
      </c>
      <c r="F22" s="475"/>
      <c r="G22" s="475"/>
      <c r="H22" s="475"/>
      <c r="I22" s="475"/>
      <c r="J22" s="475"/>
      <c r="K22" s="475"/>
      <c r="L22" s="550"/>
    </row>
    <row r="24" spans="2:12" ht="15.75" customHeight="1" thickBot="1" x14ac:dyDescent="0.25"/>
    <row r="25" spans="2:12" ht="13.5" thickBot="1" x14ac:dyDescent="0.25">
      <c r="B25" s="78"/>
      <c r="C25" s="78"/>
      <c r="D25" s="555" t="s">
        <v>74</v>
      </c>
      <c r="E25" s="554"/>
      <c r="F25" s="553" t="s">
        <v>24</v>
      </c>
      <c r="G25" s="554"/>
      <c r="H25" s="553" t="s">
        <v>39</v>
      </c>
      <c r="I25" s="554"/>
      <c r="J25" s="553" t="s">
        <v>40</v>
      </c>
      <c r="K25" s="556"/>
    </row>
    <row r="26" spans="2:12" ht="12.75" x14ac:dyDescent="0.2">
      <c r="B26" s="155" t="s">
        <v>75</v>
      </c>
      <c r="C26" s="62" t="s">
        <v>72</v>
      </c>
      <c r="D26" s="156" t="s">
        <v>76</v>
      </c>
      <c r="E26" s="157" t="s">
        <v>37</v>
      </c>
      <c r="F26" s="62" t="s">
        <v>76</v>
      </c>
      <c r="G26" s="157" t="s">
        <v>37</v>
      </c>
      <c r="H26" s="62" t="s">
        <v>76</v>
      </c>
      <c r="I26" s="157" t="s">
        <v>37</v>
      </c>
      <c r="J26" s="62" t="s">
        <v>76</v>
      </c>
      <c r="K26" s="158" t="s">
        <v>37</v>
      </c>
    </row>
    <row r="27" spans="2:12" ht="12.75" x14ac:dyDescent="0.2">
      <c r="B27" s="159" t="s">
        <v>18</v>
      </c>
      <c r="C27" s="152">
        <f>D9</f>
        <v>35000</v>
      </c>
      <c r="D27" s="92">
        <f>'Proyección de Ingresos'!C13</f>
        <v>1</v>
      </c>
      <c r="E27" s="122">
        <f t="shared" ref="E27:E30" si="0">C27*D27</f>
        <v>35000</v>
      </c>
      <c r="F27" s="27">
        <v>0</v>
      </c>
      <c r="G27" s="8">
        <f>F27*C27</f>
        <v>0</v>
      </c>
      <c r="H27" s="12">
        <f>'Proyección de Ingresos'!AC70</f>
        <v>1</v>
      </c>
      <c r="I27" s="8">
        <f>H27*C27</f>
        <v>35000</v>
      </c>
      <c r="J27" s="27">
        <v>0</v>
      </c>
      <c r="K27" s="64">
        <f>J27*C27</f>
        <v>0</v>
      </c>
    </row>
    <row r="28" spans="2:12" ht="12.75" x14ac:dyDescent="0.2">
      <c r="B28" s="161" t="s">
        <v>180</v>
      </c>
      <c r="C28" s="153">
        <f>D11</f>
        <v>6399</v>
      </c>
      <c r="D28" s="92">
        <v>0</v>
      </c>
      <c r="E28" s="122">
        <f t="shared" si="0"/>
        <v>0</v>
      </c>
      <c r="F28" s="12">
        <v>0</v>
      </c>
      <c r="G28" s="8">
        <f>F28*C28</f>
        <v>0</v>
      </c>
      <c r="H28" s="12">
        <v>0</v>
      </c>
      <c r="I28" s="8">
        <f>H28*C28</f>
        <v>0</v>
      </c>
      <c r="J28" s="12">
        <f>'Proyección de Ingresos'!AC97</f>
        <v>1</v>
      </c>
      <c r="K28" s="64">
        <f>J28*C28</f>
        <v>6399</v>
      </c>
    </row>
    <row r="29" spans="2:12" s="345" customFormat="1" ht="12.75" x14ac:dyDescent="0.2">
      <c r="B29" s="161" t="s">
        <v>19</v>
      </c>
      <c r="C29" s="153">
        <f>D11</f>
        <v>6399</v>
      </c>
      <c r="D29" s="92">
        <v>0</v>
      </c>
      <c r="E29" s="122">
        <v>0</v>
      </c>
      <c r="F29" s="12">
        <v>0</v>
      </c>
      <c r="G29" s="8">
        <v>0</v>
      </c>
      <c r="H29" s="12">
        <v>1</v>
      </c>
      <c r="I29" s="8">
        <f>C29*H29</f>
        <v>6399</v>
      </c>
      <c r="J29" s="12">
        <v>0</v>
      </c>
      <c r="K29" s="349">
        <v>0</v>
      </c>
    </row>
    <row r="30" spans="2:12" ht="12.75" x14ac:dyDescent="0.2">
      <c r="B30" s="161" t="s">
        <v>20</v>
      </c>
      <c r="C30" s="153">
        <f>D12</f>
        <v>3600</v>
      </c>
      <c r="D30" s="92">
        <f>'Proyección de Ingresos'!C14</f>
        <v>3</v>
      </c>
      <c r="E30" s="122">
        <f t="shared" si="0"/>
        <v>10800</v>
      </c>
      <c r="F30" s="12">
        <f>'Proyección de Ingresos'!AC42</f>
        <v>1</v>
      </c>
      <c r="G30" s="8">
        <f>F30*C30</f>
        <v>3600</v>
      </c>
      <c r="H30" s="12">
        <f>'Proyección de Ingresos'!AC72</f>
        <v>5</v>
      </c>
      <c r="I30" s="8">
        <f>H30*C30</f>
        <v>18000</v>
      </c>
      <c r="J30" s="12">
        <f>'Proyección de Ingresos'!AC98</f>
        <v>2</v>
      </c>
      <c r="K30" s="64">
        <f>J30*C30</f>
        <v>7200</v>
      </c>
    </row>
    <row r="31" spans="2:12" ht="12.75" x14ac:dyDescent="0.2">
      <c r="B31" s="163" t="s">
        <v>77</v>
      </c>
      <c r="C31" s="4"/>
      <c r="D31" s="154"/>
      <c r="E31" s="5"/>
      <c r="F31" s="5"/>
      <c r="G31" s="5"/>
      <c r="H31" s="5"/>
      <c r="I31" s="5"/>
      <c r="J31" s="5"/>
      <c r="K31" s="164"/>
    </row>
    <row r="32" spans="2:12" ht="14.25" x14ac:dyDescent="0.2">
      <c r="B32" s="161" t="s">
        <v>21</v>
      </c>
      <c r="C32" s="9">
        <f t="shared" ref="C32:C37" si="1">D14</f>
        <v>90000</v>
      </c>
      <c r="D32" s="6">
        <f>'Proyección de Ingresos'!C15</f>
        <v>3</v>
      </c>
      <c r="E32" s="8">
        <f t="shared" ref="E32:E34" si="2">C32*D32</f>
        <v>270000</v>
      </c>
      <c r="F32" s="12">
        <f>'Proyección de Ingresos'!AC43</f>
        <v>1</v>
      </c>
      <c r="G32" s="8">
        <f>F32*C32</f>
        <v>90000</v>
      </c>
      <c r="H32" s="12">
        <f>'Proyección de Ingresos'!AC73</f>
        <v>5</v>
      </c>
      <c r="I32" s="8">
        <f>H32*C32</f>
        <v>450000</v>
      </c>
      <c r="J32" s="160">
        <f>'Proyección de Ingresos'!AC99</f>
        <v>2</v>
      </c>
      <c r="K32" s="64">
        <f>J32*C32</f>
        <v>180000</v>
      </c>
    </row>
    <row r="33" spans="2:16" ht="12.75" x14ac:dyDescent="0.2">
      <c r="B33" s="161" t="s">
        <v>22</v>
      </c>
      <c r="C33" s="9">
        <f t="shared" si="1"/>
        <v>14890</v>
      </c>
      <c r="D33" s="6">
        <f>'Proyección de Ingresos'!C16</f>
        <v>1</v>
      </c>
      <c r="E33" s="8">
        <f t="shared" si="2"/>
        <v>14890</v>
      </c>
      <c r="F33" s="12">
        <v>0</v>
      </c>
      <c r="G33" s="8">
        <v>0</v>
      </c>
      <c r="H33" s="12">
        <v>0</v>
      </c>
      <c r="I33" s="8">
        <v>0</v>
      </c>
      <c r="J33" s="12">
        <v>0</v>
      </c>
      <c r="K33" s="349">
        <v>0</v>
      </c>
    </row>
    <row r="34" spans="2:16" ht="12.75" x14ac:dyDescent="0.2">
      <c r="B34" s="161" t="s">
        <v>23</v>
      </c>
      <c r="C34" s="9">
        <f t="shared" si="1"/>
        <v>7669</v>
      </c>
      <c r="D34" s="6">
        <f>'Proyección de Ingresos'!C17</f>
        <v>1</v>
      </c>
      <c r="E34" s="8">
        <f t="shared" si="2"/>
        <v>7669</v>
      </c>
      <c r="F34" s="12">
        <v>0</v>
      </c>
      <c r="G34" s="8">
        <v>0</v>
      </c>
      <c r="H34" s="12">
        <v>0</v>
      </c>
      <c r="I34" s="8">
        <v>0</v>
      </c>
      <c r="J34" s="12">
        <v>0</v>
      </c>
      <c r="K34" s="349">
        <v>0</v>
      </c>
    </row>
    <row r="35" spans="2:16" s="345" customFormat="1" ht="12.75" x14ac:dyDescent="0.2">
      <c r="B35" s="161" t="s">
        <v>257</v>
      </c>
      <c r="C35" s="354">
        <f t="shared" si="1"/>
        <v>24000</v>
      </c>
      <c r="D35" s="6">
        <v>1</v>
      </c>
      <c r="E35" s="8">
        <f>C35*D35</f>
        <v>24000</v>
      </c>
      <c r="F35" s="12">
        <v>0</v>
      </c>
      <c r="G35" s="8">
        <v>0</v>
      </c>
      <c r="H35" s="12">
        <v>0</v>
      </c>
      <c r="I35" s="8">
        <v>0</v>
      </c>
      <c r="J35" s="12">
        <v>0</v>
      </c>
      <c r="K35" s="349">
        <v>0</v>
      </c>
    </row>
    <row r="36" spans="2:16" s="376" customFormat="1" ht="12.75" x14ac:dyDescent="0.2">
      <c r="B36" s="161" t="s">
        <v>262</v>
      </c>
      <c r="C36" s="354">
        <f t="shared" si="1"/>
        <v>130000</v>
      </c>
      <c r="D36" s="6">
        <v>0</v>
      </c>
      <c r="E36" s="8">
        <v>0</v>
      </c>
      <c r="F36" s="12">
        <v>0</v>
      </c>
      <c r="G36" s="8">
        <f>C36*F36</f>
        <v>0</v>
      </c>
      <c r="H36" s="12">
        <v>0</v>
      </c>
      <c r="I36" s="8">
        <f>H36*C36</f>
        <v>0</v>
      </c>
      <c r="J36" s="12">
        <v>1</v>
      </c>
      <c r="K36" s="349">
        <f>J36*C36</f>
        <v>130000</v>
      </c>
    </row>
    <row r="37" spans="2:16" s="376" customFormat="1" ht="12.75" x14ac:dyDescent="0.2">
      <c r="B37" s="161" t="s">
        <v>264</v>
      </c>
      <c r="C37" s="354">
        <f t="shared" si="1"/>
        <v>450000</v>
      </c>
      <c r="D37" s="6">
        <v>0</v>
      </c>
      <c r="E37" s="8">
        <v>0</v>
      </c>
      <c r="F37" s="12">
        <v>0</v>
      </c>
      <c r="G37" s="8">
        <v>0</v>
      </c>
      <c r="H37" s="12">
        <v>0</v>
      </c>
      <c r="I37" s="8">
        <v>0</v>
      </c>
      <c r="J37" s="12">
        <v>1</v>
      </c>
      <c r="K37" s="349">
        <f>J37*C37</f>
        <v>450000</v>
      </c>
    </row>
    <row r="38" spans="2:16" s="376" customFormat="1" ht="12.75" x14ac:dyDescent="0.2">
      <c r="B38" s="161" t="s">
        <v>266</v>
      </c>
      <c r="C38" s="354">
        <f>D13</f>
        <v>125000</v>
      </c>
      <c r="D38" s="6">
        <v>0</v>
      </c>
      <c r="E38" s="8">
        <v>0</v>
      </c>
      <c r="F38" s="12">
        <v>0</v>
      </c>
      <c r="G38" s="8">
        <v>0</v>
      </c>
      <c r="H38" s="12">
        <v>1</v>
      </c>
      <c r="I38" s="8">
        <f>H38*C38</f>
        <v>125000</v>
      </c>
      <c r="J38" s="12">
        <v>0</v>
      </c>
      <c r="K38" s="349">
        <v>0</v>
      </c>
    </row>
    <row r="39" spans="2:16" s="376" customFormat="1" ht="12.75" x14ac:dyDescent="0.2">
      <c r="B39" s="161" t="str">
        <f>C20</f>
        <v>Heladera</v>
      </c>
      <c r="C39" s="354">
        <f>D20</f>
        <v>110000</v>
      </c>
      <c r="D39" s="6">
        <v>0</v>
      </c>
      <c r="E39" s="8">
        <v>0</v>
      </c>
      <c r="F39" s="12">
        <v>1</v>
      </c>
      <c r="G39" s="8">
        <f>F39*C39</f>
        <v>110000</v>
      </c>
      <c r="H39" s="12">
        <v>0</v>
      </c>
      <c r="I39" s="8">
        <v>0</v>
      </c>
      <c r="J39" s="12">
        <v>0</v>
      </c>
      <c r="K39" s="8">
        <v>0</v>
      </c>
    </row>
    <row r="40" spans="2:16" s="376" customFormat="1" ht="12.75" x14ac:dyDescent="0.2">
      <c r="B40" s="161" t="str">
        <f t="shared" ref="B40:C41" si="3">C21</f>
        <v>Micro Ondas</v>
      </c>
      <c r="C40" s="354">
        <f t="shared" si="3"/>
        <v>13000</v>
      </c>
      <c r="D40" s="6">
        <v>0</v>
      </c>
      <c r="E40" s="8">
        <v>0</v>
      </c>
      <c r="F40" s="12">
        <v>1</v>
      </c>
      <c r="G40" s="8">
        <f>F40*C40</f>
        <v>13000</v>
      </c>
      <c r="H40" s="12">
        <v>0</v>
      </c>
      <c r="I40" s="8">
        <v>0</v>
      </c>
      <c r="J40" s="12">
        <v>0</v>
      </c>
      <c r="K40" s="8">
        <v>0</v>
      </c>
    </row>
    <row r="41" spans="2:16" s="376" customFormat="1" ht="12.75" x14ac:dyDescent="0.2">
      <c r="B41" s="161" t="str">
        <f t="shared" si="3"/>
        <v>Dispenser Agua</v>
      </c>
      <c r="C41" s="354">
        <f t="shared" si="3"/>
        <v>6500</v>
      </c>
      <c r="D41" s="6">
        <v>0</v>
      </c>
      <c r="E41" s="8">
        <v>0</v>
      </c>
      <c r="F41" s="12">
        <v>1</v>
      </c>
      <c r="G41" s="8">
        <f>F41*C41</f>
        <v>6500</v>
      </c>
      <c r="H41" s="12">
        <v>0</v>
      </c>
      <c r="I41" s="8">
        <v>0</v>
      </c>
      <c r="J41" s="12">
        <v>0</v>
      </c>
      <c r="K41" s="8">
        <v>0</v>
      </c>
    </row>
    <row r="42" spans="2:16" ht="12.75" x14ac:dyDescent="0.2">
      <c r="B42" s="163" t="s">
        <v>78</v>
      </c>
      <c r="C42" s="7" t="s">
        <v>79</v>
      </c>
      <c r="D42" s="7" t="s">
        <v>80</v>
      </c>
      <c r="E42" s="5"/>
      <c r="F42" s="5"/>
      <c r="G42" s="5"/>
      <c r="H42" s="28"/>
      <c r="I42" s="28"/>
      <c r="J42" s="5"/>
      <c r="K42" s="164"/>
      <c r="P42" s="29"/>
    </row>
    <row r="43" spans="2:16" ht="12.75" x14ac:dyDescent="0.2">
      <c r="B43" s="161" t="s">
        <v>81</v>
      </c>
      <c r="C43" s="9">
        <f>('Costos RRHH'!$K$34/22)/8</f>
        <v>613.63636363636363</v>
      </c>
      <c r="D43" s="6">
        <v>200</v>
      </c>
      <c r="E43" s="9">
        <f t="shared" ref="E43:E45" si="4">C43*D43</f>
        <v>122727.27272727272</v>
      </c>
      <c r="F43" s="12"/>
      <c r="G43" s="12"/>
      <c r="H43" s="30"/>
      <c r="I43" s="30"/>
      <c r="J43" s="12"/>
      <c r="K43" s="162"/>
      <c r="M43" s="1"/>
      <c r="P43" s="29"/>
    </row>
    <row r="44" spans="2:16" ht="12.75" x14ac:dyDescent="0.2">
      <c r="B44" s="161" t="s">
        <v>82</v>
      </c>
      <c r="C44" s="9">
        <f>('Costos RRHH'!$K$34/22)/8</f>
        <v>613.63636363636363</v>
      </c>
      <c r="D44" s="6">
        <v>630</v>
      </c>
      <c r="E44" s="9">
        <f t="shared" si="4"/>
        <v>386590.90909090906</v>
      </c>
      <c r="F44" s="12"/>
      <c r="G44" s="12"/>
      <c r="H44" s="30"/>
      <c r="I44" s="30"/>
      <c r="J44" s="12"/>
      <c r="K44" s="162"/>
      <c r="P44" s="29"/>
    </row>
    <row r="45" spans="2:16" ht="12.75" x14ac:dyDescent="0.2">
      <c r="B45" s="161" t="s">
        <v>83</v>
      </c>
      <c r="C45" s="9">
        <f>('Costos RRHH'!$K$34/22)/8</f>
        <v>613.63636363636363</v>
      </c>
      <c r="D45" s="6">
        <v>150</v>
      </c>
      <c r="E45" s="9">
        <f t="shared" si="4"/>
        <v>92045.454545454544</v>
      </c>
      <c r="F45" s="12"/>
      <c r="G45" s="12"/>
      <c r="H45" s="30"/>
      <c r="I45" s="30"/>
      <c r="J45" s="12"/>
      <c r="K45" s="162"/>
      <c r="P45" s="29"/>
    </row>
    <row r="46" spans="2:16" ht="13.5" thickBot="1" x14ac:dyDescent="0.25">
      <c r="B46" s="130" t="s">
        <v>43</v>
      </c>
      <c r="C46" s="165"/>
      <c r="D46" s="165"/>
      <c r="E46" s="166">
        <f>SUM(E27:E45)</f>
        <v>963722.63636363635</v>
      </c>
      <c r="F46" s="167"/>
      <c r="G46" s="166">
        <f>SUM(G27:G45)</f>
        <v>223100</v>
      </c>
      <c r="H46" s="168"/>
      <c r="I46" s="168">
        <f>SUM(I27:I45)</f>
        <v>634399</v>
      </c>
      <c r="J46" s="167"/>
      <c r="K46" s="169">
        <f>SUM(K27:K45)</f>
        <v>773599</v>
      </c>
      <c r="P46" s="29"/>
    </row>
  </sheetData>
  <mergeCells count="24">
    <mergeCell ref="E21:L21"/>
    <mergeCell ref="E9:L9"/>
    <mergeCell ref="E8:L8"/>
    <mergeCell ref="C1:F1"/>
    <mergeCell ref="C2:F2"/>
    <mergeCell ref="C3:F3"/>
    <mergeCell ref="C4:F4"/>
    <mergeCell ref="C5:F5"/>
    <mergeCell ref="E22:L22"/>
    <mergeCell ref="E10:L10"/>
    <mergeCell ref="E12:L12"/>
    <mergeCell ref="E11:L11"/>
    <mergeCell ref="F25:G25"/>
    <mergeCell ref="D25:E25"/>
    <mergeCell ref="H25:I25"/>
    <mergeCell ref="J25:K25"/>
    <mergeCell ref="E15:L15"/>
    <mergeCell ref="E16:L16"/>
    <mergeCell ref="E14:L14"/>
    <mergeCell ref="E17:L17"/>
    <mergeCell ref="E18:L18"/>
    <mergeCell ref="E19:L19"/>
    <mergeCell ref="E13:L13"/>
    <mergeCell ref="E20:L20"/>
  </mergeCells>
  <hyperlinks>
    <hyperlink ref="E9" r:id="rId1" xr:uid="{00000000-0004-0000-0800-000001000000}"/>
    <hyperlink ref="E11" r:id="rId2" xr:uid="{00000000-0004-0000-0800-000002000000}"/>
    <hyperlink ref="E12" r:id="rId3" xr:uid="{00000000-0004-0000-0800-000003000000}"/>
    <hyperlink ref="E14" r:id="rId4" xr:uid="{00000000-0004-0000-0800-000005000000}"/>
    <hyperlink ref="E15" r:id="rId5" xr:uid="{00000000-0004-0000-0800-000006000000}"/>
    <hyperlink ref="E16" r:id="rId6" xr:uid="{00000000-0004-0000-0800-000007000000}"/>
    <hyperlink ref="A5" location="Indice!A1" display="Indice" xr:uid="{82678978-D735-41B9-9718-992874781224}"/>
    <hyperlink ref="E17" r:id="rId7" location="position=7&amp;type=item&amp;tracking_id=3361c750-4ccf-4355-893d-2b98cf0ef964" xr:uid="{424CEF11-D07D-4BB4-A68C-8F96B58BCD7D}"/>
    <hyperlink ref="E10" r:id="rId8" location="position=4&amp;type=item&amp;tracking_id=fbbdf573-109e-4db4-80db-de691bb1b5e3" xr:uid="{9F65A073-DA6C-4573-BC0D-BFB469DE997A}"/>
    <hyperlink ref="E18" r:id="rId9" location="position=1&amp;type=product&amp;tracking_id=65687387-1685-48df-a51d-3d6f5e57e74c" xr:uid="{9F9EAC26-586C-4EDB-9A29-742580E5DD95}"/>
    <hyperlink ref="E19" r:id="rId10" location="position=48&amp;type=item&amp;tracking_id=9273869d-96db-44ef-aa88-99064b1c406e" xr:uid="{234DFA0B-B894-4458-B0D3-1216B9FCC834}"/>
    <hyperlink ref="E13" r:id="rId11" location="position=35&amp;type=item&amp;tracking_id=de5d1fd3-9a4d-4f9a-afeb-2d31cda76b1e" xr:uid="{1DBD31D2-B4EC-47CC-8F84-057040091B44}"/>
    <hyperlink ref="E20" r:id="rId12" location="position=2&amp;type=item&amp;tracking_id=a950e64f-bba8-4bac-8563-cc02d41b7c4e" xr:uid="{561F9E3E-7FEB-46C6-BD00-7D8C95CC31CF}"/>
    <hyperlink ref="E21" r:id="rId13" location="position=2&amp;type=product&amp;tracking_id=dcb39c5f-1cca-4053-9830-c77512e4e3d4" xr:uid="{788E37D7-7C99-4964-AABD-A4E202A08498}"/>
    <hyperlink ref="E22" r:id="rId14" location="position=3&amp;type=item&amp;tracking_id=a018f906-fb3b-4819-9b92-bcd9f9a76929" xr:uid="{1E7CB304-F1D0-4C5C-8BE6-C32C79E11E82}"/>
  </hyperlinks>
  <pageMargins left="0.7" right="0.7" top="0.75" bottom="0.75" header="0.3" footer="0.3"/>
  <ignoredErrors>
    <ignoredError sqref="C28 I29" formula="1"/>
  </ignoredErrors>
  <drawing r:id="rId15"/>
  <legacyDrawing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23"/>
  <sheetViews>
    <sheetView showGridLines="0" zoomScale="85" zoomScaleNormal="85" workbookViewId="0">
      <pane ySplit="6" topLeftCell="A7" activePane="bottomLeft" state="frozen"/>
      <selection pane="bottomLeft" activeCell="A7" sqref="A7"/>
    </sheetView>
  </sheetViews>
  <sheetFormatPr baseColWidth="10" defaultColWidth="14.42578125" defaultRowHeight="15.75" customHeight="1" x14ac:dyDescent="0.2"/>
  <cols>
    <col min="2" max="2" width="9.5703125" customWidth="1"/>
    <col min="3" max="3" width="27" customWidth="1"/>
    <col min="5" max="5" width="5.7109375" style="345" bestFit="1" customWidth="1"/>
    <col min="7" max="7" width="5.7109375" style="345" bestFit="1" customWidth="1"/>
    <col min="9" max="9" width="5.7109375" style="345" bestFit="1" customWidth="1"/>
    <col min="13" max="13" width="22.42578125" customWidth="1"/>
    <col min="14" max="14" width="18.5703125" customWidth="1"/>
    <col min="15" max="15" width="18.85546875" customWidth="1"/>
  </cols>
  <sheetData>
    <row r="1" spans="1:10" s="42" customFormat="1" ht="15" x14ac:dyDescent="0.2">
      <c r="C1" s="433" t="s">
        <v>0</v>
      </c>
      <c r="D1" s="433"/>
      <c r="E1" s="433"/>
      <c r="F1" s="433"/>
      <c r="G1" s="433"/>
      <c r="H1" s="433"/>
      <c r="I1" s="338"/>
      <c r="J1" s="45"/>
    </row>
    <row r="2" spans="1:10" s="42" customFormat="1" ht="15" x14ac:dyDescent="0.25">
      <c r="A2" s="46"/>
      <c r="C2" s="396" t="s">
        <v>143</v>
      </c>
      <c r="D2" s="397"/>
      <c r="E2" s="397"/>
      <c r="F2" s="397"/>
      <c r="G2" s="397"/>
      <c r="H2" s="397"/>
      <c r="I2" s="337"/>
    </row>
    <row r="3" spans="1:10" s="42" customFormat="1" ht="12.75" x14ac:dyDescent="0.2">
      <c r="A3" s="44"/>
      <c r="C3" s="396" t="s">
        <v>140</v>
      </c>
      <c r="D3" s="397"/>
      <c r="E3" s="397"/>
      <c r="F3" s="397"/>
      <c r="G3" s="397"/>
      <c r="H3" s="397"/>
      <c r="I3" s="337"/>
    </row>
    <row r="4" spans="1:10" s="42" customFormat="1" ht="12.75" x14ac:dyDescent="0.2">
      <c r="A4" s="47"/>
      <c r="C4" s="396" t="s">
        <v>141</v>
      </c>
      <c r="D4" s="397"/>
      <c r="E4" s="397"/>
      <c r="F4" s="397"/>
      <c r="G4" s="397"/>
      <c r="H4" s="397"/>
      <c r="I4" s="337"/>
    </row>
    <row r="5" spans="1:10" s="42" customFormat="1" ht="14.25" x14ac:dyDescent="0.2">
      <c r="A5" s="237" t="s">
        <v>1</v>
      </c>
      <c r="C5" s="396" t="s">
        <v>142</v>
      </c>
      <c r="D5" s="397"/>
      <c r="E5" s="397"/>
      <c r="F5" s="397"/>
      <c r="G5" s="397"/>
      <c r="H5" s="397"/>
      <c r="I5" s="337"/>
    </row>
    <row r="6" spans="1:10" s="43" customFormat="1" ht="15.75" customHeight="1" thickBot="1" x14ac:dyDescent="0.25">
      <c r="A6" s="524" t="s">
        <v>84</v>
      </c>
      <c r="B6" s="524"/>
      <c r="E6" s="339"/>
      <c r="G6" s="339"/>
      <c r="I6" s="339"/>
    </row>
    <row r="7" spans="1:10" ht="15.75" customHeight="1" thickBot="1" x14ac:dyDescent="0.25"/>
    <row r="8" spans="1:10" ht="15.75" customHeight="1" x14ac:dyDescent="0.2">
      <c r="C8" s="61" t="s">
        <v>41</v>
      </c>
      <c r="D8" s="62" t="s">
        <v>42</v>
      </c>
      <c r="E8" s="62" t="s">
        <v>256</v>
      </c>
      <c r="F8" s="62" t="s">
        <v>24</v>
      </c>
      <c r="G8" s="62" t="s">
        <v>256</v>
      </c>
      <c r="H8" s="62" t="s">
        <v>39</v>
      </c>
      <c r="I8" s="62" t="s">
        <v>256</v>
      </c>
      <c r="J8" s="63" t="s">
        <v>40</v>
      </c>
    </row>
    <row r="9" spans="1:10" ht="15.75" customHeight="1" x14ac:dyDescent="0.2">
      <c r="C9" s="161" t="s">
        <v>18</v>
      </c>
      <c r="D9" s="8">
        <f>'Modelo de inversion'!D9</f>
        <v>35000</v>
      </c>
      <c r="E9" s="370">
        <v>1</v>
      </c>
      <c r="F9" s="8">
        <f>($D9*E9)*0.2</f>
        <v>7000</v>
      </c>
      <c r="G9" s="370">
        <v>1</v>
      </c>
      <c r="H9" s="8">
        <f>(F9*2)+((G9*D9)*0.2)</f>
        <v>21000</v>
      </c>
      <c r="I9" s="370">
        <v>0</v>
      </c>
      <c r="J9" s="64">
        <f>(F9*3)+(H9*2)+((D9*I9)*0.2)</f>
        <v>63000</v>
      </c>
    </row>
    <row r="10" spans="1:10" ht="15.75" customHeight="1" x14ac:dyDescent="0.2">
      <c r="C10" s="161" t="s">
        <v>180</v>
      </c>
      <c r="D10" s="8">
        <f>'Modelo de inversion'!D10</f>
        <v>5690</v>
      </c>
      <c r="E10" s="370">
        <v>0</v>
      </c>
      <c r="F10" s="8">
        <f t="shared" ref="F10:F17" si="0">($D10*E10)*0.2</f>
        <v>0</v>
      </c>
      <c r="G10" s="370">
        <v>0</v>
      </c>
      <c r="H10" s="8">
        <f t="shared" ref="H10:H17" si="1">(F10*2)+((G10*D10)*0.2)</f>
        <v>0</v>
      </c>
      <c r="I10" s="370">
        <v>1</v>
      </c>
      <c r="J10" s="349">
        <f t="shared" ref="J10:J17" si="2">(F10*3)+(H10*2)+((D10*I10)*0.2)</f>
        <v>1138</v>
      </c>
    </row>
    <row r="11" spans="1:10" s="345" customFormat="1" ht="15.75" customHeight="1" x14ac:dyDescent="0.2">
      <c r="C11" s="161" t="s">
        <v>19</v>
      </c>
      <c r="D11" s="8">
        <f>'Modelo de inversion'!D11</f>
        <v>6399</v>
      </c>
      <c r="E11" s="370">
        <v>0</v>
      </c>
      <c r="F11" s="8">
        <f t="shared" si="0"/>
        <v>0</v>
      </c>
      <c r="G11" s="370">
        <v>1</v>
      </c>
      <c r="H11" s="8">
        <f t="shared" si="1"/>
        <v>1279.8000000000002</v>
      </c>
      <c r="I11" s="370">
        <v>0</v>
      </c>
      <c r="J11" s="349">
        <f t="shared" si="2"/>
        <v>2559.6000000000004</v>
      </c>
    </row>
    <row r="12" spans="1:10" ht="15.75" customHeight="1" x14ac:dyDescent="0.2">
      <c r="C12" s="161" t="s">
        <v>20</v>
      </c>
      <c r="D12" s="8">
        <f>'Modelo de inversion'!D12</f>
        <v>3600</v>
      </c>
      <c r="E12" s="370">
        <v>4</v>
      </c>
      <c r="F12" s="8">
        <f t="shared" si="0"/>
        <v>2880</v>
      </c>
      <c r="G12" s="370">
        <v>5</v>
      </c>
      <c r="H12" s="8">
        <f t="shared" si="1"/>
        <v>9360</v>
      </c>
      <c r="I12" s="370">
        <v>2</v>
      </c>
      <c r="J12" s="349">
        <f t="shared" si="2"/>
        <v>28800</v>
      </c>
    </row>
    <row r="13" spans="1:10" s="376" customFormat="1" ht="15.75" customHeight="1" x14ac:dyDescent="0.2">
      <c r="C13" s="161" t="s">
        <v>266</v>
      </c>
      <c r="D13" s="8">
        <f>'Modelo de inversion'!D13</f>
        <v>125000</v>
      </c>
      <c r="E13" s="370">
        <v>0</v>
      </c>
      <c r="F13" s="8">
        <f t="shared" si="0"/>
        <v>0</v>
      </c>
      <c r="G13" s="370">
        <v>1</v>
      </c>
      <c r="H13" s="8">
        <f t="shared" si="1"/>
        <v>25000</v>
      </c>
      <c r="I13" s="370">
        <v>0</v>
      </c>
      <c r="J13" s="349">
        <f t="shared" si="2"/>
        <v>50000</v>
      </c>
    </row>
    <row r="14" spans="1:10" ht="15.75" customHeight="1" x14ac:dyDescent="0.2">
      <c r="C14" s="161" t="s">
        <v>21</v>
      </c>
      <c r="D14" s="8">
        <f>'Modelo de inversion'!D14</f>
        <v>90000</v>
      </c>
      <c r="E14" s="370">
        <v>4</v>
      </c>
      <c r="F14" s="8">
        <f t="shared" si="0"/>
        <v>72000</v>
      </c>
      <c r="G14" s="370">
        <v>5</v>
      </c>
      <c r="H14" s="8">
        <f t="shared" si="1"/>
        <v>234000</v>
      </c>
      <c r="I14" s="370">
        <v>2</v>
      </c>
      <c r="J14" s="349">
        <f t="shared" si="2"/>
        <v>720000</v>
      </c>
    </row>
    <row r="15" spans="1:10" s="345" customFormat="1" ht="15.75" customHeight="1" x14ac:dyDescent="0.2">
      <c r="C15" s="161" t="s">
        <v>23</v>
      </c>
      <c r="D15" s="8">
        <f>'Modelo de inversion'!D11</f>
        <v>6399</v>
      </c>
      <c r="E15" s="370">
        <v>1</v>
      </c>
      <c r="F15" s="8">
        <f t="shared" si="0"/>
        <v>1279.8000000000002</v>
      </c>
      <c r="G15" s="370">
        <v>0</v>
      </c>
      <c r="H15" s="8">
        <f t="shared" si="1"/>
        <v>2559.6000000000004</v>
      </c>
      <c r="I15" s="370">
        <v>0</v>
      </c>
      <c r="J15" s="349">
        <f t="shared" si="2"/>
        <v>8958.6000000000022</v>
      </c>
    </row>
    <row r="16" spans="1:10" s="345" customFormat="1" ht="15.75" customHeight="1" x14ac:dyDescent="0.2">
      <c r="C16" s="161" t="s">
        <v>257</v>
      </c>
      <c r="D16" s="8">
        <f>'Modelo de inversion'!D17</f>
        <v>24000</v>
      </c>
      <c r="E16" s="370">
        <v>1</v>
      </c>
      <c r="F16" s="8">
        <f t="shared" si="0"/>
        <v>4800</v>
      </c>
      <c r="G16" s="370">
        <v>0</v>
      </c>
      <c r="H16" s="8">
        <f t="shared" si="1"/>
        <v>9600</v>
      </c>
      <c r="I16" s="370">
        <v>0</v>
      </c>
      <c r="J16" s="349">
        <f t="shared" si="2"/>
        <v>33600</v>
      </c>
    </row>
    <row r="17" spans="3:10" ht="15.75" customHeight="1" x14ac:dyDescent="0.2">
      <c r="C17" s="161" t="s">
        <v>22</v>
      </c>
      <c r="D17" s="8">
        <f>'Modelo de inversion'!D18</f>
        <v>130000</v>
      </c>
      <c r="E17" s="370">
        <v>1</v>
      </c>
      <c r="F17" s="8">
        <f t="shared" si="0"/>
        <v>26000</v>
      </c>
      <c r="G17" s="370">
        <v>0</v>
      </c>
      <c r="H17" s="8">
        <f t="shared" si="1"/>
        <v>52000</v>
      </c>
      <c r="I17" s="370">
        <v>0</v>
      </c>
      <c r="J17" s="349">
        <f t="shared" si="2"/>
        <v>182000</v>
      </c>
    </row>
    <row r="18" spans="3:10" s="376" customFormat="1" ht="15.75" customHeight="1" x14ac:dyDescent="0.2">
      <c r="C18" s="384" t="s">
        <v>262</v>
      </c>
      <c r="D18" s="8">
        <f>'Modelo de inversion'!D19</f>
        <v>450000</v>
      </c>
      <c r="E18" s="370">
        <v>0</v>
      </c>
      <c r="F18" s="8">
        <f t="shared" ref="F18:F19" si="3">($D18*E18)*0.2</f>
        <v>0</v>
      </c>
      <c r="G18" s="370">
        <v>0</v>
      </c>
      <c r="H18" s="8">
        <f t="shared" ref="H18:H19" si="4">(F18*2)+((G18*D18)*0.2)</f>
        <v>0</v>
      </c>
      <c r="I18" s="370">
        <v>1</v>
      </c>
      <c r="J18" s="349">
        <f t="shared" ref="J18:J19" si="5">(F18*3)+(H18*2)+((D18*I18)*0.2)</f>
        <v>90000</v>
      </c>
    </row>
    <row r="19" spans="3:10" s="376" customFormat="1" ht="15.75" customHeight="1" x14ac:dyDescent="0.2">
      <c r="C19" s="384" t="s">
        <v>264</v>
      </c>
      <c r="D19" s="8">
        <f>'Modelo de inversion'!D17</f>
        <v>24000</v>
      </c>
      <c r="E19" s="370">
        <v>0</v>
      </c>
      <c r="F19" s="8">
        <f t="shared" si="3"/>
        <v>0</v>
      </c>
      <c r="G19" s="370">
        <v>0</v>
      </c>
      <c r="H19" s="8">
        <f t="shared" si="4"/>
        <v>0</v>
      </c>
      <c r="I19" s="370">
        <v>1</v>
      </c>
      <c r="J19" s="349">
        <f t="shared" si="5"/>
        <v>4800</v>
      </c>
    </row>
    <row r="20" spans="3:10" s="376" customFormat="1" ht="15.75" customHeight="1" x14ac:dyDescent="0.2">
      <c r="C20" s="384" t="s">
        <v>268</v>
      </c>
      <c r="D20" s="8">
        <f>'Modelo de inversion'!D20</f>
        <v>110000</v>
      </c>
      <c r="E20" s="370">
        <v>1</v>
      </c>
      <c r="F20" s="8">
        <f t="shared" ref="F20:F22" si="6">($D20*E20)*0.2</f>
        <v>22000</v>
      </c>
      <c r="G20" s="370">
        <v>0</v>
      </c>
      <c r="H20" s="8">
        <f t="shared" ref="H20:H22" si="7">(F20*2)+((G20*D20)*0.2)</f>
        <v>44000</v>
      </c>
      <c r="I20" s="370">
        <v>1</v>
      </c>
      <c r="J20" s="349">
        <f t="shared" ref="J20:J22" si="8">(F20*3)+(H20*2)+((D20*I20)*0.2)</f>
        <v>176000</v>
      </c>
    </row>
    <row r="21" spans="3:10" s="376" customFormat="1" ht="15.75" customHeight="1" x14ac:dyDescent="0.2">
      <c r="C21" s="384" t="s">
        <v>269</v>
      </c>
      <c r="D21" s="8">
        <f>'Modelo de inversion'!D21</f>
        <v>13000</v>
      </c>
      <c r="E21" s="370">
        <v>1</v>
      </c>
      <c r="F21" s="8">
        <f t="shared" si="6"/>
        <v>2600</v>
      </c>
      <c r="G21" s="370">
        <v>0</v>
      </c>
      <c r="H21" s="8">
        <f t="shared" si="7"/>
        <v>5200</v>
      </c>
      <c r="I21" s="370">
        <v>1</v>
      </c>
      <c r="J21" s="349">
        <f t="shared" si="8"/>
        <v>20800</v>
      </c>
    </row>
    <row r="22" spans="3:10" s="376" customFormat="1" ht="15.75" customHeight="1" x14ac:dyDescent="0.2">
      <c r="C22" s="384" t="s">
        <v>270</v>
      </c>
      <c r="D22" s="8">
        <f>'Modelo de inversion'!D22</f>
        <v>6500</v>
      </c>
      <c r="E22" s="370">
        <v>1</v>
      </c>
      <c r="F22" s="8">
        <f t="shared" si="6"/>
        <v>1300</v>
      </c>
      <c r="G22" s="370">
        <v>0</v>
      </c>
      <c r="H22" s="8">
        <f t="shared" si="7"/>
        <v>2600</v>
      </c>
      <c r="I22" s="370">
        <v>1</v>
      </c>
      <c r="J22" s="349">
        <f t="shared" si="8"/>
        <v>10400</v>
      </c>
    </row>
    <row r="23" spans="3:10" ht="15.75" customHeight="1" thickBot="1" x14ac:dyDescent="0.25">
      <c r="C23" s="180" t="s">
        <v>43</v>
      </c>
      <c r="D23" s="167"/>
      <c r="E23" s="167"/>
      <c r="F23" s="166">
        <f>SUM(F9:F17)</f>
        <v>113959.8</v>
      </c>
      <c r="G23" s="166"/>
      <c r="H23" s="166">
        <f>SUM(H9:H17)+F23</f>
        <v>468759.19999999995</v>
      </c>
      <c r="I23" s="359"/>
      <c r="J23" s="169">
        <f>SUM(J9:J17)+H23</f>
        <v>1558815.4</v>
      </c>
    </row>
  </sheetData>
  <mergeCells count="6">
    <mergeCell ref="A6:B6"/>
    <mergeCell ref="C3:H3"/>
    <mergeCell ref="C2:H2"/>
    <mergeCell ref="C1:H1"/>
    <mergeCell ref="C4:H4"/>
    <mergeCell ref="C5:H5"/>
  </mergeCells>
  <hyperlinks>
    <hyperlink ref="A5" location="Indice!A1" display="Indice" xr:uid="{A4A5BDE9-669B-45D8-A09A-9804975BB065}"/>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3"/>
  <sheetViews>
    <sheetView showGridLines="0" workbookViewId="0">
      <pane ySplit="6" topLeftCell="A7" activePane="bottomLeft" state="frozen"/>
      <selection pane="bottomLeft" activeCell="B21" sqref="B21"/>
    </sheetView>
  </sheetViews>
  <sheetFormatPr baseColWidth="10" defaultColWidth="14.42578125" defaultRowHeight="15.75" customHeight="1" x14ac:dyDescent="0.2"/>
  <cols>
    <col min="2" max="2" width="10.5703125" customWidth="1"/>
    <col min="3" max="3" width="32.85546875" customWidth="1"/>
  </cols>
  <sheetData>
    <row r="1" spans="1:11" s="42" customFormat="1" ht="15" x14ac:dyDescent="0.2">
      <c r="C1" s="433" t="s">
        <v>0</v>
      </c>
      <c r="D1" s="433"/>
      <c r="E1" s="433"/>
      <c r="F1" s="433"/>
      <c r="G1" s="45"/>
    </row>
    <row r="2" spans="1:11" s="42" customFormat="1" ht="15" x14ac:dyDescent="0.25">
      <c r="A2" s="46"/>
      <c r="C2" s="396" t="s">
        <v>143</v>
      </c>
      <c r="D2" s="397"/>
      <c r="E2" s="397"/>
      <c r="F2" s="397"/>
    </row>
    <row r="3" spans="1:11" s="42" customFormat="1" ht="12.75" x14ac:dyDescent="0.2">
      <c r="A3" s="44"/>
      <c r="C3" s="396" t="s">
        <v>140</v>
      </c>
      <c r="D3" s="397"/>
      <c r="E3" s="397"/>
      <c r="F3" s="397"/>
    </row>
    <row r="4" spans="1:11" s="42" customFormat="1" ht="12.75" x14ac:dyDescent="0.2">
      <c r="A4" s="47"/>
      <c r="C4" s="396" t="s">
        <v>141</v>
      </c>
      <c r="D4" s="397"/>
      <c r="E4" s="397"/>
      <c r="F4" s="397"/>
    </row>
    <row r="5" spans="1:11" s="42" customFormat="1" ht="14.25" x14ac:dyDescent="0.2">
      <c r="A5" s="237" t="s">
        <v>1</v>
      </c>
      <c r="C5" s="396" t="s">
        <v>142</v>
      </c>
      <c r="D5" s="397"/>
      <c r="E5" s="397"/>
      <c r="F5" s="397"/>
    </row>
    <row r="6" spans="1:11" s="43" customFormat="1" ht="15.75" customHeight="1" thickBot="1" x14ac:dyDescent="0.25">
      <c r="A6" s="524" t="s">
        <v>85</v>
      </c>
      <c r="B6" s="525"/>
    </row>
    <row r="7" spans="1:11" ht="15.75" customHeight="1" thickBot="1" x14ac:dyDescent="0.25">
      <c r="A7" s="2"/>
    </row>
    <row r="8" spans="1:11" ht="15.75" customHeight="1" x14ac:dyDescent="0.2">
      <c r="C8" s="187" t="s">
        <v>86</v>
      </c>
      <c r="D8" s="188">
        <v>0.65</v>
      </c>
    </row>
    <row r="9" spans="1:11" ht="15.75" customHeight="1" x14ac:dyDescent="0.2">
      <c r="C9" s="177" t="s">
        <v>87</v>
      </c>
      <c r="D9" s="64">
        <f t="array" ref="D9">NPV(D8,E23:G23)+D23</f>
        <v>552554.21267774177</v>
      </c>
      <c r="I9" s="200"/>
    </row>
    <row r="10" spans="1:11" ht="15.75" customHeight="1" thickBot="1" x14ac:dyDescent="0.25">
      <c r="C10" s="179" t="s">
        <v>88</v>
      </c>
      <c r="D10" s="189">
        <f>IRR(D23:G23,D8)</f>
        <v>0.92327214811550951</v>
      </c>
      <c r="I10" s="200"/>
    </row>
    <row r="11" spans="1:11" ht="15.75" customHeight="1" x14ac:dyDescent="0.2">
      <c r="C11" s="10"/>
      <c r="I11" s="200"/>
    </row>
    <row r="12" spans="1:11" ht="15.75" customHeight="1" thickBot="1" x14ac:dyDescent="0.25">
      <c r="I12" s="200"/>
    </row>
    <row r="13" spans="1:11" ht="15.75" customHeight="1" thickBot="1" x14ac:dyDescent="0.25">
      <c r="C13" s="78"/>
      <c r="D13" s="174" t="s">
        <v>74</v>
      </c>
      <c r="E13" s="175" t="s">
        <v>24</v>
      </c>
      <c r="F13" s="175" t="s">
        <v>39</v>
      </c>
      <c r="G13" s="176" t="s">
        <v>40</v>
      </c>
      <c r="I13" s="201"/>
      <c r="J13" s="201"/>
      <c r="K13" s="201"/>
    </row>
    <row r="14" spans="1:11" ht="15.75" customHeight="1" x14ac:dyDescent="0.2">
      <c r="C14" s="235" t="s">
        <v>89</v>
      </c>
      <c r="D14" s="371"/>
      <c r="E14" s="171">
        <f>'Modelo de ingresos'!F25</f>
        <v>12902940</v>
      </c>
      <c r="F14" s="171">
        <f>'Modelo de ingresos'!I25</f>
        <v>27167660</v>
      </c>
      <c r="G14" s="172">
        <f>'Modelo de ingresos'!L25</f>
        <v>35114730</v>
      </c>
    </row>
    <row r="15" spans="1:11" ht="15.75" customHeight="1" x14ac:dyDescent="0.2">
      <c r="B15" s="200"/>
      <c r="C15" s="236" t="s">
        <v>48</v>
      </c>
      <c r="D15" s="372"/>
      <c r="E15" s="8">
        <f>'Modelo de egresos'!D10</f>
        <v>6085000</v>
      </c>
      <c r="F15" s="8">
        <f>'Modelo de egresos'!E10</f>
        <v>7913000</v>
      </c>
      <c r="G15" s="349">
        <f>'Modelo de egresos'!F10</f>
        <v>8893400</v>
      </c>
    </row>
    <row r="16" spans="1:11" ht="15.75" customHeight="1" x14ac:dyDescent="0.2">
      <c r="C16" s="236" t="s">
        <v>58</v>
      </c>
      <c r="D16" s="372"/>
      <c r="E16" s="8">
        <f>'Modelo de egresos'!D11</f>
        <v>881778</v>
      </c>
      <c r="F16" s="8">
        <f>'Modelo de egresos'!E11</f>
        <v>2718001.2</v>
      </c>
      <c r="G16" s="349">
        <f>'Modelo de egresos'!F11</f>
        <v>3588204.6</v>
      </c>
    </row>
    <row r="17" spans="3:7" ht="12.75" x14ac:dyDescent="0.2">
      <c r="C17" s="236" t="s">
        <v>9</v>
      </c>
      <c r="D17" s="372"/>
      <c r="E17" s="8">
        <f>'Modelo de egresos'!D12</f>
        <v>6037200</v>
      </c>
      <c r="F17" s="8">
        <f>'Modelo de egresos'!E12</f>
        <v>12592800</v>
      </c>
      <c r="G17" s="349">
        <f>'Modelo de egresos'!F12</f>
        <v>15674400</v>
      </c>
    </row>
    <row r="18" spans="3:7" ht="12.75" x14ac:dyDescent="0.2">
      <c r="C18" s="213" t="s">
        <v>90</v>
      </c>
      <c r="D18" s="373"/>
      <c r="E18" s="13">
        <f>E14-E15-E16-E17</f>
        <v>-101038</v>
      </c>
      <c r="F18" s="13">
        <f>F14-F15-F16-F17</f>
        <v>3943858.8000000007</v>
      </c>
      <c r="G18" s="178">
        <f>G14-G15-G16-G17</f>
        <v>6958725.3999999985</v>
      </c>
    </row>
    <row r="19" spans="3:7" ht="12.75" x14ac:dyDescent="0.2">
      <c r="C19" s="236" t="s">
        <v>91</v>
      </c>
      <c r="D19" s="372"/>
      <c r="E19" s="8">
        <f>E14*0.03</f>
        <v>387088.2</v>
      </c>
      <c r="F19" s="8">
        <f>F14*0.03</f>
        <v>815029.79999999993</v>
      </c>
      <c r="G19" s="349">
        <f>G14*0.03</f>
        <v>1053441.8999999999</v>
      </c>
    </row>
    <row r="20" spans="3:7" ht="12.75" x14ac:dyDescent="0.2">
      <c r="C20" s="236" t="s">
        <v>92</v>
      </c>
      <c r="D20" s="372"/>
      <c r="E20" s="12"/>
      <c r="F20" s="8">
        <f>(E18-E19-Amortización!F23)*0.35</f>
        <v>-210730.09999999998</v>
      </c>
      <c r="G20" s="349">
        <f>(F18-G19-Amortización!H23)*0.35</f>
        <v>847580.1950000003</v>
      </c>
    </row>
    <row r="21" spans="3:7" ht="12.75" x14ac:dyDescent="0.2">
      <c r="C21" s="213" t="s">
        <v>93</v>
      </c>
      <c r="D21" s="373"/>
      <c r="E21" s="13">
        <f>E18-E19</f>
        <v>-488126.2</v>
      </c>
      <c r="F21" s="13">
        <f t="shared" ref="F21:G21" si="0">F18-F19-F20</f>
        <v>3339559.100000001</v>
      </c>
      <c r="G21" s="178">
        <f t="shared" si="0"/>
        <v>5057703.3049999978</v>
      </c>
    </row>
    <row r="22" spans="3:7" ht="12.75" x14ac:dyDescent="0.2">
      <c r="C22" s="236" t="s">
        <v>96</v>
      </c>
      <c r="D22" s="374">
        <f>-'Modelo de inversion'!E46</f>
        <v>-963722.63636363635</v>
      </c>
      <c r="E22" s="8">
        <f>'Modelo de inversion'!G46</f>
        <v>223100</v>
      </c>
      <c r="F22" s="8">
        <f>'Modelo de inversion'!I46</f>
        <v>634399</v>
      </c>
      <c r="G22" s="349">
        <f>'Modelo de inversion'!K46</f>
        <v>773599</v>
      </c>
    </row>
    <row r="23" spans="3:7" ht="13.5" thickBot="1" x14ac:dyDescent="0.25">
      <c r="C23" s="57" t="s">
        <v>105</v>
      </c>
      <c r="D23" s="66">
        <f>D22</f>
        <v>-963722.63636363635</v>
      </c>
      <c r="E23" s="67">
        <f t="shared" ref="E23:G23" si="1">E21-E22</f>
        <v>-711226.2</v>
      </c>
      <c r="F23" s="67">
        <f t="shared" si="1"/>
        <v>2705160.100000001</v>
      </c>
      <c r="G23" s="68">
        <f t="shared" si="1"/>
        <v>4284104.3049999978</v>
      </c>
    </row>
  </sheetData>
  <mergeCells count="6">
    <mergeCell ref="C2:F2"/>
    <mergeCell ref="C3:F3"/>
    <mergeCell ref="A6:B6"/>
    <mergeCell ref="C1:F1"/>
    <mergeCell ref="C4:F4"/>
    <mergeCell ref="C5:F5"/>
  </mergeCells>
  <hyperlinks>
    <hyperlink ref="A5" location="Indice!A1" display="Indice" xr:uid="{6EA673C9-9D99-41E6-A17D-F3CBB39F14DB}"/>
    <hyperlink ref="C15" location="'Costos fijos'!A1" display="Costos Fijos" xr:uid="{BE3D2AF3-8529-455E-9503-AC23E2953F1F}"/>
    <hyperlink ref="C16" location="'Costos variables'!A1" display="Costos Variables" xr:uid="{26DF3823-49CD-4BD7-A466-948D3A3F7EC7}"/>
    <hyperlink ref="C17" location="'Costos RRHH'!A1" display="Costos RRHH" xr:uid="{333AADBE-9959-45A3-8B4D-7B515E0139F9}"/>
    <hyperlink ref="C14" location="'Modelo de ingresos'!A1" display="Ingresos" xr:uid="{AE573057-7C7B-4FB8-9C5B-738B4DC3C7DE}"/>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23"/>
  <sheetViews>
    <sheetView showGridLines="0" zoomScale="115" zoomScaleNormal="115" workbookViewId="0">
      <pane ySplit="6" topLeftCell="A10" activePane="bottomLeft" state="frozen"/>
      <selection pane="bottomLeft" activeCell="D21" sqref="D21"/>
    </sheetView>
  </sheetViews>
  <sheetFormatPr baseColWidth="10" defaultColWidth="14.42578125" defaultRowHeight="15.75" customHeight="1" x14ac:dyDescent="0.2"/>
  <cols>
    <col min="1" max="1" width="14.85546875" customWidth="1"/>
    <col min="2" max="2" width="5.42578125" customWidth="1"/>
    <col min="3" max="3" width="3.140625" customWidth="1"/>
    <col min="4" max="4" width="37.85546875" customWidth="1"/>
    <col min="5" max="5" width="34.42578125" customWidth="1"/>
    <col min="6" max="6" width="14.42578125" customWidth="1"/>
    <col min="7" max="7" width="14.28515625" customWidth="1"/>
    <col min="8" max="8" width="41.140625" customWidth="1"/>
  </cols>
  <sheetData>
    <row r="1" spans="1:9" s="42" customFormat="1" ht="15" x14ac:dyDescent="0.2">
      <c r="D1" s="433" t="s">
        <v>0</v>
      </c>
      <c r="E1" s="433"/>
      <c r="F1" s="433"/>
      <c r="G1" s="433"/>
      <c r="H1" s="45"/>
    </row>
    <row r="2" spans="1:9" s="42" customFormat="1" ht="15" x14ac:dyDescent="0.25">
      <c r="A2" s="46"/>
      <c r="D2" s="396" t="s">
        <v>143</v>
      </c>
      <c r="E2" s="397"/>
      <c r="F2" s="397"/>
      <c r="G2" s="397"/>
    </row>
    <row r="3" spans="1:9" s="42" customFormat="1" ht="12.75" x14ac:dyDescent="0.2">
      <c r="A3" s="44"/>
      <c r="D3" s="396" t="s">
        <v>140</v>
      </c>
      <c r="E3" s="397"/>
      <c r="F3" s="397"/>
      <c r="G3" s="397"/>
    </row>
    <row r="4" spans="1:9" s="42" customFormat="1" ht="12.75" x14ac:dyDescent="0.2">
      <c r="A4" s="47"/>
      <c r="D4" s="396" t="s">
        <v>141</v>
      </c>
      <c r="E4" s="397"/>
      <c r="F4" s="397"/>
      <c r="G4" s="397"/>
    </row>
    <row r="5" spans="1:9" s="42" customFormat="1" ht="14.25" x14ac:dyDescent="0.2">
      <c r="A5" s="237" t="s">
        <v>1</v>
      </c>
      <c r="D5" s="396" t="s">
        <v>142</v>
      </c>
      <c r="E5" s="397"/>
      <c r="F5" s="397"/>
      <c r="G5" s="397"/>
    </row>
    <row r="6" spans="1:9" s="43" customFormat="1" ht="13.5" thickBot="1" x14ac:dyDescent="0.25">
      <c r="A6" s="48" t="s">
        <v>139</v>
      </c>
    </row>
    <row r="7" spans="1:9" ht="15.75" customHeight="1" thickBot="1" x14ac:dyDescent="0.25"/>
    <row r="8" spans="1:9" ht="12.75" x14ac:dyDescent="0.2">
      <c r="C8" s="187" t="s">
        <v>94</v>
      </c>
      <c r="D8" s="220" t="s">
        <v>95</v>
      </c>
      <c r="E8" s="220" t="s">
        <v>97</v>
      </c>
      <c r="F8" s="220" t="s">
        <v>98</v>
      </c>
      <c r="G8" s="220" t="s">
        <v>99</v>
      </c>
      <c r="H8" s="221" t="s">
        <v>100</v>
      </c>
      <c r="I8" s="32"/>
    </row>
    <row r="9" spans="1:9" ht="38.25" x14ac:dyDescent="0.2">
      <c r="B9" s="190"/>
      <c r="C9" s="222">
        <v>1</v>
      </c>
      <c r="D9" s="33" t="s">
        <v>101</v>
      </c>
      <c r="E9" s="33" t="s">
        <v>102</v>
      </c>
      <c r="F9" s="34" t="s">
        <v>103</v>
      </c>
      <c r="G9" s="35" t="s">
        <v>104</v>
      </c>
      <c r="H9" s="224" t="s">
        <v>274</v>
      </c>
      <c r="I9" s="36"/>
    </row>
    <row r="10" spans="1:9" ht="25.5" x14ac:dyDescent="0.2">
      <c r="B10" s="190"/>
      <c r="C10" s="222">
        <v>2</v>
      </c>
      <c r="D10" s="33" t="s">
        <v>106</v>
      </c>
      <c r="E10" s="33" t="s">
        <v>107</v>
      </c>
      <c r="F10" s="34" t="s">
        <v>103</v>
      </c>
      <c r="G10" s="37" t="s">
        <v>108</v>
      </c>
      <c r="H10" s="224" t="s">
        <v>109</v>
      </c>
      <c r="I10" s="36"/>
    </row>
    <row r="11" spans="1:9" ht="25.5" x14ac:dyDescent="0.2">
      <c r="B11" s="190"/>
      <c r="C11" s="222">
        <v>3</v>
      </c>
      <c r="D11" s="33" t="s">
        <v>110</v>
      </c>
      <c r="E11" s="33" t="s">
        <v>111</v>
      </c>
      <c r="F11" s="37" t="s">
        <v>112</v>
      </c>
      <c r="G11" s="35" t="s">
        <v>104</v>
      </c>
      <c r="H11" s="224" t="s">
        <v>113</v>
      </c>
      <c r="I11" s="38"/>
    </row>
    <row r="12" spans="1:9" ht="12.75" x14ac:dyDescent="0.2">
      <c r="B12" s="190"/>
      <c r="C12" s="222">
        <v>4</v>
      </c>
      <c r="D12" s="33" t="s">
        <v>114</v>
      </c>
      <c r="E12" s="33" t="s">
        <v>115</v>
      </c>
      <c r="F12" s="34" t="s">
        <v>116</v>
      </c>
      <c r="G12" s="35" t="s">
        <v>104</v>
      </c>
      <c r="H12" s="224" t="s">
        <v>117</v>
      </c>
      <c r="I12" s="36"/>
    </row>
    <row r="13" spans="1:9" ht="38.25" x14ac:dyDescent="0.2">
      <c r="B13" s="190"/>
      <c r="C13" s="222">
        <v>5</v>
      </c>
      <c r="D13" s="50" t="s">
        <v>202</v>
      </c>
      <c r="E13" s="192" t="s">
        <v>203</v>
      </c>
      <c r="F13" s="35" t="s">
        <v>118</v>
      </c>
      <c r="G13" s="34" t="s">
        <v>116</v>
      </c>
      <c r="H13" s="223" t="s">
        <v>204</v>
      </c>
      <c r="I13" s="36"/>
    </row>
    <row r="14" spans="1:9" ht="25.5" x14ac:dyDescent="0.2">
      <c r="B14" s="190"/>
      <c r="C14" s="222">
        <v>6</v>
      </c>
      <c r="D14" s="33" t="s">
        <v>119</v>
      </c>
      <c r="E14" s="33" t="s">
        <v>120</v>
      </c>
      <c r="F14" s="34" t="s">
        <v>116</v>
      </c>
      <c r="G14" s="34" t="s">
        <v>103</v>
      </c>
      <c r="H14" s="224" t="s">
        <v>121</v>
      </c>
      <c r="I14" s="36"/>
    </row>
    <row r="15" spans="1:9" ht="25.5" x14ac:dyDescent="0.2">
      <c r="B15" s="190"/>
      <c r="C15" s="222">
        <v>7</v>
      </c>
      <c r="D15" s="39" t="s">
        <v>122</v>
      </c>
      <c r="E15" s="39" t="s">
        <v>123</v>
      </c>
      <c r="F15" s="40" t="s">
        <v>112</v>
      </c>
      <c r="G15" s="40" t="s">
        <v>104</v>
      </c>
      <c r="H15" s="225" t="s">
        <v>124</v>
      </c>
      <c r="I15" s="38"/>
    </row>
    <row r="16" spans="1:9" ht="25.5" x14ac:dyDescent="0.2">
      <c r="B16" s="190"/>
      <c r="C16" s="222">
        <v>8</v>
      </c>
      <c r="D16" s="33" t="s">
        <v>125</v>
      </c>
      <c r="E16" s="33" t="s">
        <v>126</v>
      </c>
      <c r="F16" s="37" t="s">
        <v>112</v>
      </c>
      <c r="G16" s="35" t="s">
        <v>104</v>
      </c>
      <c r="H16" s="224" t="s">
        <v>127</v>
      </c>
      <c r="I16" s="38"/>
    </row>
    <row r="17" spans="2:9" ht="38.25" x14ac:dyDescent="0.2">
      <c r="B17" s="191"/>
      <c r="C17" s="222">
        <v>9</v>
      </c>
      <c r="D17" s="33" t="s">
        <v>128</v>
      </c>
      <c r="E17" s="33" t="s">
        <v>129</v>
      </c>
      <c r="F17" s="37" t="s">
        <v>112</v>
      </c>
      <c r="G17" s="34" t="s">
        <v>103</v>
      </c>
      <c r="H17" s="224" t="s">
        <v>130</v>
      </c>
      <c r="I17" s="36"/>
    </row>
    <row r="18" spans="2:9" ht="25.5" x14ac:dyDescent="0.2">
      <c r="B18" s="190"/>
      <c r="C18" s="222">
        <v>10</v>
      </c>
      <c r="D18" s="192" t="s">
        <v>207</v>
      </c>
      <c r="E18" s="192" t="s">
        <v>208</v>
      </c>
      <c r="F18" s="37" t="s">
        <v>112</v>
      </c>
      <c r="G18" s="35" t="s">
        <v>104</v>
      </c>
      <c r="H18" s="223" t="s">
        <v>209</v>
      </c>
      <c r="I18" s="36"/>
    </row>
    <row r="19" spans="2:9" ht="16.5" customHeight="1" x14ac:dyDescent="0.2">
      <c r="B19" s="190"/>
      <c r="C19" s="222">
        <v>11</v>
      </c>
      <c r="D19" s="33" t="s">
        <v>131</v>
      </c>
      <c r="E19" s="33" t="s">
        <v>132</v>
      </c>
      <c r="F19" s="34" t="s">
        <v>116</v>
      </c>
      <c r="G19" s="34" t="s">
        <v>103</v>
      </c>
      <c r="H19" s="224" t="s">
        <v>133</v>
      </c>
      <c r="I19" s="36"/>
    </row>
    <row r="20" spans="2:9" ht="25.5" x14ac:dyDescent="0.2">
      <c r="B20" s="190"/>
      <c r="C20" s="222">
        <v>12</v>
      </c>
      <c r="D20" s="192" t="s">
        <v>205</v>
      </c>
      <c r="E20" s="192" t="s">
        <v>206</v>
      </c>
      <c r="F20" s="34" t="s">
        <v>116</v>
      </c>
      <c r="G20" s="34" t="s">
        <v>103</v>
      </c>
      <c r="H20" s="224" t="s">
        <v>135</v>
      </c>
      <c r="I20" s="36"/>
    </row>
    <row r="21" spans="2:9" ht="38.25" x14ac:dyDescent="0.2">
      <c r="B21" s="190"/>
      <c r="C21" s="222">
        <v>13</v>
      </c>
      <c r="D21" s="192" t="s">
        <v>215</v>
      </c>
      <c r="E21" s="33" t="s">
        <v>134</v>
      </c>
      <c r="F21" s="37" t="s">
        <v>112</v>
      </c>
      <c r="G21" s="37" t="s">
        <v>112</v>
      </c>
      <c r="H21" s="223" t="s">
        <v>218</v>
      </c>
      <c r="I21" s="36"/>
    </row>
    <row r="22" spans="2:9" ht="38.25" x14ac:dyDescent="0.2">
      <c r="C22" s="222">
        <v>14</v>
      </c>
      <c r="D22" s="192" t="s">
        <v>210</v>
      </c>
      <c r="E22" s="33" t="s">
        <v>136</v>
      </c>
      <c r="F22" s="37" t="s">
        <v>112</v>
      </c>
      <c r="G22" s="35" t="s">
        <v>104</v>
      </c>
      <c r="H22" s="223" t="s">
        <v>211</v>
      </c>
      <c r="I22" s="36"/>
    </row>
    <row r="23" spans="2:9" s="79" customFormat="1" ht="26.25" thickBot="1" x14ac:dyDescent="0.25">
      <c r="C23" s="226">
        <v>15</v>
      </c>
      <c r="D23" s="227" t="s">
        <v>212</v>
      </c>
      <c r="E23" s="227" t="s">
        <v>213</v>
      </c>
      <c r="F23" s="228" t="s">
        <v>112</v>
      </c>
      <c r="G23" s="229" t="s">
        <v>104</v>
      </c>
      <c r="H23" s="230" t="s">
        <v>214</v>
      </c>
      <c r="I23" s="36"/>
    </row>
  </sheetData>
  <mergeCells count="5">
    <mergeCell ref="D4:G4"/>
    <mergeCell ref="D5:G5"/>
    <mergeCell ref="D1:G1"/>
    <mergeCell ref="D2:G2"/>
    <mergeCell ref="D3:G3"/>
  </mergeCells>
  <hyperlinks>
    <hyperlink ref="A5" location="Indice!A1" display="Indice" xr:uid="{97A32EED-1327-4DE9-AE38-61BD62C0859B}"/>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33"/>
  <sheetViews>
    <sheetView showGridLines="0" workbookViewId="0">
      <pane ySplit="6" topLeftCell="A10" activePane="bottomLeft" state="frozen"/>
      <selection pane="bottomLeft" activeCell="A19" sqref="A19"/>
    </sheetView>
  </sheetViews>
  <sheetFormatPr baseColWidth="10" defaultColWidth="14.42578125" defaultRowHeight="15.75" customHeight="1" x14ac:dyDescent="0.2"/>
  <cols>
    <col min="3" max="3" width="32.85546875" customWidth="1"/>
    <col min="5" max="5" width="16.5703125" customWidth="1"/>
    <col min="6" max="6" width="14.7109375" customWidth="1"/>
  </cols>
  <sheetData>
    <row r="1" spans="1:11" s="42" customFormat="1" ht="15" x14ac:dyDescent="0.2">
      <c r="C1" s="433" t="s">
        <v>0</v>
      </c>
      <c r="D1" s="433"/>
      <c r="E1" s="433"/>
      <c r="F1" s="433"/>
      <c r="G1" s="45"/>
    </row>
    <row r="2" spans="1:11" s="42" customFormat="1" ht="15" x14ac:dyDescent="0.25">
      <c r="A2" s="46"/>
      <c r="C2" s="396" t="s">
        <v>143</v>
      </c>
      <c r="D2" s="397"/>
      <c r="E2" s="397"/>
      <c r="F2" s="397"/>
    </row>
    <row r="3" spans="1:11" s="42" customFormat="1" ht="12.75" x14ac:dyDescent="0.2">
      <c r="A3" s="44"/>
      <c r="C3" s="396" t="s">
        <v>140</v>
      </c>
      <c r="D3" s="397"/>
      <c r="E3" s="397"/>
      <c r="F3" s="397"/>
    </row>
    <row r="4" spans="1:11" s="42" customFormat="1" ht="12.75" x14ac:dyDescent="0.2">
      <c r="A4" s="47"/>
      <c r="C4" s="396" t="s">
        <v>141</v>
      </c>
      <c r="D4" s="397"/>
      <c r="E4" s="397"/>
      <c r="F4" s="397"/>
    </row>
    <row r="5" spans="1:11" s="42" customFormat="1" ht="14.25" x14ac:dyDescent="0.2">
      <c r="A5" s="237" t="s">
        <v>1</v>
      </c>
      <c r="C5" s="396" t="s">
        <v>142</v>
      </c>
      <c r="D5" s="397"/>
      <c r="E5" s="397"/>
      <c r="F5" s="397"/>
    </row>
    <row r="6" spans="1:11" s="43" customFormat="1" ht="15.75" customHeight="1" thickBot="1" x14ac:dyDescent="0.25">
      <c r="A6" s="49" t="s">
        <v>14</v>
      </c>
    </row>
    <row r="7" spans="1:11" ht="14.1" customHeight="1" thickBot="1" x14ac:dyDescent="0.25">
      <c r="A7" s="2"/>
      <c r="C7" s="2"/>
      <c r="D7" s="2"/>
      <c r="E7" s="2"/>
      <c r="F7" s="2"/>
      <c r="G7" s="2"/>
    </row>
    <row r="8" spans="1:11" ht="12.75" x14ac:dyDescent="0.2">
      <c r="A8" s="2"/>
      <c r="C8" s="578" t="s">
        <v>216</v>
      </c>
      <c r="D8" s="535"/>
      <c r="E8" s="535"/>
      <c r="F8" s="536"/>
      <c r="G8" s="2"/>
      <c r="K8" s="200"/>
    </row>
    <row r="9" spans="1:11" ht="12.75" x14ac:dyDescent="0.2">
      <c r="C9" s="575" t="s">
        <v>217</v>
      </c>
      <c r="D9" s="576"/>
      <c r="E9" s="576"/>
      <c r="F9" s="577"/>
      <c r="K9" s="200"/>
    </row>
    <row r="10" spans="1:11" ht="12.75" x14ac:dyDescent="0.2">
      <c r="C10" s="560" t="s">
        <v>218</v>
      </c>
      <c r="D10" s="561"/>
      <c r="E10" s="561"/>
      <c r="F10" s="562"/>
      <c r="K10" s="200"/>
    </row>
    <row r="11" spans="1:11" ht="13.5" thickBot="1" x14ac:dyDescent="0.25">
      <c r="C11" s="563"/>
      <c r="D11" s="564"/>
      <c r="E11" s="564"/>
      <c r="F11" s="565"/>
    </row>
    <row r="12" spans="1:11" ht="13.5" thickBot="1" x14ac:dyDescent="0.25">
      <c r="C12" s="3"/>
      <c r="D12" s="3"/>
      <c r="E12" s="3"/>
      <c r="F12" s="3"/>
    </row>
    <row r="13" spans="1:11" ht="12.75" x14ac:dyDescent="0.2">
      <c r="C13" s="187" t="s">
        <v>86</v>
      </c>
      <c r="D13" s="188">
        <v>0.65</v>
      </c>
      <c r="E13" s="1"/>
    </row>
    <row r="14" spans="1:11" ht="12.75" x14ac:dyDescent="0.2">
      <c r="C14" s="177" t="s">
        <v>87</v>
      </c>
      <c r="D14" s="64">
        <f t="array" ref="D14">NPV(D13,E28:G28)+D28</f>
        <v>441448.27372457378</v>
      </c>
    </row>
    <row r="15" spans="1:11" ht="13.5" thickBot="1" x14ac:dyDescent="0.25">
      <c r="C15" s="179" t="s">
        <v>88</v>
      </c>
      <c r="D15" s="212">
        <f>IRR(D28:G28,D13)</f>
        <v>0.86002035461641557</v>
      </c>
    </row>
    <row r="16" spans="1:11" ht="12.75" x14ac:dyDescent="0.2">
      <c r="C16" s="10"/>
    </row>
    <row r="17" spans="3:7" ht="15.75" customHeight="1" thickBot="1" x14ac:dyDescent="0.25"/>
    <row r="18" spans="3:7" ht="13.5" thickBot="1" x14ac:dyDescent="0.25">
      <c r="C18" s="78"/>
      <c r="D18" s="70" t="s">
        <v>74</v>
      </c>
      <c r="E18" s="232" t="s">
        <v>24</v>
      </c>
      <c r="F18" s="232" t="s">
        <v>39</v>
      </c>
      <c r="G18" s="233" t="s">
        <v>40</v>
      </c>
    </row>
    <row r="19" spans="3:7" ht="12.75" x14ac:dyDescent="0.2">
      <c r="C19" s="235" t="s">
        <v>89</v>
      </c>
      <c r="D19" s="385"/>
      <c r="E19" s="234">
        <f>'Modelo de ingresos'!F25*0.98</f>
        <v>12644881.199999999</v>
      </c>
      <c r="F19" s="171">
        <f>'Modelo de ingresos'!I25</f>
        <v>27167660</v>
      </c>
      <c r="G19" s="172">
        <f>'Modelo de ingresos'!L25</f>
        <v>35114730</v>
      </c>
    </row>
    <row r="20" spans="3:7" ht="13.5" thickBot="1" x14ac:dyDescent="0.25">
      <c r="C20" s="236" t="s">
        <v>48</v>
      </c>
      <c r="D20" s="386"/>
      <c r="E20" s="8">
        <f>'Modelo de egresos'!D10</f>
        <v>6085000</v>
      </c>
      <c r="F20" s="8">
        <f>'Modelo de egresos'!E10</f>
        <v>7913000</v>
      </c>
      <c r="G20" s="64">
        <f>'Modelo de egresos'!F10</f>
        <v>8893400</v>
      </c>
    </row>
    <row r="21" spans="3:7" ht="12.75" x14ac:dyDescent="0.2">
      <c r="C21" s="236" t="s">
        <v>58</v>
      </c>
      <c r="D21" s="386"/>
      <c r="E21" s="234">
        <f>'Modelo de egresos'!D11*0.98</f>
        <v>864142.44</v>
      </c>
      <c r="F21" s="8">
        <f>'Modelo de egresos'!E11</f>
        <v>2718001.2</v>
      </c>
      <c r="G21" s="64">
        <f>'Modelo de egresos'!F11</f>
        <v>3588204.6</v>
      </c>
    </row>
    <row r="22" spans="3:7" ht="12.75" x14ac:dyDescent="0.2">
      <c r="C22" s="236" t="s">
        <v>9</v>
      </c>
      <c r="D22" s="386"/>
      <c r="E22" s="8">
        <f>'Modelo de egresos'!D12</f>
        <v>6037200</v>
      </c>
      <c r="F22" s="8">
        <f>'Modelo de egresos'!E12</f>
        <v>12592800</v>
      </c>
      <c r="G22" s="64">
        <f>'Modelo de egresos'!F12</f>
        <v>15674400</v>
      </c>
    </row>
    <row r="23" spans="3:7" ht="12.75" x14ac:dyDescent="0.2">
      <c r="C23" s="213" t="s">
        <v>90</v>
      </c>
      <c r="D23" s="387"/>
      <c r="E23" s="13">
        <f t="shared" ref="E23:G23" si="0">E19-E20-E21-E22</f>
        <v>-341461.24000000022</v>
      </c>
      <c r="F23" s="13">
        <f t="shared" si="0"/>
        <v>3943858.8000000007</v>
      </c>
      <c r="G23" s="178">
        <f t="shared" si="0"/>
        <v>6958725.3999999985</v>
      </c>
    </row>
    <row r="24" spans="3:7" ht="12.75" x14ac:dyDescent="0.2">
      <c r="C24" s="236" t="s">
        <v>91</v>
      </c>
      <c r="D24" s="386"/>
      <c r="E24" s="8">
        <f t="shared" ref="E24:G24" si="1">E19*0.03</f>
        <v>379346.43599999999</v>
      </c>
      <c r="F24" s="8">
        <f t="shared" si="1"/>
        <v>815029.79999999993</v>
      </c>
      <c r="G24" s="64">
        <f t="shared" si="1"/>
        <v>1053441.8999999999</v>
      </c>
    </row>
    <row r="25" spans="3:7" ht="12.75" x14ac:dyDescent="0.2">
      <c r="C25" s="236" t="s">
        <v>92</v>
      </c>
      <c r="D25" s="386"/>
      <c r="E25" s="12"/>
      <c r="F25" s="8">
        <f>(E23-E24-Amortización!F23)*0.35</f>
        <v>-292168.61660000007</v>
      </c>
      <c r="G25" s="64">
        <f>(F23-G24-Amortización!H23)*0.35</f>
        <v>847580.1950000003</v>
      </c>
    </row>
    <row r="26" spans="3:7" ht="12.75" x14ac:dyDescent="0.2">
      <c r="C26" s="213" t="s">
        <v>93</v>
      </c>
      <c r="D26" s="387"/>
      <c r="E26" s="13">
        <f>E23-E24</f>
        <v>-720807.67600000021</v>
      </c>
      <c r="F26" s="13">
        <f t="shared" ref="F26:G26" si="2">F23-F24-F25</f>
        <v>3420997.6166000012</v>
      </c>
      <c r="G26" s="178">
        <f t="shared" si="2"/>
        <v>5057703.3049999978</v>
      </c>
    </row>
    <row r="27" spans="3:7" ht="12.75" x14ac:dyDescent="0.2">
      <c r="C27" s="236" t="s">
        <v>96</v>
      </c>
      <c r="D27" s="122">
        <f>-'Modelo de inversion'!E46</f>
        <v>-963722.63636363635</v>
      </c>
      <c r="E27" s="8">
        <f>'Modelo de inversion'!G46</f>
        <v>223100</v>
      </c>
      <c r="F27" s="8">
        <f>'Modelo de inversion'!I46</f>
        <v>634399</v>
      </c>
      <c r="G27" s="64">
        <f>'Modelo de inversion'!K46</f>
        <v>773599</v>
      </c>
    </row>
    <row r="28" spans="3:7" ht="13.5" thickBot="1" x14ac:dyDescent="0.25">
      <c r="C28" s="57" t="s">
        <v>105</v>
      </c>
      <c r="D28" s="388">
        <f>D27</f>
        <v>-963722.63636363635</v>
      </c>
      <c r="E28" s="67">
        <f t="shared" ref="E28:G28" si="3">E26-E27</f>
        <v>-943907.67600000021</v>
      </c>
      <c r="F28" s="67">
        <f t="shared" si="3"/>
        <v>2786598.6166000012</v>
      </c>
      <c r="G28" s="68">
        <f t="shared" si="3"/>
        <v>4284104.3049999978</v>
      </c>
    </row>
    <row r="31" spans="3:7" ht="12.75" x14ac:dyDescent="0.2">
      <c r="C31" s="566" t="s">
        <v>220</v>
      </c>
      <c r="D31" s="567"/>
      <c r="E31" s="567"/>
      <c r="F31" s="567"/>
      <c r="G31" s="568"/>
    </row>
    <row r="32" spans="3:7" ht="12.75" x14ac:dyDescent="0.2">
      <c r="C32" s="569"/>
      <c r="D32" s="570"/>
      <c r="E32" s="570"/>
      <c r="F32" s="570"/>
      <c r="G32" s="571"/>
    </row>
    <row r="33" spans="3:7" ht="13.5" thickBot="1" x14ac:dyDescent="0.25">
      <c r="C33" s="572"/>
      <c r="D33" s="573"/>
      <c r="E33" s="573"/>
      <c r="F33" s="573"/>
      <c r="G33" s="574"/>
    </row>
  </sheetData>
  <mergeCells count="9">
    <mergeCell ref="C10:F11"/>
    <mergeCell ref="C31:G33"/>
    <mergeCell ref="C1:F1"/>
    <mergeCell ref="C4:F4"/>
    <mergeCell ref="C5:F5"/>
    <mergeCell ref="C2:F2"/>
    <mergeCell ref="C3:F3"/>
    <mergeCell ref="C9:F9"/>
    <mergeCell ref="C8:F8"/>
  </mergeCells>
  <hyperlinks>
    <hyperlink ref="A5" location="Indice!A1" display="Indice" xr:uid="{7CD354FA-D17E-4205-80F3-7976DC0A1D08}"/>
    <hyperlink ref="C20" location="'Costos fijos'!A1" display="Costos Fijos" xr:uid="{036FE458-8707-4B4D-9F3D-90A4FC1480F9}"/>
    <hyperlink ref="C21" location="'Costos variables'!A1" display="Costos Variables" xr:uid="{3C531D49-D25C-4B68-8083-10036431550E}"/>
    <hyperlink ref="C22" location="'Costos RRHH'!A1" display="Costos RRHH" xr:uid="{EBA9A824-A51D-4F9F-8ED3-D73A452D17C9}"/>
    <hyperlink ref="C19" location="'Modelo de ingresos'!A1" display="Ingresos" xr:uid="{FCD74A7D-96CD-47E1-9479-14C8EBE2A8E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33"/>
  <sheetViews>
    <sheetView showGridLines="0" workbookViewId="0">
      <pane ySplit="6" topLeftCell="A7" activePane="bottomLeft" state="frozen"/>
      <selection pane="bottomLeft" activeCell="A28" sqref="A28"/>
    </sheetView>
  </sheetViews>
  <sheetFormatPr baseColWidth="10" defaultColWidth="14.42578125" defaultRowHeight="15.75" customHeight="1" x14ac:dyDescent="0.2"/>
  <cols>
    <col min="3" max="3" width="35.5703125" customWidth="1"/>
  </cols>
  <sheetData>
    <row r="1" spans="1:7" s="42" customFormat="1" ht="15" x14ac:dyDescent="0.2">
      <c r="C1" s="433" t="s">
        <v>0</v>
      </c>
      <c r="D1" s="433"/>
      <c r="E1" s="433"/>
      <c r="F1" s="433"/>
      <c r="G1" s="45"/>
    </row>
    <row r="2" spans="1:7" s="42" customFormat="1" ht="15" x14ac:dyDescent="0.25">
      <c r="A2" s="46"/>
      <c r="C2" s="396" t="s">
        <v>143</v>
      </c>
      <c r="D2" s="397"/>
      <c r="E2" s="397"/>
      <c r="F2" s="397"/>
    </row>
    <row r="3" spans="1:7" s="42" customFormat="1" ht="12.75" x14ac:dyDescent="0.2">
      <c r="A3" s="44"/>
      <c r="C3" s="396" t="s">
        <v>140</v>
      </c>
      <c r="D3" s="397"/>
      <c r="E3" s="397"/>
      <c r="F3" s="397"/>
    </row>
    <row r="4" spans="1:7" s="42" customFormat="1" ht="12.75" x14ac:dyDescent="0.2">
      <c r="A4" s="47"/>
      <c r="C4" s="396" t="s">
        <v>141</v>
      </c>
      <c r="D4" s="397"/>
      <c r="E4" s="397"/>
      <c r="F4" s="397"/>
    </row>
    <row r="5" spans="1:7" s="42" customFormat="1" ht="14.25" x14ac:dyDescent="0.2">
      <c r="A5" s="237" t="s">
        <v>1</v>
      </c>
      <c r="C5" s="396" t="s">
        <v>142</v>
      </c>
      <c r="D5" s="397"/>
      <c r="E5" s="397"/>
      <c r="F5" s="397"/>
    </row>
    <row r="6" spans="1:7" s="43" customFormat="1" ht="15.75" customHeight="1" thickBot="1" x14ac:dyDescent="0.25">
      <c r="A6" s="49" t="s">
        <v>15</v>
      </c>
    </row>
    <row r="7" spans="1:7" ht="11.45" customHeight="1" thickBot="1" x14ac:dyDescent="0.25">
      <c r="A7" s="2"/>
      <c r="C7" s="2"/>
      <c r="D7" s="2"/>
      <c r="E7" s="2"/>
      <c r="F7" s="2"/>
      <c r="G7" s="2"/>
    </row>
    <row r="8" spans="1:7" ht="12.75" x14ac:dyDescent="0.2">
      <c r="A8" s="2"/>
      <c r="C8" s="578" t="s">
        <v>219</v>
      </c>
      <c r="D8" s="535"/>
      <c r="E8" s="536"/>
      <c r="F8" s="2"/>
      <c r="G8" s="2"/>
    </row>
    <row r="9" spans="1:7" ht="12.75" x14ac:dyDescent="0.2">
      <c r="C9" s="581" t="s">
        <v>120</v>
      </c>
      <c r="D9" s="576"/>
      <c r="E9" s="577"/>
    </row>
    <row r="10" spans="1:7" ht="12.75" x14ac:dyDescent="0.2">
      <c r="C10" s="579" t="s">
        <v>121</v>
      </c>
      <c r="D10" s="561"/>
      <c r="E10" s="562"/>
    </row>
    <row r="11" spans="1:7" ht="13.5" thickBot="1" x14ac:dyDescent="0.25">
      <c r="C11" s="563"/>
      <c r="D11" s="564"/>
      <c r="E11" s="565"/>
    </row>
    <row r="12" spans="1:7" ht="15.75" customHeight="1" thickBot="1" x14ac:dyDescent="0.25"/>
    <row r="13" spans="1:7" ht="12.75" x14ac:dyDescent="0.2">
      <c r="C13" s="187" t="s">
        <v>86</v>
      </c>
      <c r="D13" s="188">
        <v>0.65</v>
      </c>
    </row>
    <row r="14" spans="1:7" ht="12.75" x14ac:dyDescent="0.2">
      <c r="C14" s="177" t="s">
        <v>87</v>
      </c>
      <c r="D14" s="64">
        <f t="array" ref="D14">NPV(D13,E28:G28)+D28</f>
        <v>213741.76567326125</v>
      </c>
    </row>
    <row r="15" spans="1:7" ht="13.5" thickBot="1" x14ac:dyDescent="0.25">
      <c r="C15" s="179" t="s">
        <v>88</v>
      </c>
      <c r="D15" s="212">
        <f>IRR(D28:G28,D13)</f>
        <v>0.75354576419861319</v>
      </c>
    </row>
    <row r="16" spans="1:7" ht="12.75" x14ac:dyDescent="0.2">
      <c r="C16" s="10"/>
    </row>
    <row r="17" spans="3:7" ht="15.75" customHeight="1" thickBot="1" x14ac:dyDescent="0.25"/>
    <row r="18" spans="3:7" ht="13.5" thickBot="1" x14ac:dyDescent="0.25">
      <c r="C18" s="78"/>
      <c r="D18" s="70" t="s">
        <v>74</v>
      </c>
      <c r="E18" s="232" t="s">
        <v>24</v>
      </c>
      <c r="F18" s="232" t="s">
        <v>39</v>
      </c>
      <c r="G18" s="233" t="s">
        <v>40</v>
      </c>
    </row>
    <row r="19" spans="3:7" ht="12.75" x14ac:dyDescent="0.2">
      <c r="C19" s="235" t="s">
        <v>89</v>
      </c>
      <c r="D19" s="385"/>
      <c r="E19" s="171">
        <f>'Modelo de ingresos'!F25</f>
        <v>12902940</v>
      </c>
      <c r="F19" s="391">
        <f>'Modelo de ingresos'!I25*0.95</f>
        <v>25809277</v>
      </c>
      <c r="G19" s="172">
        <f>'Modelo de ingresos'!L25</f>
        <v>35114730</v>
      </c>
    </row>
    <row r="20" spans="3:7" ht="12.75" x14ac:dyDescent="0.2">
      <c r="C20" s="236" t="s">
        <v>48</v>
      </c>
      <c r="D20" s="386"/>
      <c r="E20" s="389">
        <f>'Modelo de egresos'!D10</f>
        <v>6085000</v>
      </c>
      <c r="F20" s="93">
        <f>'Modelo de egresos'!E10</f>
        <v>7913000</v>
      </c>
      <c r="G20" s="390">
        <f>'Modelo de egresos'!F10</f>
        <v>8893400</v>
      </c>
    </row>
    <row r="21" spans="3:7" ht="12.75" x14ac:dyDescent="0.2">
      <c r="C21" s="236" t="s">
        <v>58</v>
      </c>
      <c r="D21" s="386"/>
      <c r="E21" s="389">
        <f>'Modelo de egresos'!D11</f>
        <v>881778</v>
      </c>
      <c r="F21" s="393">
        <f>'Modelo de egresos'!E11*0.95</f>
        <v>2582101.14</v>
      </c>
      <c r="G21" s="390">
        <f>'Modelo de egresos'!F11</f>
        <v>3588204.6</v>
      </c>
    </row>
    <row r="22" spans="3:7" ht="12.75" x14ac:dyDescent="0.2">
      <c r="C22" s="236" t="s">
        <v>9</v>
      </c>
      <c r="D22" s="386"/>
      <c r="E22" s="389">
        <f>'Modelo de egresos'!D12</f>
        <v>6037200</v>
      </c>
      <c r="F22" s="93">
        <f>'Modelo de egresos'!E12</f>
        <v>12592800</v>
      </c>
      <c r="G22" s="390">
        <f>'Modelo de egresos'!F12</f>
        <v>15674400</v>
      </c>
    </row>
    <row r="23" spans="3:7" ht="12.75" x14ac:dyDescent="0.2">
      <c r="C23" s="213" t="s">
        <v>90</v>
      </c>
      <c r="D23" s="387"/>
      <c r="E23" s="13">
        <f t="shared" ref="E23:G23" si="0">E19-E20-E21-E22</f>
        <v>-101038</v>
      </c>
      <c r="F23" s="392">
        <f t="shared" si="0"/>
        <v>2721375.8599999994</v>
      </c>
      <c r="G23" s="178">
        <f t="shared" si="0"/>
        <v>6958725.3999999985</v>
      </c>
    </row>
    <row r="24" spans="3:7" ht="12.75" x14ac:dyDescent="0.2">
      <c r="C24" s="236" t="s">
        <v>91</v>
      </c>
      <c r="D24" s="386"/>
      <c r="E24" s="8">
        <f t="shared" ref="E24:G24" si="1">E19*0.03</f>
        <v>387088.2</v>
      </c>
      <c r="F24" s="8">
        <f t="shared" si="1"/>
        <v>774278.30999999994</v>
      </c>
      <c r="G24" s="64">
        <f t="shared" si="1"/>
        <v>1053441.8999999999</v>
      </c>
    </row>
    <row r="25" spans="3:7" ht="12.75" x14ac:dyDescent="0.2">
      <c r="C25" s="236" t="s">
        <v>92</v>
      </c>
      <c r="D25" s="386"/>
      <c r="E25" s="12"/>
      <c r="F25" s="8">
        <f>(E23-E24-Amortización!F23)*0.35</f>
        <v>-210730.09999999998</v>
      </c>
      <c r="G25" s="64">
        <f>(F23-G24-Amortización!H23)*0.35</f>
        <v>419711.16599999979</v>
      </c>
    </row>
    <row r="26" spans="3:7" ht="12.75" x14ac:dyDescent="0.2">
      <c r="C26" s="213" t="s">
        <v>93</v>
      </c>
      <c r="D26" s="387"/>
      <c r="E26" s="13">
        <f>E23-E24</f>
        <v>-488126.2</v>
      </c>
      <c r="F26" s="13">
        <f t="shared" ref="F26:G26" si="2">F23-F24-F25</f>
        <v>2157827.6499999994</v>
      </c>
      <c r="G26" s="178">
        <f t="shared" si="2"/>
        <v>5485572.3339999979</v>
      </c>
    </row>
    <row r="27" spans="3:7" ht="12.75" x14ac:dyDescent="0.2">
      <c r="C27" s="236" t="s">
        <v>96</v>
      </c>
      <c r="D27" s="122">
        <f>-'Modelo de inversion'!E46</f>
        <v>-963722.63636363635</v>
      </c>
      <c r="E27" s="8">
        <f>'Modelo de inversion'!G46</f>
        <v>223100</v>
      </c>
      <c r="F27" s="8">
        <f>'Modelo de inversion'!I46</f>
        <v>634399</v>
      </c>
      <c r="G27" s="64">
        <f>'Modelo de inversion'!K46</f>
        <v>773599</v>
      </c>
    </row>
    <row r="28" spans="3:7" ht="13.5" thickBot="1" x14ac:dyDescent="0.25">
      <c r="C28" s="57" t="s">
        <v>105</v>
      </c>
      <c r="D28" s="388">
        <f>D27</f>
        <v>-963722.63636363635</v>
      </c>
      <c r="E28" s="67">
        <f t="shared" ref="E28:G28" si="3">E26-E27</f>
        <v>-711226.2</v>
      </c>
      <c r="F28" s="67">
        <f t="shared" si="3"/>
        <v>1523428.6499999994</v>
      </c>
      <c r="G28" s="68">
        <f t="shared" si="3"/>
        <v>4711973.3339999979</v>
      </c>
    </row>
    <row r="31" spans="3:7" ht="12.75" x14ac:dyDescent="0.2">
      <c r="C31" s="580" t="s">
        <v>137</v>
      </c>
      <c r="D31" s="567"/>
      <c r="E31" s="567"/>
      <c r="F31" s="567"/>
      <c r="G31" s="568"/>
    </row>
    <row r="32" spans="3:7" ht="12.75" x14ac:dyDescent="0.2">
      <c r="C32" s="569"/>
      <c r="D32" s="570"/>
      <c r="E32" s="570"/>
      <c r="F32" s="570"/>
      <c r="G32" s="571"/>
    </row>
    <row r="33" spans="3:7" ht="13.5" thickBot="1" x14ac:dyDescent="0.25">
      <c r="C33" s="572"/>
      <c r="D33" s="573"/>
      <c r="E33" s="573"/>
      <c r="F33" s="573"/>
      <c r="G33" s="574"/>
    </row>
  </sheetData>
  <mergeCells count="9">
    <mergeCell ref="C10:E11"/>
    <mergeCell ref="C31:G33"/>
    <mergeCell ref="C1:F1"/>
    <mergeCell ref="C4:F4"/>
    <mergeCell ref="C5:F5"/>
    <mergeCell ref="C2:F2"/>
    <mergeCell ref="C3:F3"/>
    <mergeCell ref="C8:E8"/>
    <mergeCell ref="C9:E9"/>
  </mergeCells>
  <hyperlinks>
    <hyperlink ref="A5" location="Indice!A1" display="Indice" xr:uid="{EF4BD77E-EB9E-42FE-8021-846820ABA5E1}"/>
    <hyperlink ref="C20" location="'Costos fijos'!A1" display="Costos Fijos" xr:uid="{1F72D58E-B667-4F28-A0EB-8525F8151C80}"/>
    <hyperlink ref="C21" location="'Costos variables'!A1" display="Costos Variables" xr:uid="{3C0FD6C2-8BD7-4809-A9AC-D7C6B6C8E704}"/>
    <hyperlink ref="C22" location="'Costos RRHH'!A1" display="Costos RRHH" xr:uid="{9496771D-FCC7-41E2-B75D-09923D74880E}"/>
    <hyperlink ref="C19" location="'Modelo de ingresos'!A1" display="Ingresos" xr:uid="{E244051D-8713-4B44-83D4-4D274AFB34B5}"/>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33"/>
  <sheetViews>
    <sheetView showGridLines="0" workbookViewId="0">
      <pane ySplit="6" topLeftCell="A7" activePane="bottomLeft" state="frozen"/>
      <selection pane="bottomLeft" activeCell="A7" sqref="A7"/>
    </sheetView>
  </sheetViews>
  <sheetFormatPr baseColWidth="10" defaultColWidth="14.42578125" defaultRowHeight="15.75" customHeight="1" x14ac:dyDescent="0.2"/>
  <cols>
    <col min="3" max="3" width="32.85546875" customWidth="1"/>
    <col min="5" max="5" width="15" customWidth="1"/>
  </cols>
  <sheetData>
    <row r="1" spans="1:7" s="42" customFormat="1" ht="15" x14ac:dyDescent="0.2">
      <c r="C1" s="433" t="s">
        <v>0</v>
      </c>
      <c r="D1" s="433"/>
      <c r="E1" s="433"/>
      <c r="F1" s="433"/>
      <c r="G1" s="45"/>
    </row>
    <row r="2" spans="1:7" s="42" customFormat="1" ht="15" x14ac:dyDescent="0.25">
      <c r="A2" s="46"/>
      <c r="C2" s="396" t="s">
        <v>143</v>
      </c>
      <c r="D2" s="397"/>
      <c r="E2" s="397"/>
      <c r="F2" s="397"/>
    </row>
    <row r="3" spans="1:7" s="42" customFormat="1" ht="12.75" x14ac:dyDescent="0.2">
      <c r="A3" s="44"/>
      <c r="C3" s="396" t="s">
        <v>140</v>
      </c>
      <c r="D3" s="397"/>
      <c r="E3" s="397"/>
      <c r="F3" s="397"/>
    </row>
    <row r="4" spans="1:7" s="42" customFormat="1" ht="12.75" x14ac:dyDescent="0.2">
      <c r="A4" s="47"/>
      <c r="C4" s="396" t="s">
        <v>141</v>
      </c>
      <c r="D4" s="397"/>
      <c r="E4" s="397"/>
      <c r="F4" s="397"/>
    </row>
    <row r="5" spans="1:7" s="42" customFormat="1" ht="14.25" x14ac:dyDescent="0.2">
      <c r="A5" s="237" t="s">
        <v>1</v>
      </c>
      <c r="C5" s="396" t="s">
        <v>142</v>
      </c>
      <c r="D5" s="397"/>
      <c r="E5" s="397"/>
      <c r="F5" s="397"/>
    </row>
    <row r="6" spans="1:7" s="43" customFormat="1" ht="15.75" customHeight="1" thickBot="1" x14ac:dyDescent="0.25">
      <c r="A6" s="49" t="s">
        <v>16</v>
      </c>
    </row>
    <row r="7" spans="1:7" ht="12" customHeight="1" thickBot="1" x14ac:dyDescent="0.25">
      <c r="A7" s="1"/>
      <c r="C7" s="2"/>
      <c r="D7" s="2"/>
      <c r="E7" s="2"/>
    </row>
    <row r="8" spans="1:7" ht="12.75" x14ac:dyDescent="0.2">
      <c r="A8" s="1"/>
      <c r="C8" s="578" t="s">
        <v>221</v>
      </c>
      <c r="D8" s="535"/>
      <c r="E8" s="536"/>
    </row>
    <row r="9" spans="1:7" ht="12.75" x14ac:dyDescent="0.2">
      <c r="C9" s="583" t="s">
        <v>102</v>
      </c>
      <c r="D9" s="576"/>
      <c r="E9" s="577"/>
    </row>
    <row r="10" spans="1:7" ht="12.75" x14ac:dyDescent="0.2">
      <c r="C10" s="582" t="s">
        <v>274</v>
      </c>
      <c r="D10" s="561"/>
      <c r="E10" s="562"/>
    </row>
    <row r="11" spans="1:7" ht="13.5" thickBot="1" x14ac:dyDescent="0.25">
      <c r="C11" s="563"/>
      <c r="D11" s="564"/>
      <c r="E11" s="565"/>
    </row>
    <row r="12" spans="1:7" ht="15.75" customHeight="1" thickBot="1" x14ac:dyDescent="0.25"/>
    <row r="13" spans="1:7" ht="12.75" x14ac:dyDescent="0.2">
      <c r="C13" s="187" t="s">
        <v>86</v>
      </c>
      <c r="D13" s="188">
        <v>0.65</v>
      </c>
    </row>
    <row r="14" spans="1:7" ht="12.75" x14ac:dyDescent="0.2">
      <c r="C14" s="177" t="s">
        <v>87</v>
      </c>
      <c r="D14" s="64">
        <f t="array" ref="D14">NPV(D13,E28:G28)+D28</f>
        <v>-465785.65987700684</v>
      </c>
    </row>
    <row r="15" spans="1:7" ht="13.5" thickBot="1" x14ac:dyDescent="0.25">
      <c r="C15" s="179" t="s">
        <v>88</v>
      </c>
      <c r="D15" s="212">
        <f>IRR(D28:G28,D13)</f>
        <v>0.27631234467389376</v>
      </c>
    </row>
    <row r="16" spans="1:7" ht="12.75" x14ac:dyDescent="0.2">
      <c r="C16" s="10"/>
    </row>
    <row r="17" spans="3:7" ht="15.75" customHeight="1" thickBot="1" x14ac:dyDescent="0.25"/>
    <row r="18" spans="3:7" ht="13.5" thickBot="1" x14ac:dyDescent="0.25">
      <c r="C18" s="78"/>
      <c r="D18" s="70" t="s">
        <v>74</v>
      </c>
      <c r="E18" s="232" t="s">
        <v>24</v>
      </c>
      <c r="F18" s="232" t="s">
        <v>39</v>
      </c>
      <c r="G18" s="233" t="s">
        <v>40</v>
      </c>
    </row>
    <row r="19" spans="3:7" ht="12.75" x14ac:dyDescent="0.2">
      <c r="C19" s="235" t="s">
        <v>89</v>
      </c>
      <c r="D19" s="385"/>
      <c r="E19" s="171">
        <f>'Modelo de ingresos'!F25</f>
        <v>12902940</v>
      </c>
      <c r="F19" s="171">
        <f>'Modelo de ingresos'!I25</f>
        <v>27167660</v>
      </c>
      <c r="G19" s="172">
        <f>'Modelo de ingresos'!L25</f>
        <v>35114730</v>
      </c>
    </row>
    <row r="20" spans="3:7" ht="12.75" x14ac:dyDescent="0.2">
      <c r="C20" s="236" t="s">
        <v>48</v>
      </c>
      <c r="D20" s="386"/>
      <c r="E20" s="8">
        <f>'Modelo de egresos'!D10</f>
        <v>6085000</v>
      </c>
      <c r="F20" s="8">
        <f>'Modelo de egresos'!E10</f>
        <v>7913000</v>
      </c>
      <c r="G20" s="231">
        <f>'Modelo de egresos'!F10*1.25</f>
        <v>11116750</v>
      </c>
    </row>
    <row r="21" spans="3:7" ht="12.75" x14ac:dyDescent="0.2">
      <c r="C21" s="236" t="s">
        <v>58</v>
      </c>
      <c r="D21" s="386"/>
      <c r="E21" s="8">
        <f>'Modelo de egresos'!D11</f>
        <v>881778</v>
      </c>
      <c r="F21" s="8">
        <f>'Modelo de egresos'!E11</f>
        <v>2718001.2</v>
      </c>
      <c r="G21" s="64">
        <f>'Modelo de egresos'!F11</f>
        <v>3588204.6</v>
      </c>
    </row>
    <row r="22" spans="3:7" ht="12.75" x14ac:dyDescent="0.2">
      <c r="C22" s="236" t="s">
        <v>9</v>
      </c>
      <c r="D22" s="386"/>
      <c r="E22" s="8">
        <f>'Modelo de egresos'!D12</f>
        <v>6037200</v>
      </c>
      <c r="F22" s="8">
        <f>'Modelo de egresos'!E12</f>
        <v>12592800</v>
      </c>
      <c r="G22" s="231">
        <f>'Modelo de egresos'!F12*1.15</f>
        <v>18025560</v>
      </c>
    </row>
    <row r="23" spans="3:7" ht="12.75" x14ac:dyDescent="0.2">
      <c r="C23" s="213" t="s">
        <v>90</v>
      </c>
      <c r="D23" s="387"/>
      <c r="E23" s="13">
        <f t="shared" ref="E23:G23" si="0">E19-E20-E21-E22</f>
        <v>-101038</v>
      </c>
      <c r="F23" s="13">
        <f t="shared" si="0"/>
        <v>3943858.8000000007</v>
      </c>
      <c r="G23" s="178">
        <f t="shared" si="0"/>
        <v>2384215.3999999985</v>
      </c>
    </row>
    <row r="24" spans="3:7" ht="12.75" x14ac:dyDescent="0.2">
      <c r="C24" s="236" t="s">
        <v>91</v>
      </c>
      <c r="D24" s="386"/>
      <c r="E24" s="8">
        <f t="shared" ref="E24:G24" si="1">E19*0.03</f>
        <v>387088.2</v>
      </c>
      <c r="F24" s="8">
        <f t="shared" si="1"/>
        <v>815029.79999999993</v>
      </c>
      <c r="G24" s="64">
        <f t="shared" si="1"/>
        <v>1053441.8999999999</v>
      </c>
    </row>
    <row r="25" spans="3:7" ht="12.75" x14ac:dyDescent="0.2">
      <c r="C25" s="236" t="s">
        <v>92</v>
      </c>
      <c r="D25" s="386"/>
      <c r="E25" s="12"/>
      <c r="F25" s="8">
        <f>(E23-E24-Amortización!F23)*0.35</f>
        <v>-210730.09999999998</v>
      </c>
      <c r="G25" s="64">
        <f>(F23-G24-Amortización!H23)*0.35</f>
        <v>847580.1950000003</v>
      </c>
    </row>
    <row r="26" spans="3:7" ht="12.75" x14ac:dyDescent="0.2">
      <c r="C26" s="213" t="s">
        <v>93</v>
      </c>
      <c r="D26" s="387"/>
      <c r="E26" s="13">
        <f>E23-E24</f>
        <v>-488126.2</v>
      </c>
      <c r="F26" s="13">
        <f t="shared" ref="F26:G26" si="2">F23-F24-F25</f>
        <v>3339559.100000001</v>
      </c>
      <c r="G26" s="178">
        <f t="shared" si="2"/>
        <v>483193.3049999983</v>
      </c>
    </row>
    <row r="27" spans="3:7" ht="12.75" x14ac:dyDescent="0.2">
      <c r="C27" s="236" t="s">
        <v>96</v>
      </c>
      <c r="D27" s="122">
        <f>-'Modelo de inversion'!E46</f>
        <v>-963722.63636363635</v>
      </c>
      <c r="E27" s="8">
        <f>'Modelo de inversion'!G46</f>
        <v>223100</v>
      </c>
      <c r="F27" s="8">
        <f>'Modelo de inversion'!I46</f>
        <v>634399</v>
      </c>
      <c r="G27" s="64">
        <f>'Modelo de inversion'!K46</f>
        <v>773599</v>
      </c>
    </row>
    <row r="28" spans="3:7" ht="13.5" thickBot="1" x14ac:dyDescent="0.25">
      <c r="C28" s="57" t="s">
        <v>105</v>
      </c>
      <c r="D28" s="388">
        <f>D27</f>
        <v>-963722.63636363635</v>
      </c>
      <c r="E28" s="67">
        <f t="shared" ref="E28:G28" si="3">E26-E27</f>
        <v>-711226.2</v>
      </c>
      <c r="F28" s="67">
        <f t="shared" si="3"/>
        <v>2705160.100000001</v>
      </c>
      <c r="G28" s="68">
        <f t="shared" si="3"/>
        <v>-290405.6950000017</v>
      </c>
    </row>
    <row r="31" spans="3:7" ht="12.75" x14ac:dyDescent="0.2">
      <c r="C31" s="580" t="s">
        <v>275</v>
      </c>
      <c r="D31" s="567"/>
      <c r="E31" s="567"/>
      <c r="F31" s="567"/>
      <c r="G31" s="568"/>
    </row>
    <row r="32" spans="3:7" ht="12.75" x14ac:dyDescent="0.2">
      <c r="C32" s="569"/>
      <c r="D32" s="570"/>
      <c r="E32" s="570"/>
      <c r="F32" s="570"/>
      <c r="G32" s="571"/>
    </row>
    <row r="33" spans="3:7" ht="13.5" thickBot="1" x14ac:dyDescent="0.25">
      <c r="C33" s="572"/>
      <c r="D33" s="573"/>
      <c r="E33" s="573"/>
      <c r="F33" s="573"/>
      <c r="G33" s="574"/>
    </row>
  </sheetData>
  <mergeCells count="9">
    <mergeCell ref="C10:E11"/>
    <mergeCell ref="C31:G33"/>
    <mergeCell ref="C1:F1"/>
    <mergeCell ref="C4:F4"/>
    <mergeCell ref="C5:F5"/>
    <mergeCell ref="C2:F2"/>
    <mergeCell ref="C3:F3"/>
    <mergeCell ref="C8:E8"/>
    <mergeCell ref="C9:E9"/>
  </mergeCells>
  <hyperlinks>
    <hyperlink ref="A5" location="Indice!A1" display="Indice" xr:uid="{FCD5A2D7-D8E8-4DA9-923F-F099BED4FA47}"/>
    <hyperlink ref="C20" location="'Costos fijos'!A1" display="Costos Fijos" xr:uid="{111851D4-8B6E-4485-B33C-12F32A0106DF}"/>
    <hyperlink ref="C21" location="'Costos variables'!A1" display="Costos Variables" xr:uid="{0C10689F-3EB8-464C-A24C-86478719BD93}"/>
    <hyperlink ref="C22" location="'Costos RRHH'!A1" display="Costos RRHH" xr:uid="{6B26010C-6414-401A-972F-06517C7BCD85}"/>
    <hyperlink ref="C19" location="'Modelo de ingresos'!A1" display="Ingresos" xr:uid="{D888D35F-7524-44C3-8D52-FC5080F329E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34"/>
  <sheetViews>
    <sheetView showGridLines="0" workbookViewId="0">
      <pane ySplit="6" topLeftCell="A7" activePane="bottomLeft" state="frozen"/>
      <selection pane="bottomLeft" activeCell="A5" sqref="A5"/>
    </sheetView>
  </sheetViews>
  <sheetFormatPr baseColWidth="10" defaultColWidth="14.42578125" defaultRowHeight="15.75" customHeight="1" x14ac:dyDescent="0.2"/>
  <cols>
    <col min="1" max="1" width="15.140625" bestFit="1" customWidth="1"/>
    <col min="3" max="3" width="32.85546875" customWidth="1"/>
  </cols>
  <sheetData>
    <row r="1" spans="1:7" s="42" customFormat="1" ht="15" x14ac:dyDescent="0.2">
      <c r="C1" s="433" t="s">
        <v>0</v>
      </c>
      <c r="D1" s="433"/>
      <c r="E1" s="433"/>
      <c r="F1" s="433"/>
      <c r="G1" s="45"/>
    </row>
    <row r="2" spans="1:7" s="42" customFormat="1" ht="15" x14ac:dyDescent="0.25">
      <c r="A2" s="46"/>
      <c r="C2" s="396" t="s">
        <v>143</v>
      </c>
      <c r="D2" s="397"/>
      <c r="E2" s="397"/>
      <c r="F2" s="397"/>
    </row>
    <row r="3" spans="1:7" s="42" customFormat="1" ht="12.75" x14ac:dyDescent="0.2">
      <c r="A3" s="44"/>
      <c r="C3" s="396" t="s">
        <v>140</v>
      </c>
      <c r="D3" s="397"/>
      <c r="E3" s="397"/>
      <c r="F3" s="397"/>
    </row>
    <row r="4" spans="1:7" s="42" customFormat="1" ht="12.75" x14ac:dyDescent="0.2">
      <c r="A4" s="47"/>
      <c r="C4" s="396" t="s">
        <v>141</v>
      </c>
      <c r="D4" s="397"/>
      <c r="E4" s="397"/>
      <c r="F4" s="397"/>
    </row>
    <row r="5" spans="1:7" s="42" customFormat="1" ht="14.25" x14ac:dyDescent="0.2">
      <c r="A5" s="237" t="s">
        <v>1</v>
      </c>
      <c r="C5" s="396" t="s">
        <v>142</v>
      </c>
      <c r="D5" s="397"/>
      <c r="E5" s="397"/>
      <c r="F5" s="397"/>
    </row>
    <row r="6" spans="1:7" s="43" customFormat="1" ht="15.75" customHeight="1" thickBot="1" x14ac:dyDescent="0.25">
      <c r="A6" s="49" t="s">
        <v>144</v>
      </c>
    </row>
    <row r="7" spans="1:7" ht="14.45" customHeight="1" thickBot="1" x14ac:dyDescent="0.25">
      <c r="A7" s="2"/>
      <c r="C7" s="2"/>
      <c r="D7" s="2"/>
      <c r="E7" s="2"/>
    </row>
    <row r="8" spans="1:7" ht="12.75" x14ac:dyDescent="0.2">
      <c r="A8" s="2"/>
      <c r="C8" s="548" t="s">
        <v>138</v>
      </c>
      <c r="D8" s="535"/>
      <c r="E8" s="536"/>
    </row>
    <row r="9" spans="1:7" ht="12.75" x14ac:dyDescent="0.2">
      <c r="C9" s="583" t="s">
        <v>102</v>
      </c>
      <c r="D9" s="576"/>
      <c r="E9" s="577"/>
    </row>
    <row r="10" spans="1:7" ht="12.75" x14ac:dyDescent="0.2">
      <c r="C10" s="582" t="s">
        <v>274</v>
      </c>
      <c r="D10" s="561"/>
      <c r="E10" s="562"/>
    </row>
    <row r="11" spans="1:7" ht="13.5" thickBot="1" x14ac:dyDescent="0.25">
      <c r="C11" s="563"/>
      <c r="D11" s="564"/>
      <c r="E11" s="565"/>
    </row>
    <row r="13" spans="1:7" ht="15.75" customHeight="1" thickBot="1" x14ac:dyDescent="0.25"/>
    <row r="14" spans="1:7" ht="12.75" x14ac:dyDescent="0.2">
      <c r="C14" s="187" t="s">
        <v>86</v>
      </c>
      <c r="D14" s="188">
        <v>0.65</v>
      </c>
    </row>
    <row r="15" spans="1:7" ht="12.75" x14ac:dyDescent="0.2">
      <c r="C15" s="177" t="s">
        <v>87</v>
      </c>
      <c r="D15" s="64">
        <f t="array" ref="D15">NPV(D14,E29:G29)+D29</f>
        <v>300544.04299190256</v>
      </c>
    </row>
    <row r="16" spans="1:7" ht="13.5" thickBot="1" x14ac:dyDescent="0.25">
      <c r="C16" s="179" t="s">
        <v>88</v>
      </c>
      <c r="D16" s="212">
        <f>IRR(D29:G29,D14)</f>
        <v>0.81039696922836657</v>
      </c>
    </row>
    <row r="17" spans="3:7" ht="12.75" x14ac:dyDescent="0.2">
      <c r="C17" s="10"/>
    </row>
    <row r="18" spans="3:7" ht="15.75" customHeight="1" thickBot="1" x14ac:dyDescent="0.25"/>
    <row r="19" spans="3:7" ht="13.5" thickBot="1" x14ac:dyDescent="0.25">
      <c r="C19" s="78"/>
      <c r="D19" s="70" t="s">
        <v>74</v>
      </c>
      <c r="E19" s="232" t="s">
        <v>24</v>
      </c>
      <c r="F19" s="232" t="s">
        <v>39</v>
      </c>
      <c r="G19" s="233" t="s">
        <v>40</v>
      </c>
    </row>
    <row r="20" spans="3:7" ht="12.75" x14ac:dyDescent="0.2">
      <c r="C20" s="235" t="s">
        <v>89</v>
      </c>
      <c r="D20" s="385"/>
      <c r="E20" s="171">
        <f>'Modelo de ingresos'!F25</f>
        <v>12902940</v>
      </c>
      <c r="F20" s="171">
        <f>'Modelo de ingresos'!I25</f>
        <v>27167660</v>
      </c>
      <c r="G20" s="243">
        <f>'Modelo de ingresos'!L25*1.1</f>
        <v>38626203</v>
      </c>
    </row>
    <row r="21" spans="3:7" ht="12.75" x14ac:dyDescent="0.2">
      <c r="C21" s="236" t="s">
        <v>48</v>
      </c>
      <c r="D21" s="386"/>
      <c r="E21" s="8">
        <f>'Modelo de egresos'!D10</f>
        <v>6085000</v>
      </c>
      <c r="F21" s="8">
        <f>'Modelo de egresos'!E10</f>
        <v>7913000</v>
      </c>
      <c r="G21" s="231">
        <f>('Modelo de egresos'!F10*1.2)+(('Costos fijos'!E16)*0.3)</f>
        <v>10758480</v>
      </c>
    </row>
    <row r="22" spans="3:7" ht="12.75" x14ac:dyDescent="0.2">
      <c r="C22" s="236" t="s">
        <v>58</v>
      </c>
      <c r="D22" s="386"/>
      <c r="E22" s="8">
        <f>'Modelo de egresos'!D11</f>
        <v>881778</v>
      </c>
      <c r="F22" s="8">
        <f>'Modelo de egresos'!E11</f>
        <v>2718001.2</v>
      </c>
      <c r="G22" s="231">
        <f>'Modelo de egresos'!F11*1.1</f>
        <v>3947025.0600000005</v>
      </c>
    </row>
    <row r="23" spans="3:7" ht="12.75" x14ac:dyDescent="0.2">
      <c r="C23" s="236" t="s">
        <v>9</v>
      </c>
      <c r="D23" s="386"/>
      <c r="E23" s="8">
        <f>'Modelo de egresos'!D12</f>
        <v>6037200</v>
      </c>
      <c r="F23" s="8">
        <f>'Modelo de egresos'!E12</f>
        <v>12592800</v>
      </c>
      <c r="G23" s="231">
        <f>('Modelo de egresos'!F12*1.15)</f>
        <v>18025560</v>
      </c>
    </row>
    <row r="24" spans="3:7" ht="12.75" x14ac:dyDescent="0.2">
      <c r="C24" s="213" t="s">
        <v>90</v>
      </c>
      <c r="D24" s="387"/>
      <c r="E24" s="13">
        <f t="shared" ref="E24:G24" si="0">E20-E21-E22-E23</f>
        <v>-101038</v>
      </c>
      <c r="F24" s="13">
        <f t="shared" si="0"/>
        <v>3943858.8000000007</v>
      </c>
      <c r="G24" s="178">
        <f t="shared" si="0"/>
        <v>5895137.9399999976</v>
      </c>
    </row>
    <row r="25" spans="3:7" ht="12.75" x14ac:dyDescent="0.2">
      <c r="C25" s="236" t="s">
        <v>91</v>
      </c>
      <c r="D25" s="386"/>
      <c r="E25" s="8">
        <f t="shared" ref="E25:G25" si="1">E20*0.03</f>
        <v>387088.2</v>
      </c>
      <c r="F25" s="8">
        <f t="shared" si="1"/>
        <v>815029.79999999993</v>
      </c>
      <c r="G25" s="64">
        <f t="shared" si="1"/>
        <v>1158786.0899999999</v>
      </c>
    </row>
    <row r="26" spans="3:7" ht="12.75" x14ac:dyDescent="0.2">
      <c r="C26" s="236" t="s">
        <v>92</v>
      </c>
      <c r="D26" s="386"/>
      <c r="E26" s="12"/>
      <c r="F26" s="8">
        <f>(E24-E25-Amortización!F23)*0.35</f>
        <v>-210730.09999999998</v>
      </c>
      <c r="G26" s="64">
        <f>(F24-G25-Amortización!H23)*0.35</f>
        <v>810709.7285000002</v>
      </c>
    </row>
    <row r="27" spans="3:7" ht="12.75" x14ac:dyDescent="0.2">
      <c r="C27" s="213" t="s">
        <v>93</v>
      </c>
      <c r="D27" s="387"/>
      <c r="E27" s="13">
        <f>E24-E25</f>
        <v>-488126.2</v>
      </c>
      <c r="F27" s="13">
        <f t="shared" ref="F27:G27" si="2">F24-F25-F26</f>
        <v>3339559.100000001</v>
      </c>
      <c r="G27" s="178">
        <f t="shared" si="2"/>
        <v>3925642.1214999976</v>
      </c>
    </row>
    <row r="28" spans="3:7" ht="12.75" x14ac:dyDescent="0.2">
      <c r="C28" s="236" t="s">
        <v>96</v>
      </c>
      <c r="D28" s="122">
        <f>-'Modelo de inversion'!E46</f>
        <v>-963722.63636363635</v>
      </c>
      <c r="E28" s="8">
        <f>'Modelo de inversion'!G46</f>
        <v>223100</v>
      </c>
      <c r="F28" s="8">
        <f>'Modelo de inversion'!I46</f>
        <v>634399</v>
      </c>
      <c r="G28" s="64">
        <f>'Modelo de inversion'!K46</f>
        <v>773599</v>
      </c>
    </row>
    <row r="29" spans="3:7" ht="13.5" thickBot="1" x14ac:dyDescent="0.25">
      <c r="C29" s="57" t="s">
        <v>105</v>
      </c>
      <c r="D29" s="388">
        <f>D28</f>
        <v>-963722.63636363635</v>
      </c>
      <c r="E29" s="67">
        <f t="shared" ref="E29:G29" si="3">E27-E28</f>
        <v>-711226.2</v>
      </c>
      <c r="F29" s="67">
        <f t="shared" si="3"/>
        <v>2705160.100000001</v>
      </c>
      <c r="G29" s="68">
        <f t="shared" si="3"/>
        <v>3152043.1214999976</v>
      </c>
    </row>
    <row r="32" spans="3:7" ht="12.75" x14ac:dyDescent="0.2">
      <c r="C32" s="580" t="s">
        <v>276</v>
      </c>
      <c r="D32" s="567"/>
      <c r="E32" s="567"/>
      <c r="F32" s="567"/>
      <c r="G32" s="568"/>
    </row>
    <row r="33" spans="3:7" ht="12.75" x14ac:dyDescent="0.2">
      <c r="C33" s="569"/>
      <c r="D33" s="570"/>
      <c r="E33" s="570"/>
      <c r="F33" s="570"/>
      <c r="G33" s="571"/>
    </row>
    <row r="34" spans="3:7" ht="13.5" thickBot="1" x14ac:dyDescent="0.25">
      <c r="C34" s="572"/>
      <c r="D34" s="573"/>
      <c r="E34" s="573"/>
      <c r="F34" s="573"/>
      <c r="G34" s="574"/>
    </row>
  </sheetData>
  <mergeCells count="9">
    <mergeCell ref="C10:E11"/>
    <mergeCell ref="C32:G34"/>
    <mergeCell ref="C1:F1"/>
    <mergeCell ref="C4:F4"/>
    <mergeCell ref="C5:F5"/>
    <mergeCell ref="C2:F2"/>
    <mergeCell ref="C3:F3"/>
    <mergeCell ref="C8:E8"/>
    <mergeCell ref="C9:E9"/>
  </mergeCells>
  <hyperlinks>
    <hyperlink ref="A5" location="Indice!A1" display="Indice" xr:uid="{D24FF85D-91A8-405B-BEA1-47139F97BFF8}"/>
    <hyperlink ref="C21" location="'Costos fijos'!A1" display="Costos Fijos" xr:uid="{687F8550-B609-4D8B-9563-B4BA950359FC}"/>
    <hyperlink ref="C22" location="'Costos variables'!A1" display="Costos Variables" xr:uid="{1189E03A-0B59-47FB-8387-BAA4059A65FD}"/>
    <hyperlink ref="C23" location="'Costos RRHH'!A1" display="Costos RRHH" xr:uid="{CE044DE9-04A2-424F-9CCE-55B6BE72A2E4}"/>
    <hyperlink ref="C20" location="'Modelo de ingresos'!A1" display="Ingresos" xr:uid="{AED1B26A-6EE7-402B-BF31-86CF0B3A67FD}"/>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Indice</vt:lpstr>
      <vt:lpstr>Hipótesis</vt:lpstr>
      <vt:lpstr>Proyección de Ingresos</vt:lpstr>
      <vt:lpstr>Modelo de ingresos</vt:lpstr>
      <vt:lpstr>Modelo de egresos</vt:lpstr>
      <vt:lpstr>Costos fijos</vt:lpstr>
      <vt:lpstr>Costos variables</vt:lpstr>
      <vt:lpstr>Costos RRHH</vt:lpstr>
      <vt:lpstr>Modelo de inversion</vt:lpstr>
      <vt:lpstr>Amortización</vt:lpstr>
      <vt:lpstr>Presupuesto financiero</vt:lpstr>
      <vt:lpstr>Matriz de riesgo</vt:lpstr>
      <vt:lpstr>Escenario 1</vt:lpstr>
      <vt:lpstr>Escenario 2</vt:lpstr>
      <vt:lpstr>Escenario 3</vt:lpstr>
      <vt:lpstr>Plan cont. Esc.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Prado</cp:lastModifiedBy>
  <cp:lastPrinted>2019-09-10T22:26:46Z</cp:lastPrinted>
  <dcterms:modified xsi:type="dcterms:W3CDTF">2019-11-25T02:20:52Z</dcterms:modified>
</cp:coreProperties>
</file>