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3.xml" ContentType="application/vnd.openxmlformats-officedocument.spreadsheetml.comments+xml"/>
  <Override PartName="/xl/drawings/drawing7.xml" ContentType="application/vnd.openxmlformats-officedocument.drawing+xml"/>
  <Override PartName="/xl/comments4.xml" ContentType="application/vnd.openxmlformats-officedocument.spreadsheetml.comments+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pradobr\Desktop\TFI\"/>
    </mc:Choice>
  </mc:AlternateContent>
  <xr:revisionPtr revIDLastSave="0" documentId="13_ncr:1_{427E83E7-3F83-40D0-BA0F-FE4993EAF221}" xr6:coauthVersionLast="41" xr6:coauthVersionMax="43" xr10:uidLastSave="{00000000-0000-0000-0000-000000000000}"/>
  <bookViews>
    <workbookView xWindow="-110" yWindow="-110" windowWidth="19420" windowHeight="10420" tabRatio="702" xr2:uid="{00000000-000D-0000-FFFF-FFFF00000000}"/>
  </bookViews>
  <sheets>
    <sheet name="Indice" sheetId="1" r:id="rId1"/>
    <sheet name="Hipótesis" sheetId="19" r:id="rId2"/>
    <sheet name="Proyección de Ingresos" sheetId="18" r:id="rId3"/>
    <sheet name="Modelo de ingresos" sheetId="4" r:id="rId4"/>
    <sheet name="Modelo de egresos" sheetId="5" r:id="rId5"/>
    <sheet name="Costos fijos" sheetId="6" r:id="rId6"/>
    <sheet name="Costos variables" sheetId="7" r:id="rId7"/>
    <sheet name="Costos RRHH" sheetId="8" r:id="rId8"/>
    <sheet name="Modelo de inversion" sheetId="9" r:id="rId9"/>
    <sheet name="Amortización" sheetId="10" r:id="rId10"/>
    <sheet name="Presupuesto financiero" sheetId="11" r:id="rId11"/>
    <sheet name="Matriz de riesgo" sheetId="12" r:id="rId12"/>
    <sheet name="Escenario 1" sheetId="13" r:id="rId13"/>
    <sheet name="Escenario 2" sheetId="14" r:id="rId14"/>
    <sheet name="Escenario 3" sheetId="15" r:id="rId15"/>
    <sheet name="Plan cont. Esc. 3" sheetId="16" r:id="rId16"/>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21" i="16" l="1"/>
  <c r="H23" i="16"/>
  <c r="H22" i="16"/>
  <c r="G22" i="16"/>
  <c r="G23" i="16"/>
  <c r="F22" i="16"/>
  <c r="F23" i="16"/>
  <c r="G21" i="16"/>
  <c r="F21" i="16"/>
  <c r="H20" i="16"/>
  <c r="G20" i="16"/>
  <c r="F20" i="16"/>
  <c r="H22" i="15"/>
  <c r="H20" i="15"/>
  <c r="H21" i="15"/>
  <c r="G21" i="15"/>
  <c r="G22" i="15"/>
  <c r="F21" i="15"/>
  <c r="F22" i="15"/>
  <c r="G20" i="15"/>
  <c r="F20" i="15"/>
  <c r="H19" i="15"/>
  <c r="G19" i="15"/>
  <c r="F19" i="15"/>
  <c r="H22" i="14"/>
  <c r="H23" i="14"/>
  <c r="G22" i="14"/>
  <c r="G23" i="14"/>
  <c r="F22" i="14"/>
  <c r="F23" i="14"/>
  <c r="H21" i="14"/>
  <c r="H20" i="14"/>
  <c r="G21" i="14"/>
  <c r="G20" i="14"/>
  <c r="F21" i="14"/>
  <c r="F20" i="14"/>
  <c r="H21" i="13"/>
  <c r="H22" i="13"/>
  <c r="H20" i="13"/>
  <c r="H19" i="13"/>
  <c r="G21" i="13"/>
  <c r="G22" i="13"/>
  <c r="G20" i="13"/>
  <c r="G19" i="13"/>
  <c r="F21" i="13"/>
  <c r="F22" i="13"/>
  <c r="F20" i="13"/>
  <c r="F19" i="13"/>
  <c r="C10" i="7"/>
  <c r="E12" i="7"/>
  <c r="D12" i="7"/>
  <c r="E11" i="7"/>
  <c r="D11" i="7"/>
  <c r="C11" i="7"/>
  <c r="H19" i="11"/>
  <c r="G19" i="11"/>
  <c r="H17" i="11"/>
  <c r="G17" i="11"/>
  <c r="F18" i="11"/>
  <c r="F19" i="11"/>
  <c r="F17" i="11"/>
  <c r="F12" i="5"/>
  <c r="E12" i="5"/>
  <c r="D30" i="7"/>
  <c r="E30" i="7" s="1"/>
  <c r="F30" i="7" s="1"/>
  <c r="G30" i="7" s="1"/>
  <c r="H30" i="7" s="1"/>
  <c r="I30" i="7" s="1"/>
  <c r="J30" i="7" s="1"/>
  <c r="K30" i="7" s="1"/>
  <c r="L30" i="7" s="1"/>
  <c r="M30" i="7" s="1"/>
  <c r="N30" i="7" s="1"/>
  <c r="O29" i="7"/>
  <c r="D27" i="7"/>
  <c r="E10" i="5"/>
  <c r="F10" i="5"/>
  <c r="D12" i="5"/>
  <c r="D10" i="5"/>
  <c r="G16" i="11"/>
  <c r="H16" i="11"/>
  <c r="F16" i="11"/>
  <c r="D32" i="9"/>
  <c r="D33" i="9"/>
  <c r="D31" i="9"/>
  <c r="L34" i="9"/>
  <c r="J34" i="9"/>
  <c r="H34" i="9"/>
  <c r="L27" i="9"/>
  <c r="L24" i="9"/>
  <c r="K27" i="9"/>
  <c r="K24" i="9"/>
  <c r="J27" i="9"/>
  <c r="J24" i="9"/>
  <c r="J22" i="9"/>
  <c r="I27" i="9"/>
  <c r="I24" i="9"/>
  <c r="I22" i="9"/>
  <c r="H27" i="9"/>
  <c r="H24" i="9"/>
  <c r="H22" i="9"/>
  <c r="G27" i="9"/>
  <c r="G24" i="9"/>
  <c r="G22" i="9"/>
  <c r="E27" i="9"/>
  <c r="E28" i="9"/>
  <c r="E29" i="9"/>
  <c r="E26" i="9"/>
  <c r="E22" i="9"/>
  <c r="E23" i="9"/>
  <c r="E24" i="9"/>
  <c r="E27" i="8"/>
  <c r="E25" i="8"/>
  <c r="E24" i="8"/>
  <c r="E22" i="8"/>
  <c r="E18" i="8"/>
  <c r="E17" i="8"/>
  <c r="E26" i="8"/>
  <c r="E23" i="8"/>
  <c r="E21" i="8"/>
  <c r="E20" i="8"/>
  <c r="E19" i="8"/>
  <c r="E16" i="8"/>
  <c r="E15" i="8"/>
  <c r="E14" i="8"/>
  <c r="E13" i="8"/>
  <c r="E11" i="8"/>
  <c r="E12" i="8"/>
  <c r="E10" i="8"/>
  <c r="D26" i="8"/>
  <c r="D18" i="8"/>
  <c r="D17" i="8"/>
  <c r="D16" i="8"/>
  <c r="D25" i="8"/>
  <c r="D23" i="8"/>
  <c r="D21" i="8"/>
  <c r="D20" i="8"/>
  <c r="D19" i="8"/>
  <c r="D15" i="8"/>
  <c r="D14" i="8"/>
  <c r="D13" i="8"/>
  <c r="D11" i="8"/>
  <c r="D12" i="8"/>
  <c r="C25" i="8"/>
  <c r="C23" i="8"/>
  <c r="C19" i="8"/>
  <c r="C15" i="8"/>
  <c r="C14" i="8"/>
  <c r="C21" i="8"/>
  <c r="C20" i="8"/>
  <c r="C13" i="8"/>
  <c r="C11" i="8"/>
  <c r="C12" i="8"/>
  <c r="N108" i="8"/>
  <c r="N107" i="8"/>
  <c r="N106" i="8"/>
  <c r="N105" i="8"/>
  <c r="N104" i="8"/>
  <c r="N103" i="8"/>
  <c r="N102" i="8"/>
  <c r="N101" i="8"/>
  <c r="N100" i="8"/>
  <c r="N99" i="8"/>
  <c r="N98" i="8"/>
  <c r="N97" i="8"/>
  <c r="N96" i="8"/>
  <c r="N95" i="8"/>
  <c r="N94" i="8"/>
  <c r="H108" i="8"/>
  <c r="H107" i="8"/>
  <c r="H106" i="8"/>
  <c r="H105" i="8"/>
  <c r="H104" i="8"/>
  <c r="H103" i="8"/>
  <c r="H101" i="8"/>
  <c r="H100" i="8"/>
  <c r="H99" i="8"/>
  <c r="H98" i="8"/>
  <c r="H97" i="8"/>
  <c r="H96" i="8"/>
  <c r="H95" i="8"/>
  <c r="H94" i="8"/>
  <c r="H93" i="8"/>
  <c r="H92" i="8"/>
  <c r="H91" i="8"/>
  <c r="J108" i="8"/>
  <c r="K108" i="8"/>
  <c r="L108" i="8"/>
  <c r="M108" i="8"/>
  <c r="J107" i="8"/>
  <c r="K107" i="8"/>
  <c r="L107" i="8"/>
  <c r="M107" i="8"/>
  <c r="I108" i="8"/>
  <c r="I107" i="8"/>
  <c r="J106" i="8"/>
  <c r="K106" i="8"/>
  <c r="L106" i="8"/>
  <c r="M106" i="8"/>
  <c r="I106" i="8"/>
  <c r="M105" i="8"/>
  <c r="L105" i="8"/>
  <c r="K105" i="8"/>
  <c r="J105" i="8"/>
  <c r="I105" i="8"/>
  <c r="M104" i="8"/>
  <c r="L104" i="8"/>
  <c r="K104" i="8"/>
  <c r="J104" i="8"/>
  <c r="I104" i="8"/>
  <c r="M103" i="8"/>
  <c r="L103" i="8"/>
  <c r="K103" i="8"/>
  <c r="J103" i="8"/>
  <c r="I103" i="8"/>
  <c r="M102" i="8"/>
  <c r="L102" i="8"/>
  <c r="K102" i="8"/>
  <c r="J102" i="8"/>
  <c r="I102" i="8"/>
  <c r="M101" i="8"/>
  <c r="L101" i="8"/>
  <c r="K101" i="8"/>
  <c r="J101" i="8"/>
  <c r="I101" i="8"/>
  <c r="M100" i="8"/>
  <c r="L100" i="8"/>
  <c r="K100" i="8"/>
  <c r="J100" i="8"/>
  <c r="I100" i="8"/>
  <c r="M99" i="8"/>
  <c r="L99" i="8"/>
  <c r="K99" i="8"/>
  <c r="J99" i="8"/>
  <c r="I99" i="8"/>
  <c r="M98" i="8"/>
  <c r="L98" i="8"/>
  <c r="K98" i="8"/>
  <c r="J98" i="8"/>
  <c r="I98" i="8"/>
  <c r="M97" i="8"/>
  <c r="L97" i="8"/>
  <c r="K97" i="8"/>
  <c r="J97" i="8"/>
  <c r="I97" i="8"/>
  <c r="M96" i="8"/>
  <c r="L96" i="8"/>
  <c r="K96" i="8"/>
  <c r="J96" i="8"/>
  <c r="I96" i="8"/>
  <c r="M95" i="8"/>
  <c r="L95" i="8"/>
  <c r="K95" i="8"/>
  <c r="J95" i="8"/>
  <c r="I95" i="8"/>
  <c r="M94" i="8"/>
  <c r="L94" i="8"/>
  <c r="K94" i="8"/>
  <c r="J94" i="8"/>
  <c r="I94" i="8"/>
  <c r="M93" i="8"/>
  <c r="L93" i="8"/>
  <c r="K93" i="8"/>
  <c r="J93" i="8"/>
  <c r="I93" i="8"/>
  <c r="M92" i="8"/>
  <c r="L92" i="8"/>
  <c r="K92" i="8"/>
  <c r="J92" i="8"/>
  <c r="I92" i="8"/>
  <c r="M91" i="8"/>
  <c r="L91" i="8"/>
  <c r="K91" i="8"/>
  <c r="J91" i="8"/>
  <c r="I91" i="8"/>
  <c r="G106" i="8"/>
  <c r="F106" i="8"/>
  <c r="H102" i="8"/>
  <c r="D105" i="8"/>
  <c r="E105" i="8"/>
  <c r="F105" i="8"/>
  <c r="G105" i="8"/>
  <c r="D104" i="8"/>
  <c r="E104" i="8"/>
  <c r="F104" i="8"/>
  <c r="G104" i="8"/>
  <c r="C105" i="8"/>
  <c r="C104" i="8"/>
  <c r="D103" i="8"/>
  <c r="E103" i="8"/>
  <c r="F103" i="8"/>
  <c r="G103" i="8"/>
  <c r="C103" i="8"/>
  <c r="D102" i="8"/>
  <c r="E102" i="8"/>
  <c r="F102" i="8"/>
  <c r="G102" i="8"/>
  <c r="C102" i="8"/>
  <c r="J50" i="8"/>
  <c r="I50" i="8"/>
  <c r="H50" i="8"/>
  <c r="G50" i="8"/>
  <c r="F50" i="8"/>
  <c r="E50" i="8"/>
  <c r="J49" i="8"/>
  <c r="I49" i="8"/>
  <c r="H49" i="8"/>
  <c r="G49" i="8"/>
  <c r="F49" i="8"/>
  <c r="E49" i="8"/>
  <c r="J48" i="8"/>
  <c r="I48" i="8"/>
  <c r="H48" i="8"/>
  <c r="G48" i="8"/>
  <c r="F48" i="8"/>
  <c r="E48" i="8"/>
  <c r="J47" i="8"/>
  <c r="I47" i="8"/>
  <c r="H47" i="8"/>
  <c r="G47" i="8"/>
  <c r="F47" i="8"/>
  <c r="E47" i="8"/>
  <c r="J46" i="8"/>
  <c r="I46" i="8"/>
  <c r="H46" i="8"/>
  <c r="G46" i="8"/>
  <c r="F46" i="8"/>
  <c r="E46" i="8"/>
  <c r="J45" i="8"/>
  <c r="I45" i="8"/>
  <c r="H45" i="8"/>
  <c r="G45" i="8"/>
  <c r="F45" i="8"/>
  <c r="E45" i="8"/>
  <c r="J44" i="8"/>
  <c r="I44" i="8"/>
  <c r="H44" i="8"/>
  <c r="G44" i="8"/>
  <c r="F44" i="8"/>
  <c r="E44" i="8"/>
  <c r="E12" i="6"/>
  <c r="D12" i="6"/>
  <c r="O40" i="6"/>
  <c r="C12" i="6"/>
  <c r="E57" i="6"/>
  <c r="F57" i="6" s="1"/>
  <c r="G57" i="6" s="1"/>
  <c r="H57" i="6" s="1"/>
  <c r="I57" i="6" s="1"/>
  <c r="J57" i="6" s="1"/>
  <c r="K57" i="6" s="1"/>
  <c r="L57" i="6" s="1"/>
  <c r="M57" i="6" s="1"/>
  <c r="N57" i="6" s="1"/>
  <c r="E56" i="6"/>
  <c r="F56" i="6" s="1"/>
  <c r="G56" i="6" s="1"/>
  <c r="H56" i="6" s="1"/>
  <c r="I56" i="6" s="1"/>
  <c r="J56" i="6" s="1"/>
  <c r="K56" i="6" s="1"/>
  <c r="L56" i="6" s="1"/>
  <c r="M56" i="6" s="1"/>
  <c r="N56" i="6" s="1"/>
  <c r="E55" i="6"/>
  <c r="F55" i="6" s="1"/>
  <c r="G55" i="6" s="1"/>
  <c r="H55" i="6" s="1"/>
  <c r="I55" i="6" s="1"/>
  <c r="J55" i="6" s="1"/>
  <c r="K55" i="6" s="1"/>
  <c r="L55" i="6" s="1"/>
  <c r="M55" i="6" s="1"/>
  <c r="N55" i="6" s="1"/>
  <c r="E54" i="6"/>
  <c r="F54" i="6" s="1"/>
  <c r="G54" i="6" s="1"/>
  <c r="H54" i="6" s="1"/>
  <c r="I54" i="6" s="1"/>
  <c r="J54" i="6" s="1"/>
  <c r="K54" i="6" s="1"/>
  <c r="L54" i="6" s="1"/>
  <c r="M54" i="6" s="1"/>
  <c r="N54" i="6" s="1"/>
  <c r="D57" i="6"/>
  <c r="D56" i="6"/>
  <c r="D55" i="6"/>
  <c r="D54" i="6"/>
  <c r="E43" i="6"/>
  <c r="F43" i="6" s="1"/>
  <c r="G43" i="6" s="1"/>
  <c r="H43" i="6" s="1"/>
  <c r="I43" i="6" s="1"/>
  <c r="J43" i="6" s="1"/>
  <c r="K43" i="6" s="1"/>
  <c r="L43" i="6" s="1"/>
  <c r="M43" i="6" s="1"/>
  <c r="N43" i="6" s="1"/>
  <c r="E42" i="6"/>
  <c r="F42" i="6" s="1"/>
  <c r="G42" i="6" s="1"/>
  <c r="H42" i="6" s="1"/>
  <c r="I42" i="6" s="1"/>
  <c r="J42" i="6" s="1"/>
  <c r="K42" i="6" s="1"/>
  <c r="L42" i="6" s="1"/>
  <c r="M42" i="6" s="1"/>
  <c r="N42" i="6" s="1"/>
  <c r="E41" i="6"/>
  <c r="F41" i="6" s="1"/>
  <c r="G41" i="6" s="1"/>
  <c r="H41" i="6" s="1"/>
  <c r="I41" i="6" s="1"/>
  <c r="J41" i="6" s="1"/>
  <c r="K41" i="6" s="1"/>
  <c r="L41" i="6" s="1"/>
  <c r="M41" i="6" s="1"/>
  <c r="N41" i="6" s="1"/>
  <c r="D43" i="6"/>
  <c r="D42" i="6"/>
  <c r="D41" i="6"/>
  <c r="C57" i="6"/>
  <c r="C56" i="6"/>
  <c r="C55" i="6"/>
  <c r="C54" i="6"/>
  <c r="G40" i="6"/>
  <c r="H40" i="6" s="1"/>
  <c r="I40" i="6" s="1"/>
  <c r="J40" i="6" s="1"/>
  <c r="K40" i="6" s="1"/>
  <c r="L40" i="6" s="1"/>
  <c r="M40" i="6" s="1"/>
  <c r="N40" i="6" s="1"/>
  <c r="E40" i="6"/>
  <c r="F40" i="6" s="1"/>
  <c r="D40" i="6"/>
  <c r="C53" i="6"/>
  <c r="C42" i="6"/>
  <c r="C43" i="6"/>
  <c r="C41" i="6"/>
  <c r="C40" i="6"/>
  <c r="E30" i="6"/>
  <c r="F30" i="6"/>
  <c r="G30" i="6"/>
  <c r="H30" i="6"/>
  <c r="I30" i="6"/>
  <c r="J30" i="6"/>
  <c r="K30" i="6"/>
  <c r="L30" i="6"/>
  <c r="M30" i="6"/>
  <c r="N30" i="6"/>
  <c r="D30" i="6"/>
  <c r="C30" i="6"/>
  <c r="O21" i="6"/>
  <c r="O22" i="6"/>
  <c r="O23" i="6"/>
  <c r="O24" i="6"/>
  <c r="O25" i="6"/>
  <c r="O26" i="6"/>
  <c r="O27" i="6"/>
  <c r="O28" i="6"/>
  <c r="O29" i="6"/>
  <c r="E27" i="7" l="1"/>
  <c r="O30" i="7"/>
  <c r="D28" i="7"/>
  <c r="E28" i="7" s="1"/>
  <c r="F28" i="7" s="1"/>
  <c r="G28" i="7" s="1"/>
  <c r="H28" i="7" s="1"/>
  <c r="I28" i="7" s="1"/>
  <c r="J28" i="7" s="1"/>
  <c r="K28" i="7" s="1"/>
  <c r="L28" i="7" s="1"/>
  <c r="M28" i="7" s="1"/>
  <c r="N28" i="7" s="1"/>
  <c r="C31" i="7"/>
  <c r="O107" i="8"/>
  <c r="O108" i="8"/>
  <c r="O106" i="8"/>
  <c r="K46" i="8"/>
  <c r="D46" i="8" s="1"/>
  <c r="K50" i="8"/>
  <c r="D50" i="8" s="1"/>
  <c r="K49" i="8"/>
  <c r="K48" i="8"/>
  <c r="K47" i="8"/>
  <c r="D47" i="8" s="1"/>
  <c r="K44" i="8"/>
  <c r="K45" i="8"/>
  <c r="D45" i="8" s="1"/>
  <c r="O57" i="6"/>
  <c r="O56" i="6"/>
  <c r="O55" i="6"/>
  <c r="O54" i="6"/>
  <c r="O43" i="6"/>
  <c r="O41" i="6"/>
  <c r="O42" i="6"/>
  <c r="O28" i="7" l="1"/>
  <c r="D31" i="7"/>
  <c r="F27" i="7"/>
  <c r="E31" i="7"/>
  <c r="G96" i="8"/>
  <c r="F96" i="8"/>
  <c r="E96" i="8"/>
  <c r="D96" i="8"/>
  <c r="C96" i="8"/>
  <c r="D101" i="8"/>
  <c r="C101" i="8"/>
  <c r="G101" i="8"/>
  <c r="F101" i="8"/>
  <c r="E101" i="8"/>
  <c r="K81" i="8"/>
  <c r="F81" i="8"/>
  <c r="H80" i="8"/>
  <c r="J81" i="8"/>
  <c r="G81" i="8"/>
  <c r="L81" i="8"/>
  <c r="E81" i="8"/>
  <c r="C81" i="8"/>
  <c r="N81" i="8"/>
  <c r="I81" i="8"/>
  <c r="D81" i="8"/>
  <c r="N80" i="8"/>
  <c r="M81" i="8"/>
  <c r="H81" i="8"/>
  <c r="D49" i="8"/>
  <c r="K85" i="8"/>
  <c r="J85" i="8"/>
  <c r="N85" i="8"/>
  <c r="H85" i="8"/>
  <c r="L85" i="8"/>
  <c r="I85" i="8"/>
  <c r="M85" i="8"/>
  <c r="N76" i="8"/>
  <c r="I76" i="8"/>
  <c r="M76" i="8"/>
  <c r="D76" i="8"/>
  <c r="J76" i="8"/>
  <c r="L76" i="8"/>
  <c r="E76" i="8"/>
  <c r="C76" i="8"/>
  <c r="G76" i="8"/>
  <c r="K76" i="8"/>
  <c r="F76" i="8"/>
  <c r="H76" i="8"/>
  <c r="D48" i="8"/>
  <c r="N64" i="8"/>
  <c r="I65" i="8"/>
  <c r="M64" i="8"/>
  <c r="J65" i="8"/>
  <c r="I64" i="8"/>
  <c r="K65" i="8"/>
  <c r="M65" i="8"/>
  <c r="K64" i="8"/>
  <c r="H64" i="8"/>
  <c r="L65" i="8"/>
  <c r="J64" i="8"/>
  <c r="H65" i="8"/>
  <c r="N65" i="8"/>
  <c r="L64" i="8"/>
  <c r="D44" i="8"/>
  <c r="M60" i="8"/>
  <c r="H60" i="8"/>
  <c r="G60" i="8"/>
  <c r="C60" i="8"/>
  <c r="N60" i="8"/>
  <c r="I60" i="8"/>
  <c r="K60" i="8"/>
  <c r="F60" i="8"/>
  <c r="J60" i="8"/>
  <c r="D60" i="8"/>
  <c r="E60" i="8"/>
  <c r="L60" i="8"/>
  <c r="F31" i="7" l="1"/>
  <c r="G27" i="7"/>
  <c r="O105" i="8"/>
  <c r="O96" i="8"/>
  <c r="O101" i="8"/>
  <c r="O81" i="8"/>
  <c r="O76" i="8"/>
  <c r="O85" i="8"/>
  <c r="H27" i="7" l="1"/>
  <c r="G31" i="7"/>
  <c r="I27" i="7" l="1"/>
  <c r="H31" i="7"/>
  <c r="J27" i="7" l="1"/>
  <c r="I31" i="7"/>
  <c r="K27" i="7" l="1"/>
  <c r="J31" i="7"/>
  <c r="L27" i="7" l="1"/>
  <c r="K31" i="7"/>
  <c r="M27" i="7" l="1"/>
  <c r="L31" i="7"/>
  <c r="N27" i="7" l="1"/>
  <c r="M31" i="7"/>
  <c r="N31" i="7" l="1"/>
  <c r="O27" i="7"/>
  <c r="O31" i="7" l="1"/>
  <c r="E11" i="5" s="1"/>
  <c r="D9" i="7"/>
  <c r="D10" i="7"/>
  <c r="D37" i="7"/>
  <c r="E37" i="7" s="1"/>
  <c r="F37" i="7" s="1"/>
  <c r="G37" i="7" s="1"/>
  <c r="H37" i="7" s="1"/>
  <c r="I37" i="7" s="1"/>
  <c r="J37" i="7" s="1"/>
  <c r="K37" i="7" s="1"/>
  <c r="L37" i="7" s="1"/>
  <c r="M37" i="7" s="1"/>
  <c r="N37" i="7" s="1"/>
  <c r="D36" i="7"/>
  <c r="C40" i="7"/>
  <c r="O37" i="7" l="1"/>
  <c r="E10" i="7" s="1"/>
  <c r="G18" i="11"/>
  <c r="E13" i="5"/>
  <c r="E36" i="7"/>
  <c r="D40" i="7"/>
  <c r="F36" i="7" l="1"/>
  <c r="E40" i="7"/>
  <c r="G36" i="7" l="1"/>
  <c r="F40" i="7"/>
  <c r="H36" i="7" l="1"/>
  <c r="G40" i="7"/>
  <c r="H40" i="7" l="1"/>
  <c r="I36" i="7"/>
  <c r="J36" i="7" l="1"/>
  <c r="I40" i="7"/>
  <c r="K36" i="7" l="1"/>
  <c r="J40" i="7"/>
  <c r="L36" i="7" l="1"/>
  <c r="K40" i="7"/>
  <c r="M36" i="7" l="1"/>
  <c r="L40" i="7"/>
  <c r="N36" i="7" l="1"/>
  <c r="M40" i="7"/>
  <c r="N40" i="7" l="1"/>
  <c r="O36" i="7"/>
  <c r="O40" i="7" l="1"/>
  <c r="F11" i="5" s="1"/>
  <c r="E9" i="7"/>
  <c r="H18" i="11" l="1"/>
  <c r="F13" i="5"/>
  <c r="AC96" i="18" l="1"/>
  <c r="AC95" i="18"/>
  <c r="AC94" i="18"/>
  <c r="AC93" i="18"/>
  <c r="AC92" i="18"/>
  <c r="AA89" i="18"/>
  <c r="Y89" i="18"/>
  <c r="W89" i="18"/>
  <c r="U89" i="18"/>
  <c r="S89" i="18"/>
  <c r="Q89" i="18"/>
  <c r="O89" i="18"/>
  <c r="M89" i="18"/>
  <c r="K89" i="18"/>
  <c r="I89" i="18"/>
  <c r="G89" i="18"/>
  <c r="E89" i="18"/>
  <c r="D89" i="18"/>
  <c r="C89" i="18"/>
  <c r="AD88" i="18"/>
  <c r="L24" i="4" s="1"/>
  <c r="M24" i="4" s="1"/>
  <c r="AB88" i="18"/>
  <c r="Z88" i="18"/>
  <c r="X88" i="18"/>
  <c r="V88" i="18"/>
  <c r="T88" i="18"/>
  <c r="R88" i="18"/>
  <c r="P88" i="18"/>
  <c r="N88" i="18"/>
  <c r="L88" i="18"/>
  <c r="J88" i="18"/>
  <c r="H88" i="18"/>
  <c r="F88" i="18"/>
  <c r="AD87" i="18"/>
  <c r="L23" i="4" s="1"/>
  <c r="M23" i="4" s="1"/>
  <c r="AB87" i="18"/>
  <c r="Z87" i="18"/>
  <c r="X87" i="18"/>
  <c r="V87" i="18"/>
  <c r="T87" i="18"/>
  <c r="R87" i="18"/>
  <c r="P87" i="18"/>
  <c r="N87" i="18"/>
  <c r="L87" i="18"/>
  <c r="J87" i="18"/>
  <c r="H87" i="18"/>
  <c r="F87" i="18"/>
  <c r="AD86" i="18"/>
  <c r="L22" i="4" s="1"/>
  <c r="M22" i="4" s="1"/>
  <c r="AB86" i="18"/>
  <c r="Z86" i="18"/>
  <c r="X86" i="18"/>
  <c r="V86" i="18"/>
  <c r="T86" i="18"/>
  <c r="R86" i="18"/>
  <c r="P86" i="18"/>
  <c r="N86" i="18"/>
  <c r="L86" i="18"/>
  <c r="J86" i="18"/>
  <c r="H86" i="18"/>
  <c r="F86" i="18"/>
  <c r="AD85" i="18"/>
  <c r="L21" i="4" s="1"/>
  <c r="M21" i="4" s="1"/>
  <c r="AB85" i="18"/>
  <c r="Z85" i="18"/>
  <c r="X85" i="18"/>
  <c r="V85" i="18"/>
  <c r="T85" i="18"/>
  <c r="R85" i="18"/>
  <c r="P85" i="18"/>
  <c r="N85" i="18"/>
  <c r="L85" i="18"/>
  <c r="J85" i="18"/>
  <c r="H85" i="18"/>
  <c r="F85" i="18"/>
  <c r="AD84" i="18"/>
  <c r="L20" i="4" s="1"/>
  <c r="M20" i="4" s="1"/>
  <c r="AB84" i="18"/>
  <c r="Z84" i="18"/>
  <c r="X84" i="18"/>
  <c r="V84" i="18"/>
  <c r="T84" i="18"/>
  <c r="R84" i="18"/>
  <c r="P84" i="18"/>
  <c r="N84" i="18"/>
  <c r="L84" i="18"/>
  <c r="J84" i="18"/>
  <c r="H84" i="18"/>
  <c r="F84" i="18"/>
  <c r="AD83" i="18"/>
  <c r="L19" i="4" s="1"/>
  <c r="M19" i="4" s="1"/>
  <c r="AB83" i="18"/>
  <c r="Z83" i="18"/>
  <c r="X83" i="18"/>
  <c r="V83" i="18"/>
  <c r="T83" i="18"/>
  <c r="R83" i="18"/>
  <c r="P83" i="18"/>
  <c r="N83" i="18"/>
  <c r="L83" i="18"/>
  <c r="J83" i="18"/>
  <c r="H83" i="18"/>
  <c r="F83" i="18"/>
  <c r="AD80" i="18"/>
  <c r="L16" i="4" s="1"/>
  <c r="AB80" i="18"/>
  <c r="Z80" i="18"/>
  <c r="X80" i="18"/>
  <c r="V80" i="18"/>
  <c r="T80" i="18"/>
  <c r="R80" i="18"/>
  <c r="P80" i="18"/>
  <c r="N80" i="18"/>
  <c r="L80" i="18"/>
  <c r="J80" i="18"/>
  <c r="H80" i="18"/>
  <c r="F80" i="18"/>
  <c r="AD79" i="18"/>
  <c r="L15" i="4" s="1"/>
  <c r="M15" i="4" s="1"/>
  <c r="AB79" i="18"/>
  <c r="Z79" i="18"/>
  <c r="X79" i="18"/>
  <c r="V79" i="18"/>
  <c r="T79" i="18"/>
  <c r="R79" i="18"/>
  <c r="P79" i="18"/>
  <c r="N79" i="18"/>
  <c r="L79" i="18"/>
  <c r="J79" i="18"/>
  <c r="H79" i="18"/>
  <c r="F79" i="18"/>
  <c r="AD78" i="18"/>
  <c r="L14" i="4" s="1"/>
  <c r="AB78" i="18"/>
  <c r="Z78" i="18"/>
  <c r="X78" i="18"/>
  <c r="V78" i="18"/>
  <c r="T78" i="18"/>
  <c r="R78" i="18"/>
  <c r="P78" i="18"/>
  <c r="N78" i="18"/>
  <c r="L78" i="18"/>
  <c r="J78" i="18"/>
  <c r="H78" i="18"/>
  <c r="F78" i="18"/>
  <c r="AC73" i="18"/>
  <c r="AC72" i="18"/>
  <c r="AC71" i="18"/>
  <c r="AC70" i="18"/>
  <c r="AC69" i="18"/>
  <c r="AC68" i="18"/>
  <c r="AC67" i="18"/>
  <c r="AA64" i="18"/>
  <c r="Y64" i="18"/>
  <c r="W64" i="18"/>
  <c r="U64" i="18"/>
  <c r="S64" i="18"/>
  <c r="Q64" i="18"/>
  <c r="O64" i="18"/>
  <c r="M64" i="18"/>
  <c r="K64" i="18"/>
  <c r="I64" i="18"/>
  <c r="G64" i="18"/>
  <c r="E64" i="18"/>
  <c r="D64" i="18"/>
  <c r="C64" i="18"/>
  <c r="AD63" i="18"/>
  <c r="I24" i="4" s="1"/>
  <c r="J24" i="4" s="1"/>
  <c r="AB63" i="18"/>
  <c r="Z63" i="18"/>
  <c r="X63" i="18"/>
  <c r="V63" i="18"/>
  <c r="T63" i="18"/>
  <c r="R63" i="18"/>
  <c r="P63" i="18"/>
  <c r="N63" i="18"/>
  <c r="L63" i="18"/>
  <c r="J63" i="18"/>
  <c r="H63" i="18"/>
  <c r="F63" i="18"/>
  <c r="AD62" i="18"/>
  <c r="I23" i="4" s="1"/>
  <c r="J23" i="4" s="1"/>
  <c r="AB62" i="18"/>
  <c r="Z62" i="18"/>
  <c r="X62" i="18"/>
  <c r="V62" i="18"/>
  <c r="T62" i="18"/>
  <c r="R62" i="18"/>
  <c r="P62" i="18"/>
  <c r="N62" i="18"/>
  <c r="L62" i="18"/>
  <c r="J62" i="18"/>
  <c r="H62" i="18"/>
  <c r="F62" i="18"/>
  <c r="AD61" i="18"/>
  <c r="I22" i="4" s="1"/>
  <c r="J22" i="4" s="1"/>
  <c r="AB61" i="18"/>
  <c r="Z61" i="18"/>
  <c r="X61" i="18"/>
  <c r="V61" i="18"/>
  <c r="T61" i="18"/>
  <c r="R61" i="18"/>
  <c r="P61" i="18"/>
  <c r="N61" i="18"/>
  <c r="L61" i="18"/>
  <c r="J61" i="18"/>
  <c r="H61" i="18"/>
  <c r="F61" i="18"/>
  <c r="AD60" i="18"/>
  <c r="I21" i="4" s="1"/>
  <c r="J21" i="4" s="1"/>
  <c r="AB60" i="18"/>
  <c r="Z60" i="18"/>
  <c r="X60" i="18"/>
  <c r="V60" i="18"/>
  <c r="T60" i="18"/>
  <c r="R60" i="18"/>
  <c r="P60" i="18"/>
  <c r="N60" i="18"/>
  <c r="L60" i="18"/>
  <c r="J60" i="18"/>
  <c r="H60" i="18"/>
  <c r="F60" i="18"/>
  <c r="AD59" i="18"/>
  <c r="I20" i="4" s="1"/>
  <c r="J20" i="4" s="1"/>
  <c r="AB59" i="18"/>
  <c r="Z59" i="18"/>
  <c r="X59" i="18"/>
  <c r="V59" i="18"/>
  <c r="T59" i="18"/>
  <c r="R59" i="18"/>
  <c r="P59" i="18"/>
  <c r="N59" i="18"/>
  <c r="L59" i="18"/>
  <c r="J59" i="18"/>
  <c r="H59" i="18"/>
  <c r="F59" i="18"/>
  <c r="AD58" i="18"/>
  <c r="I19" i="4" s="1"/>
  <c r="J19" i="4" s="1"/>
  <c r="AB58" i="18"/>
  <c r="Z58" i="18"/>
  <c r="X58" i="18"/>
  <c r="V58" i="18"/>
  <c r="T58" i="18"/>
  <c r="R58" i="18"/>
  <c r="P58" i="18"/>
  <c r="N58" i="18"/>
  <c r="L58" i="18"/>
  <c r="J58" i="18"/>
  <c r="H58" i="18"/>
  <c r="F58" i="18"/>
  <c r="AD55" i="18"/>
  <c r="I16" i="4" s="1"/>
  <c r="J16" i="4" s="1"/>
  <c r="AB55" i="18"/>
  <c r="Z55" i="18"/>
  <c r="X55" i="18"/>
  <c r="V55" i="18"/>
  <c r="T55" i="18"/>
  <c r="R55" i="18"/>
  <c r="P55" i="18"/>
  <c r="N55" i="18"/>
  <c r="L55" i="18"/>
  <c r="J55" i="18"/>
  <c r="H55" i="18"/>
  <c r="F55" i="18"/>
  <c r="AD54" i="18"/>
  <c r="I15" i="4" s="1"/>
  <c r="J15" i="4" s="1"/>
  <c r="AB54" i="18"/>
  <c r="Z54" i="18"/>
  <c r="X54" i="18"/>
  <c r="V54" i="18"/>
  <c r="T54" i="18"/>
  <c r="R54" i="18"/>
  <c r="P54" i="18"/>
  <c r="N54" i="18"/>
  <c r="L54" i="18"/>
  <c r="J54" i="18"/>
  <c r="H54" i="18"/>
  <c r="F54" i="18"/>
  <c r="AD53" i="18"/>
  <c r="I14" i="4" s="1"/>
  <c r="AB53" i="18"/>
  <c r="Z53" i="18"/>
  <c r="X53" i="18"/>
  <c r="V53" i="18"/>
  <c r="T53" i="18"/>
  <c r="R53" i="18"/>
  <c r="P53" i="18"/>
  <c r="N53" i="18"/>
  <c r="L53" i="18"/>
  <c r="J53" i="18"/>
  <c r="H53" i="18"/>
  <c r="F53" i="18"/>
  <c r="AC42" i="18"/>
  <c r="AC43" i="18"/>
  <c r="AC44" i="18"/>
  <c r="AC45" i="18"/>
  <c r="AC46" i="18"/>
  <c r="AC47" i="18"/>
  <c r="AC48" i="18"/>
  <c r="X89" i="18" l="1"/>
  <c r="M16" i="4"/>
  <c r="H89" i="18"/>
  <c r="N89" i="18"/>
  <c r="AD89" i="18"/>
  <c r="L64" i="18"/>
  <c r="F89" i="18"/>
  <c r="V89" i="18"/>
  <c r="L89" i="18"/>
  <c r="AB89" i="18"/>
  <c r="AC88" i="18"/>
  <c r="AC85" i="18"/>
  <c r="R89" i="18"/>
  <c r="AC87" i="18"/>
  <c r="AC80" i="18"/>
  <c r="T89" i="18"/>
  <c r="AC84" i="18"/>
  <c r="AC79" i="18"/>
  <c r="AB64" i="18"/>
  <c r="R64" i="18"/>
  <c r="AC86" i="18"/>
  <c r="J89" i="18"/>
  <c r="Z89" i="18"/>
  <c r="P89" i="18"/>
  <c r="AC83" i="18"/>
  <c r="AC78" i="18"/>
  <c r="J64" i="18"/>
  <c r="Z64" i="18"/>
  <c r="AC58" i="18"/>
  <c r="AC61" i="18"/>
  <c r="N64" i="18"/>
  <c r="AC59" i="18"/>
  <c r="AC60" i="18"/>
  <c r="P64" i="18"/>
  <c r="AC55" i="18"/>
  <c r="AD64" i="18"/>
  <c r="AC62" i="18"/>
  <c r="T64" i="18"/>
  <c r="F64" i="18"/>
  <c r="V64" i="18"/>
  <c r="AC54" i="18"/>
  <c r="AC63" i="18"/>
  <c r="H64" i="18"/>
  <c r="AC53" i="18"/>
  <c r="X64" i="18"/>
  <c r="AD35" i="18"/>
  <c r="F22" i="4" s="1"/>
  <c r="G22" i="4" s="1"/>
  <c r="AD36" i="18"/>
  <c r="F23" i="4" s="1"/>
  <c r="G23" i="4" s="1"/>
  <c r="AB36" i="18"/>
  <c r="Z36" i="18"/>
  <c r="X36" i="18"/>
  <c r="V36" i="18"/>
  <c r="T36" i="18"/>
  <c r="R36" i="18"/>
  <c r="P36" i="18"/>
  <c r="N36" i="18"/>
  <c r="L36" i="18"/>
  <c r="J36" i="18"/>
  <c r="H36" i="18"/>
  <c r="F36" i="18"/>
  <c r="AB35" i="18"/>
  <c r="Z35" i="18"/>
  <c r="X35" i="18"/>
  <c r="V35" i="18"/>
  <c r="T35" i="18"/>
  <c r="R35" i="18"/>
  <c r="P35" i="18"/>
  <c r="N35" i="18"/>
  <c r="L35" i="18"/>
  <c r="J35" i="18"/>
  <c r="H35" i="18"/>
  <c r="F35" i="18"/>
  <c r="M14" i="4"/>
  <c r="H31" i="19"/>
  <c r="AC41" i="18"/>
  <c r="AA38" i="18"/>
  <c r="Y38" i="18"/>
  <c r="W38" i="18"/>
  <c r="U38" i="18"/>
  <c r="S38" i="18"/>
  <c r="Q38" i="18"/>
  <c r="O38" i="18"/>
  <c r="M38" i="18"/>
  <c r="K38" i="18"/>
  <c r="I38" i="18"/>
  <c r="G38" i="18"/>
  <c r="E38" i="18"/>
  <c r="AD37" i="18"/>
  <c r="F24" i="4" s="1"/>
  <c r="R37" i="18"/>
  <c r="AB37" i="18"/>
  <c r="AD34" i="18"/>
  <c r="F21" i="4" s="1"/>
  <c r="AB34" i="18"/>
  <c r="AD33" i="18"/>
  <c r="F20" i="4" s="1"/>
  <c r="N33" i="18"/>
  <c r="J33" i="18"/>
  <c r="AB33" i="18"/>
  <c r="AD32" i="18"/>
  <c r="F19" i="4" s="1"/>
  <c r="G19" i="4" s="1"/>
  <c r="Z32" i="18"/>
  <c r="AB32" i="18"/>
  <c r="AD29" i="18"/>
  <c r="F16" i="4" s="1"/>
  <c r="G16" i="4" s="1"/>
  <c r="Z29" i="18"/>
  <c r="X29" i="18"/>
  <c r="V29" i="18"/>
  <c r="R29" i="18"/>
  <c r="P29" i="18"/>
  <c r="N29" i="18"/>
  <c r="J29" i="18"/>
  <c r="H29" i="18"/>
  <c r="F29" i="18"/>
  <c r="AB29" i="18"/>
  <c r="AD28" i="18"/>
  <c r="F15" i="4" s="1"/>
  <c r="G15" i="4" s="1"/>
  <c r="Z28" i="18"/>
  <c r="X28" i="18"/>
  <c r="V28" i="18"/>
  <c r="R28" i="18"/>
  <c r="P28" i="18"/>
  <c r="N28" i="18"/>
  <c r="J28" i="18"/>
  <c r="H28" i="18"/>
  <c r="F28" i="18"/>
  <c r="AB28" i="18"/>
  <c r="AD27" i="18"/>
  <c r="F14" i="4" s="1"/>
  <c r="Z27" i="18"/>
  <c r="X27" i="18"/>
  <c r="V27" i="18"/>
  <c r="R27" i="18"/>
  <c r="P27" i="18"/>
  <c r="N27" i="18"/>
  <c r="J27" i="18"/>
  <c r="H27" i="18"/>
  <c r="F27" i="18"/>
  <c r="AB27" i="18"/>
  <c r="C19" i="7"/>
  <c r="D19" i="7" s="1"/>
  <c r="C18" i="7"/>
  <c r="D18" i="7" s="1"/>
  <c r="E18" i="7" s="1"/>
  <c r="F18" i="7" s="1"/>
  <c r="G18" i="7" s="1"/>
  <c r="H18" i="7" s="1"/>
  <c r="I18" i="7" s="1"/>
  <c r="J18" i="7" s="1"/>
  <c r="K18" i="7" s="1"/>
  <c r="L18" i="7" s="1"/>
  <c r="M18" i="7" s="1"/>
  <c r="N18" i="7" s="1"/>
  <c r="O18" i="7" l="1"/>
  <c r="E19" i="7"/>
  <c r="F19" i="7" s="1"/>
  <c r="G19" i="7" s="1"/>
  <c r="H19" i="7" s="1"/>
  <c r="I19" i="7" s="1"/>
  <c r="J19" i="7" s="1"/>
  <c r="K19" i="7" s="1"/>
  <c r="L19" i="7" s="1"/>
  <c r="M19" i="7" s="1"/>
  <c r="N19" i="7" s="1"/>
  <c r="G14" i="4"/>
  <c r="G36" i="19"/>
  <c r="AC89" i="18"/>
  <c r="AC64" i="18"/>
  <c r="AC35" i="18"/>
  <c r="AC36" i="18"/>
  <c r="P37" i="18"/>
  <c r="F32" i="18"/>
  <c r="J32" i="18"/>
  <c r="R33" i="18"/>
  <c r="R32" i="18"/>
  <c r="V32" i="18"/>
  <c r="X32" i="18"/>
  <c r="P33" i="18"/>
  <c r="H34" i="18"/>
  <c r="V37" i="18"/>
  <c r="F34" i="18"/>
  <c r="X37" i="18"/>
  <c r="H32" i="18"/>
  <c r="V33" i="18"/>
  <c r="N34" i="18"/>
  <c r="F37" i="18"/>
  <c r="Z37" i="18"/>
  <c r="X33" i="18"/>
  <c r="P34" i="18"/>
  <c r="H37" i="18"/>
  <c r="X34" i="18"/>
  <c r="Z34" i="18"/>
  <c r="J34" i="18"/>
  <c r="N32" i="18"/>
  <c r="F33" i="18"/>
  <c r="Z33" i="18"/>
  <c r="R34" i="18"/>
  <c r="J37" i="18"/>
  <c r="P32" i="18"/>
  <c r="H33" i="18"/>
  <c r="V34" i="18"/>
  <c r="N37" i="18"/>
  <c r="G21" i="4"/>
  <c r="G20" i="4"/>
  <c r="D25" i="4"/>
  <c r="G24" i="4"/>
  <c r="J14" i="4"/>
  <c r="L25" i="4"/>
  <c r="F25" i="4"/>
  <c r="I25" i="4"/>
  <c r="AD38" i="18"/>
  <c r="AB38" i="18"/>
  <c r="C38" i="18"/>
  <c r="T27" i="18"/>
  <c r="T28" i="18"/>
  <c r="T29" i="18"/>
  <c r="T32" i="18"/>
  <c r="T33" i="18"/>
  <c r="T34" i="18"/>
  <c r="T37" i="18"/>
  <c r="D38" i="18"/>
  <c r="L27" i="18"/>
  <c r="L28" i="18"/>
  <c r="L29" i="18"/>
  <c r="L32" i="18"/>
  <c r="L33" i="18"/>
  <c r="L34" i="18"/>
  <c r="L37" i="18"/>
  <c r="O19" i="7" l="1"/>
  <c r="R38" i="18"/>
  <c r="K21" i="4"/>
  <c r="K15" i="4"/>
  <c r="K19" i="4"/>
  <c r="K20" i="4"/>
  <c r="K22" i="4"/>
  <c r="K14" i="4"/>
  <c r="K23" i="4"/>
  <c r="K24" i="4"/>
  <c r="K16" i="4"/>
  <c r="H24" i="4"/>
  <c r="H15" i="4"/>
  <c r="H16" i="4"/>
  <c r="H23" i="4"/>
  <c r="H19" i="4"/>
  <c r="H20" i="4"/>
  <c r="H21" i="4"/>
  <c r="H22" i="4"/>
  <c r="H14" i="4"/>
  <c r="E23" i="4"/>
  <c r="E24" i="4"/>
  <c r="E15" i="4"/>
  <c r="E16" i="4"/>
  <c r="E21" i="4"/>
  <c r="E22" i="4"/>
  <c r="E19" i="4"/>
  <c r="E20" i="4"/>
  <c r="E14" i="4"/>
  <c r="V38" i="18"/>
  <c r="AC32" i="18"/>
  <c r="M25" i="4"/>
  <c r="I10" i="4" s="1"/>
  <c r="AC29" i="18"/>
  <c r="X38" i="18"/>
  <c r="J38" i="18"/>
  <c r="H38" i="18"/>
  <c r="P38" i="18"/>
  <c r="F38" i="18"/>
  <c r="Z38" i="18"/>
  <c r="N38" i="18"/>
  <c r="AC33" i="18"/>
  <c r="AC34" i="18"/>
  <c r="AC27" i="18"/>
  <c r="AC37" i="18"/>
  <c r="G25" i="4"/>
  <c r="G10" i="4" s="1"/>
  <c r="G34" i="19" s="1"/>
  <c r="J25" i="4"/>
  <c r="H10" i="4" s="1"/>
  <c r="G35" i="19" s="1"/>
  <c r="AC28" i="18"/>
  <c r="T38" i="18"/>
  <c r="L38" i="18"/>
  <c r="AC38" i="18" l="1"/>
  <c r="C38" i="6" l="1"/>
  <c r="C52" i="6" s="1"/>
  <c r="C39" i="6"/>
  <c r="D53" i="6" s="1"/>
  <c r="E53" i="6" s="1"/>
  <c r="F53" i="6" s="1"/>
  <c r="G53" i="6" s="1"/>
  <c r="H53" i="6" s="1"/>
  <c r="I53" i="6" s="1"/>
  <c r="J53" i="6" s="1"/>
  <c r="K53" i="6" s="1"/>
  <c r="L53" i="6" s="1"/>
  <c r="M53" i="6" s="1"/>
  <c r="N53" i="6" s="1"/>
  <c r="C37" i="6"/>
  <c r="E37" i="6" s="1"/>
  <c r="G37" i="6" s="1"/>
  <c r="I37" i="6" s="1"/>
  <c r="C36" i="6"/>
  <c r="C50" i="6" s="1"/>
  <c r="D50" i="6" s="1"/>
  <c r="E50" i="6" s="1"/>
  <c r="F50" i="6" s="1"/>
  <c r="G50" i="6" s="1"/>
  <c r="H50" i="6" s="1"/>
  <c r="I50" i="6" s="1"/>
  <c r="J50" i="6" s="1"/>
  <c r="K50" i="6" s="1"/>
  <c r="L50" i="6" s="1"/>
  <c r="M50" i="6" s="1"/>
  <c r="N50" i="6" s="1"/>
  <c r="C35" i="6"/>
  <c r="D35" i="6" s="1"/>
  <c r="E35" i="6" s="1"/>
  <c r="F35" i="6" s="1"/>
  <c r="G35" i="6" s="1"/>
  <c r="H35" i="6" s="1"/>
  <c r="I35" i="6" s="1"/>
  <c r="J35" i="6" s="1"/>
  <c r="K35" i="6" s="1"/>
  <c r="L35" i="6" s="1"/>
  <c r="M35" i="6" s="1"/>
  <c r="N35" i="6" s="1"/>
  <c r="C34" i="6"/>
  <c r="D34" i="6" l="1"/>
  <c r="C44" i="6"/>
  <c r="D38" i="6"/>
  <c r="E38" i="6" s="1"/>
  <c r="F38" i="6" s="1"/>
  <c r="G38" i="6" s="1"/>
  <c r="H38" i="6" s="1"/>
  <c r="I38" i="6" s="1"/>
  <c r="J38" i="6" s="1"/>
  <c r="K38" i="6" s="1"/>
  <c r="L38" i="6" s="1"/>
  <c r="M38" i="6" s="1"/>
  <c r="N38" i="6" s="1"/>
  <c r="C49" i="6"/>
  <c r="D49" i="6" s="1"/>
  <c r="E49" i="6" s="1"/>
  <c r="F49" i="6" s="1"/>
  <c r="G49" i="6" s="1"/>
  <c r="H49" i="6" s="1"/>
  <c r="I49" i="6" s="1"/>
  <c r="J49" i="6" s="1"/>
  <c r="K49" i="6" s="1"/>
  <c r="L49" i="6" s="1"/>
  <c r="M49" i="6" s="1"/>
  <c r="N49" i="6" s="1"/>
  <c r="C51" i="6"/>
  <c r="E51" i="6" s="1"/>
  <c r="G51" i="6" s="1"/>
  <c r="I51" i="6" s="1"/>
  <c r="K51" i="6" s="1"/>
  <c r="M51" i="6" s="1"/>
  <c r="C48" i="6"/>
  <c r="D48" i="6" s="1"/>
  <c r="E48" i="6" s="1"/>
  <c r="F48" i="6" s="1"/>
  <c r="G48" i="6" s="1"/>
  <c r="H48" i="6" s="1"/>
  <c r="I48" i="6" s="1"/>
  <c r="J48" i="6" s="1"/>
  <c r="K48" i="6" s="1"/>
  <c r="L48" i="6" s="1"/>
  <c r="M48" i="6" s="1"/>
  <c r="N48" i="6" s="1"/>
  <c r="D52" i="6"/>
  <c r="E52" i="6" s="1"/>
  <c r="F52" i="6" s="1"/>
  <c r="G52" i="6" s="1"/>
  <c r="H52" i="6" s="1"/>
  <c r="I52" i="6" s="1"/>
  <c r="J52" i="6" s="1"/>
  <c r="K52" i="6" s="1"/>
  <c r="L52" i="6" s="1"/>
  <c r="M52" i="6" s="1"/>
  <c r="N52" i="6" s="1"/>
  <c r="D39" i="6"/>
  <c r="E39" i="6" s="1"/>
  <c r="F39" i="6" s="1"/>
  <c r="G39" i="6" s="1"/>
  <c r="H39" i="6" s="1"/>
  <c r="I39" i="6" s="1"/>
  <c r="J39" i="6" s="1"/>
  <c r="K39" i="6" s="1"/>
  <c r="L39" i="6" s="1"/>
  <c r="M39" i="6" s="1"/>
  <c r="N39" i="6" s="1"/>
  <c r="D36" i="6"/>
  <c r="E36" i="6" s="1"/>
  <c r="F36" i="6" s="1"/>
  <c r="G36" i="6" s="1"/>
  <c r="H36" i="6" s="1"/>
  <c r="I36" i="6" s="1"/>
  <c r="J36" i="6" s="1"/>
  <c r="K36" i="6" s="1"/>
  <c r="L36" i="6" s="1"/>
  <c r="M36" i="6" s="1"/>
  <c r="N36" i="6" s="1"/>
  <c r="E14" i="10"/>
  <c r="G14" i="10" s="1"/>
  <c r="E13" i="10"/>
  <c r="G13" i="10" s="1"/>
  <c r="E12" i="10"/>
  <c r="G12" i="10" s="1"/>
  <c r="E11" i="10"/>
  <c r="F11" i="10" s="1"/>
  <c r="E10" i="10"/>
  <c r="G10" i="10" s="1"/>
  <c r="F9" i="10"/>
  <c r="E9" i="10"/>
  <c r="H9" i="10" s="1"/>
  <c r="D29" i="9"/>
  <c r="F29" i="9" s="1"/>
  <c r="D28" i="9"/>
  <c r="D27" i="9"/>
  <c r="D26" i="9"/>
  <c r="D24" i="9"/>
  <c r="D23" i="9"/>
  <c r="D22" i="9"/>
  <c r="J43" i="8"/>
  <c r="I43" i="8"/>
  <c r="H43" i="8"/>
  <c r="G43" i="8"/>
  <c r="F43" i="8"/>
  <c r="E43" i="8"/>
  <c r="J42" i="8"/>
  <c r="I42" i="8"/>
  <c r="H42" i="8"/>
  <c r="G42" i="8"/>
  <c r="F42" i="8"/>
  <c r="E42" i="8"/>
  <c r="J41" i="8"/>
  <c r="I41" i="8"/>
  <c r="H41" i="8"/>
  <c r="G41" i="8"/>
  <c r="F41" i="8"/>
  <c r="E41" i="8"/>
  <c r="J40" i="8"/>
  <c r="I40" i="8"/>
  <c r="H40" i="8"/>
  <c r="G40" i="8"/>
  <c r="F40" i="8"/>
  <c r="E40" i="8"/>
  <c r="J39" i="8"/>
  <c r="I39" i="8"/>
  <c r="H39" i="8"/>
  <c r="G39" i="8"/>
  <c r="F39" i="8"/>
  <c r="E39" i="8"/>
  <c r="J38" i="8"/>
  <c r="I38" i="8"/>
  <c r="H38" i="8"/>
  <c r="G38" i="8"/>
  <c r="F38" i="8"/>
  <c r="E38" i="8"/>
  <c r="J37" i="8"/>
  <c r="I37" i="8"/>
  <c r="H37" i="8"/>
  <c r="G37" i="8"/>
  <c r="F37" i="8"/>
  <c r="E37" i="8"/>
  <c r="J36" i="8"/>
  <c r="I36" i="8"/>
  <c r="H36" i="8"/>
  <c r="G36" i="8"/>
  <c r="F36" i="8"/>
  <c r="E36" i="8"/>
  <c r="J35" i="8"/>
  <c r="I35" i="8"/>
  <c r="H35" i="8"/>
  <c r="G35" i="8"/>
  <c r="F35" i="8"/>
  <c r="E35" i="8"/>
  <c r="J34" i="8"/>
  <c r="I34" i="8"/>
  <c r="H34" i="8"/>
  <c r="G34" i="8"/>
  <c r="F34" i="8"/>
  <c r="E34" i="8"/>
  <c r="J33" i="8"/>
  <c r="I33" i="8"/>
  <c r="H33" i="8"/>
  <c r="G33" i="8"/>
  <c r="F33" i="8"/>
  <c r="E33" i="8"/>
  <c r="D32" i="8"/>
  <c r="O53" i="6"/>
  <c r="E15" i="6" s="1"/>
  <c r="O51" i="6"/>
  <c r="E13" i="6" s="1"/>
  <c r="O50" i="6"/>
  <c r="E11" i="6" s="1"/>
  <c r="O49" i="6"/>
  <c r="E10" i="6" s="1"/>
  <c r="O36" i="6"/>
  <c r="D11" i="6" s="1"/>
  <c r="O35" i="6"/>
  <c r="D10" i="6" s="1"/>
  <c r="C15" i="6"/>
  <c r="C14" i="6"/>
  <c r="C13" i="6"/>
  <c r="C11" i="6"/>
  <c r="C10" i="6"/>
  <c r="O20" i="6"/>
  <c r="C9" i="6" s="1"/>
  <c r="H12" i="10" l="1"/>
  <c r="F28" i="9"/>
  <c r="H11" i="10"/>
  <c r="G11" i="10"/>
  <c r="F10" i="10"/>
  <c r="H10" i="10"/>
  <c r="F22" i="9"/>
  <c r="G9" i="10"/>
  <c r="H13" i="10"/>
  <c r="F27" i="9"/>
  <c r="F14" i="10"/>
  <c r="F12" i="10"/>
  <c r="F15" i="10" s="1"/>
  <c r="G15" i="10" s="1"/>
  <c r="H14" i="10"/>
  <c r="F13" i="10"/>
  <c r="K43" i="8"/>
  <c r="K33" i="8"/>
  <c r="K34" i="8"/>
  <c r="K35" i="8"/>
  <c r="K42" i="8"/>
  <c r="K41" i="8"/>
  <c r="K40" i="8"/>
  <c r="K37" i="8"/>
  <c r="K36" i="8"/>
  <c r="C12" i="7"/>
  <c r="C58" i="6"/>
  <c r="E34" i="6"/>
  <c r="D44" i="6"/>
  <c r="O38" i="6"/>
  <c r="D14" i="6" s="1"/>
  <c r="K39" i="8"/>
  <c r="K38" i="8"/>
  <c r="O52" i="6"/>
  <c r="E14" i="6" s="1"/>
  <c r="O39" i="6"/>
  <c r="D15" i="6" s="1"/>
  <c r="D58" i="6"/>
  <c r="F58" i="6"/>
  <c r="E58" i="6"/>
  <c r="G58" i="6"/>
  <c r="F26" i="9"/>
  <c r="F23" i="9"/>
  <c r="F24" i="9"/>
  <c r="D43" i="8"/>
  <c r="N55" i="8"/>
  <c r="I55" i="8"/>
  <c r="C55" i="8"/>
  <c r="D33" i="8"/>
  <c r="C16" i="6"/>
  <c r="H15" i="10" l="1"/>
  <c r="D99" i="8"/>
  <c r="D97" i="8"/>
  <c r="C99" i="8"/>
  <c r="C97" i="8"/>
  <c r="G99" i="8"/>
  <c r="G97" i="8"/>
  <c r="F99" i="8"/>
  <c r="F97" i="8"/>
  <c r="E99" i="8"/>
  <c r="E97" i="8"/>
  <c r="E93" i="8"/>
  <c r="D93" i="8"/>
  <c r="C93" i="8"/>
  <c r="G93" i="8"/>
  <c r="N93" i="8"/>
  <c r="F93" i="8"/>
  <c r="G92" i="8"/>
  <c r="N92" i="8"/>
  <c r="F92" i="8"/>
  <c r="E92" i="8"/>
  <c r="D92" i="8"/>
  <c r="C92" i="8"/>
  <c r="E91" i="8"/>
  <c r="D91" i="8"/>
  <c r="C91" i="8"/>
  <c r="G91" i="8"/>
  <c r="N91" i="8"/>
  <c r="F91" i="8"/>
  <c r="G98" i="8"/>
  <c r="F98" i="8"/>
  <c r="E98" i="8"/>
  <c r="D98" i="8"/>
  <c r="C98" i="8"/>
  <c r="G100" i="8"/>
  <c r="F100" i="8"/>
  <c r="E100" i="8"/>
  <c r="D100" i="8"/>
  <c r="C100" i="8"/>
  <c r="G94" i="8"/>
  <c r="F94" i="8"/>
  <c r="E94" i="8"/>
  <c r="D94" i="8"/>
  <c r="C94" i="8"/>
  <c r="D95" i="8"/>
  <c r="C95" i="8"/>
  <c r="G95" i="8"/>
  <c r="F95" i="8"/>
  <c r="E95" i="8"/>
  <c r="C78" i="8"/>
  <c r="M78" i="8"/>
  <c r="D78" i="8"/>
  <c r="H78" i="8"/>
  <c r="G78" i="8"/>
  <c r="L78" i="8"/>
  <c r="E78" i="8"/>
  <c r="J78" i="8"/>
  <c r="N78" i="8"/>
  <c r="I78" i="8"/>
  <c r="K78" i="8"/>
  <c r="F78" i="8"/>
  <c r="K73" i="8"/>
  <c r="F73" i="8"/>
  <c r="J73" i="8"/>
  <c r="G73" i="8"/>
  <c r="L73" i="8"/>
  <c r="H73" i="8"/>
  <c r="E73" i="8"/>
  <c r="N73" i="8"/>
  <c r="I73" i="8"/>
  <c r="M73" i="8"/>
  <c r="C73" i="8"/>
  <c r="D73" i="8"/>
  <c r="K79" i="8"/>
  <c r="K77" i="8"/>
  <c r="F79" i="8"/>
  <c r="F77" i="8"/>
  <c r="J79" i="8"/>
  <c r="J77" i="8"/>
  <c r="G79" i="8"/>
  <c r="G77" i="8"/>
  <c r="C79" i="8"/>
  <c r="D77" i="8"/>
  <c r="E79" i="8"/>
  <c r="C77" i="8"/>
  <c r="L77" i="8"/>
  <c r="H77" i="8"/>
  <c r="I79" i="8"/>
  <c r="M79" i="8"/>
  <c r="N77" i="8"/>
  <c r="L79" i="8"/>
  <c r="I77" i="8"/>
  <c r="E77" i="8"/>
  <c r="M77" i="8"/>
  <c r="D79" i="8"/>
  <c r="H79" i="8"/>
  <c r="F82" i="8"/>
  <c r="N82" i="8"/>
  <c r="M82" i="8"/>
  <c r="I82" i="8"/>
  <c r="J82" i="8"/>
  <c r="L82" i="8"/>
  <c r="H82" i="8"/>
  <c r="N79" i="8"/>
  <c r="G82" i="8"/>
  <c r="K82" i="8"/>
  <c r="H72" i="8"/>
  <c r="C80" i="8"/>
  <c r="M80" i="8"/>
  <c r="D80" i="8"/>
  <c r="J80" i="8"/>
  <c r="L80" i="8"/>
  <c r="E80" i="8"/>
  <c r="G80" i="8"/>
  <c r="K80" i="8"/>
  <c r="I80" i="8"/>
  <c r="F80" i="8"/>
  <c r="M72" i="8"/>
  <c r="D72" i="8"/>
  <c r="N56" i="8"/>
  <c r="J72" i="8"/>
  <c r="L72" i="8"/>
  <c r="E72" i="8"/>
  <c r="G72" i="8"/>
  <c r="C72" i="8"/>
  <c r="N72" i="8"/>
  <c r="K72" i="8"/>
  <c r="I72" i="8"/>
  <c r="F72" i="8"/>
  <c r="K83" i="8"/>
  <c r="N83" i="8"/>
  <c r="J83" i="8"/>
  <c r="I83" i="8"/>
  <c r="M83" i="8"/>
  <c r="L83" i="8"/>
  <c r="H83" i="8"/>
  <c r="N84" i="8"/>
  <c r="M84" i="8"/>
  <c r="L84" i="8"/>
  <c r="H84" i="8"/>
  <c r="J84" i="8"/>
  <c r="I84" i="8"/>
  <c r="K84" i="8"/>
  <c r="K71" i="8"/>
  <c r="F71" i="8"/>
  <c r="C71" i="8"/>
  <c r="J71" i="8"/>
  <c r="G71" i="8"/>
  <c r="H71" i="8"/>
  <c r="N71" i="8"/>
  <c r="I71" i="8"/>
  <c r="D71" i="8"/>
  <c r="E71" i="8"/>
  <c r="M71" i="8"/>
  <c r="L71" i="8"/>
  <c r="H55" i="8"/>
  <c r="N74" i="8"/>
  <c r="M74" i="8"/>
  <c r="I74" i="8"/>
  <c r="D74" i="8"/>
  <c r="G74" i="8"/>
  <c r="L74" i="8"/>
  <c r="E74" i="8"/>
  <c r="J74" i="8"/>
  <c r="C74" i="8"/>
  <c r="K74" i="8"/>
  <c r="F74" i="8"/>
  <c r="H74" i="8"/>
  <c r="K75" i="8"/>
  <c r="F75" i="8"/>
  <c r="N75" i="8"/>
  <c r="J75" i="8"/>
  <c r="I75" i="8"/>
  <c r="G75" i="8"/>
  <c r="M75" i="8"/>
  <c r="E75" i="8"/>
  <c r="H75" i="8"/>
  <c r="D75" i="8"/>
  <c r="L75" i="8"/>
  <c r="C75" i="8"/>
  <c r="F63" i="8"/>
  <c r="D35" i="8"/>
  <c r="J57" i="8"/>
  <c r="D57" i="8"/>
  <c r="K57" i="8"/>
  <c r="E57" i="8"/>
  <c r="L57" i="8"/>
  <c r="H57" i="8"/>
  <c r="M57" i="8"/>
  <c r="G57" i="8"/>
  <c r="N57" i="8"/>
  <c r="I57" i="8"/>
  <c r="F57" i="8"/>
  <c r="C57" i="8"/>
  <c r="M56" i="8"/>
  <c r="I56" i="8"/>
  <c r="G56" i="8"/>
  <c r="H56" i="8"/>
  <c r="K56" i="8"/>
  <c r="J56" i="8"/>
  <c r="D56" i="8"/>
  <c r="E56" i="8"/>
  <c r="C56" i="8"/>
  <c r="L56" i="8"/>
  <c r="F56" i="8"/>
  <c r="N63" i="8"/>
  <c r="J63" i="8"/>
  <c r="K63" i="8"/>
  <c r="L63" i="8"/>
  <c r="M63" i="8"/>
  <c r="H63" i="8"/>
  <c r="J55" i="8"/>
  <c r="D55" i="8"/>
  <c r="K55" i="8"/>
  <c r="E55" i="8"/>
  <c r="L55" i="8"/>
  <c r="F55" i="8"/>
  <c r="M55" i="8"/>
  <c r="G55" i="8"/>
  <c r="J61" i="8"/>
  <c r="D61" i="8"/>
  <c r="C61" i="8"/>
  <c r="K61" i="8"/>
  <c r="E61" i="8"/>
  <c r="L61" i="8"/>
  <c r="N61" i="8"/>
  <c r="M61" i="8"/>
  <c r="G61" i="8"/>
  <c r="I61" i="8"/>
  <c r="F61" i="8"/>
  <c r="H61" i="8"/>
  <c r="M62" i="8"/>
  <c r="G62" i="8"/>
  <c r="C62" i="8"/>
  <c r="N62" i="8"/>
  <c r="I62" i="8"/>
  <c r="E62" i="8"/>
  <c r="L62" i="8"/>
  <c r="F62" i="8"/>
  <c r="J62" i="8"/>
  <c r="D62" i="8"/>
  <c r="K62" i="8"/>
  <c r="H62" i="8"/>
  <c r="M58" i="8"/>
  <c r="G58" i="8"/>
  <c r="H58" i="8"/>
  <c r="C58" i="8"/>
  <c r="E58" i="8"/>
  <c r="L58" i="8"/>
  <c r="F58" i="8"/>
  <c r="J58" i="8"/>
  <c r="D58" i="8"/>
  <c r="N58" i="8"/>
  <c r="K58" i="8"/>
  <c r="I58" i="8"/>
  <c r="J59" i="8"/>
  <c r="H59" i="8"/>
  <c r="D59" i="8"/>
  <c r="K59" i="8"/>
  <c r="E59" i="8"/>
  <c r="L59" i="8"/>
  <c r="F59" i="8"/>
  <c r="C59" i="8"/>
  <c r="M59" i="8"/>
  <c r="G59" i="8"/>
  <c r="N59" i="8"/>
  <c r="I59" i="8"/>
  <c r="G63" i="8"/>
  <c r="I63" i="8"/>
  <c r="D42" i="8"/>
  <c r="D41" i="8"/>
  <c r="D34" i="8"/>
  <c r="F33" i="9"/>
  <c r="F31" i="9"/>
  <c r="D39" i="8"/>
  <c r="F32" i="9"/>
  <c r="D36" i="8"/>
  <c r="D37" i="8"/>
  <c r="D40" i="8"/>
  <c r="O65" i="8"/>
  <c r="D38" i="8"/>
  <c r="F34" i="6"/>
  <c r="E44" i="6"/>
  <c r="K37" i="6"/>
  <c r="H58" i="6"/>
  <c r="M22" i="7"/>
  <c r="G22" i="7"/>
  <c r="H28" i="14"/>
  <c r="J22" i="7"/>
  <c r="I22" i="7"/>
  <c r="C22" i="7"/>
  <c r="N22" i="7"/>
  <c r="F22" i="7"/>
  <c r="H22" i="7"/>
  <c r="E22" i="7"/>
  <c r="K22" i="7"/>
  <c r="F27" i="15"/>
  <c r="F27" i="13"/>
  <c r="F28" i="16"/>
  <c r="F24" i="11"/>
  <c r="F28" i="14"/>
  <c r="D22" i="7"/>
  <c r="G28" i="16"/>
  <c r="G24" i="11"/>
  <c r="G27" i="15"/>
  <c r="G27" i="13"/>
  <c r="G28" i="14"/>
  <c r="L22" i="7"/>
  <c r="F34" i="9" l="1"/>
  <c r="E28" i="14" s="1"/>
  <c r="E29" i="14" s="1"/>
  <c r="E24" i="11"/>
  <c r="E25" i="11" s="1"/>
  <c r="E27" i="15"/>
  <c r="E28" i="15" s="1"/>
  <c r="E28" i="16"/>
  <c r="E29" i="16" s="1"/>
  <c r="E27" i="13"/>
  <c r="E28" i="13" s="1"/>
  <c r="O92" i="8"/>
  <c r="O71" i="8"/>
  <c r="D10" i="8" s="1"/>
  <c r="O98" i="8"/>
  <c r="O95" i="8"/>
  <c r="G109" i="8"/>
  <c r="E109" i="8"/>
  <c r="O104" i="8"/>
  <c r="O73" i="8"/>
  <c r="H109" i="8"/>
  <c r="M109" i="8"/>
  <c r="O99" i="8"/>
  <c r="O97" i="8"/>
  <c r="O100" i="8"/>
  <c r="I109" i="8"/>
  <c r="J109" i="8"/>
  <c r="O102" i="8"/>
  <c r="K109" i="8"/>
  <c r="O91" i="8"/>
  <c r="F109" i="8"/>
  <c r="D109" i="8"/>
  <c r="O94" i="8"/>
  <c r="O103" i="8"/>
  <c r="N109" i="8"/>
  <c r="L109" i="8"/>
  <c r="O93" i="8"/>
  <c r="C109" i="8"/>
  <c r="O82" i="8"/>
  <c r="O74" i="8"/>
  <c r="O72" i="8"/>
  <c r="O75" i="8"/>
  <c r="O84" i="8"/>
  <c r="O80" i="8"/>
  <c r="O77" i="8"/>
  <c r="O55" i="8"/>
  <c r="C10" i="8" s="1"/>
  <c r="O83" i="8"/>
  <c r="O79" i="8"/>
  <c r="O78" i="8"/>
  <c r="E66" i="8"/>
  <c r="O56" i="8"/>
  <c r="C66" i="8"/>
  <c r="O57" i="8"/>
  <c r="H86" i="8"/>
  <c r="I86" i="8"/>
  <c r="O62" i="8"/>
  <c r="O63" i="8"/>
  <c r="C86" i="8"/>
  <c r="O64" i="8"/>
  <c r="O61" i="8"/>
  <c r="I66" i="8"/>
  <c r="G66" i="8"/>
  <c r="O58" i="8"/>
  <c r="E86" i="8"/>
  <c r="M66" i="8"/>
  <c r="F66" i="8"/>
  <c r="K86" i="8"/>
  <c r="K66" i="8"/>
  <c r="L66" i="8"/>
  <c r="J66" i="8"/>
  <c r="D66" i="8"/>
  <c r="G86" i="8"/>
  <c r="L86" i="8"/>
  <c r="F86" i="8"/>
  <c r="M86" i="8"/>
  <c r="H66" i="8"/>
  <c r="N66" i="8"/>
  <c r="D86" i="8"/>
  <c r="J86" i="8"/>
  <c r="O59" i="8"/>
  <c r="F44" i="6"/>
  <c r="G34" i="6"/>
  <c r="O60" i="8"/>
  <c r="N86" i="8"/>
  <c r="M37" i="6"/>
  <c r="I58" i="6"/>
  <c r="H27" i="15"/>
  <c r="H27" i="13"/>
  <c r="H24" i="11"/>
  <c r="H28" i="16"/>
  <c r="D13" i="7"/>
  <c r="O109" i="8" l="1"/>
  <c r="E28" i="8"/>
  <c r="O66" i="8"/>
  <c r="D28" i="8"/>
  <c r="O86" i="8"/>
  <c r="G44" i="6"/>
  <c r="H34" i="6"/>
  <c r="C28" i="8"/>
  <c r="O37" i="6"/>
  <c r="D13" i="6" s="1"/>
  <c r="J58" i="6"/>
  <c r="E13" i="7"/>
  <c r="O22" i="7"/>
  <c r="D11" i="5" s="1"/>
  <c r="D13" i="5" s="1"/>
  <c r="C9" i="7"/>
  <c r="C13" i="7" s="1"/>
  <c r="H44" i="6" l="1"/>
  <c r="I34" i="6"/>
  <c r="K58" i="6"/>
  <c r="G23" i="15"/>
  <c r="G20" i="11"/>
  <c r="G24" i="16"/>
  <c r="G23" i="13"/>
  <c r="H25" i="14"/>
  <c r="H25" i="16"/>
  <c r="G24" i="14"/>
  <c r="G25" i="14"/>
  <c r="G25" i="16"/>
  <c r="H24" i="15"/>
  <c r="G24" i="15"/>
  <c r="G21" i="11"/>
  <c r="G24" i="13"/>
  <c r="H24" i="13"/>
  <c r="H21" i="11"/>
  <c r="H23" i="15"/>
  <c r="H23" i="13"/>
  <c r="H24" i="16"/>
  <c r="H20" i="11"/>
  <c r="H24" i="14"/>
  <c r="I44" i="6" l="1"/>
  <c r="J34" i="6"/>
  <c r="L58" i="6"/>
  <c r="F25" i="14"/>
  <c r="F24" i="14"/>
  <c r="H25" i="13"/>
  <c r="H26" i="13" s="1"/>
  <c r="H28" i="13" s="1"/>
  <c r="H22" i="11"/>
  <c r="H23" i="11" s="1"/>
  <c r="H25" i="11" s="1"/>
  <c r="F24" i="16"/>
  <c r="F25" i="16"/>
  <c r="H26" i="14"/>
  <c r="H27" i="14" s="1"/>
  <c r="H29" i="14" s="1"/>
  <c r="H25" i="15"/>
  <c r="H26" i="15" s="1"/>
  <c r="H28" i="15" s="1"/>
  <c r="H26" i="16"/>
  <c r="H27" i="16" s="1"/>
  <c r="H29" i="16" s="1"/>
  <c r="F20" i="11"/>
  <c r="F21" i="11"/>
  <c r="F23" i="13"/>
  <c r="F24" i="13"/>
  <c r="F24" i="15"/>
  <c r="F23" i="15"/>
  <c r="J44" i="6" l="1"/>
  <c r="K34" i="6"/>
  <c r="M58" i="6"/>
  <c r="F26" i="15"/>
  <c r="F28" i="15" s="1"/>
  <c r="G25" i="15"/>
  <c r="G26" i="15" s="1"/>
  <c r="G28" i="15" s="1"/>
  <c r="F26" i="13"/>
  <c r="F28" i="13" s="1"/>
  <c r="G25" i="13"/>
  <c r="G26" i="13" s="1"/>
  <c r="G28" i="13" s="1"/>
  <c r="G26" i="14"/>
  <c r="G27" i="14" s="1"/>
  <c r="G29" i="14" s="1"/>
  <c r="F27" i="14"/>
  <c r="F29" i="14" s="1"/>
  <c r="G22" i="11"/>
  <c r="G23" i="11" s="1"/>
  <c r="G25" i="11" s="1"/>
  <c r="F23" i="11"/>
  <c r="F25" i="11" s="1"/>
  <c r="F27" i="16"/>
  <c r="F29" i="16" s="1"/>
  <c r="G26" i="16"/>
  <c r="G27" i="16" s="1"/>
  <c r="G29" i="16" s="1"/>
  <c r="K44" i="6" l="1"/>
  <c r="L34" i="6"/>
  <c r="E11" i="11" a="1"/>
  <c r="E11" i="11" s="1"/>
  <c r="E12" i="11"/>
  <c r="E15" i="14" a="1"/>
  <c r="E15" i="14" s="1"/>
  <c r="E16" i="14"/>
  <c r="E14" i="13" a="1"/>
  <c r="E14" i="13" s="1"/>
  <c r="E15" i="13"/>
  <c r="E15" i="16" a="1"/>
  <c r="E15" i="16" s="1"/>
  <c r="E16" i="16"/>
  <c r="E14" i="15" a="1"/>
  <c r="E14" i="15" s="1"/>
  <c r="E15" i="15"/>
  <c r="L44" i="6" l="1"/>
  <c r="M34" i="6"/>
  <c r="N58" i="6"/>
  <c r="O48" i="6"/>
  <c r="E9" i="6" s="1"/>
  <c r="E16" i="6" s="1"/>
  <c r="E25" i="4"/>
  <c r="H25" i="4"/>
  <c r="K25" i="4"/>
  <c r="M44" i="6" l="1"/>
  <c r="N34" i="6"/>
  <c r="N44" i="6" s="1"/>
  <c r="O34" i="6"/>
  <c r="D9" i="6" s="1"/>
  <c r="D16"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Prado Brun, Angel Guillermo</author>
  </authors>
  <commentList>
    <comment ref="G31" authorId="0" shapeId="0" xr:uid="{A4B42BE6-35E8-42EA-A558-66641624985D}">
      <text>
        <r>
          <rPr>
            <b/>
            <sz val="9"/>
            <color indexed="81"/>
            <rFont val="Tahoma"/>
            <charset val="1"/>
          </rPr>
          <t>Prado Brun, Angel Guillermo:</t>
        </r>
        <r>
          <rPr>
            <sz val="9"/>
            <color indexed="81"/>
            <rFont val="Tahoma"/>
            <charset val="1"/>
          </rPr>
          <t xml:space="preserve">
1ro 5%
2do 12%
3ro 21%</t>
        </r>
      </text>
    </comment>
    <comment ref="G34" authorId="0" shapeId="0" xr:uid="{7D04C2EA-4FF9-40B3-9018-F5F6E1BC8C08}">
      <text>
        <r>
          <rPr>
            <b/>
            <sz val="9"/>
            <color indexed="81"/>
            <rFont val="Tahoma"/>
            <family val="2"/>
          </rPr>
          <t>Prado Brun, Angel Guillermo:</t>
        </r>
        <r>
          <rPr>
            <sz val="9"/>
            <color indexed="81"/>
            <rFont val="Tahoma"/>
            <family val="2"/>
          </rPr>
          <t xml:space="preserve">
- Primer año en el mercado.
- Lograr el 54% del desarrollo.
</t>
        </r>
      </text>
    </comment>
    <comment ref="G35" authorId="0" shapeId="0" xr:uid="{6DAF1222-E882-4E73-9F66-01ED665AE25E}">
      <text>
        <r>
          <rPr>
            <b/>
            <sz val="9"/>
            <color indexed="81"/>
            <rFont val="Tahoma"/>
            <family val="2"/>
          </rPr>
          <t>Prado Brun, Angel Guillermo:</t>
        </r>
        <r>
          <rPr>
            <sz val="9"/>
            <color indexed="81"/>
            <rFont val="Tahoma"/>
            <family val="2"/>
          </rPr>
          <t xml:space="preserve">
- Segundo año, crecimiento! 
- Llegar al 85% del mercado.</t>
        </r>
      </text>
    </comment>
    <comment ref="G36" authorId="0" shapeId="0" xr:uid="{0D3115BC-640A-4717-8EC3-CBF5AE316819}">
      <text>
        <r>
          <rPr>
            <b/>
            <sz val="9"/>
            <color indexed="81"/>
            <rFont val="Tahoma"/>
            <charset val="1"/>
          </rPr>
          <t>Prado Brun, Angel Guillermo:</t>
        </r>
        <r>
          <rPr>
            <sz val="9"/>
            <color indexed="81"/>
            <rFont val="Tahoma"/>
            <charset val="1"/>
          </rPr>
          <t xml:space="preserve">
-Alcanzar el objetivo del 21% del mercado total.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Prado Brun, Angel Guillermo</author>
  </authors>
  <commentList>
    <comment ref="I25" authorId="0" shapeId="0" xr:uid="{EDBF1851-A3F5-4208-81A3-6CD5EBB58528}">
      <text>
        <r>
          <rPr>
            <b/>
            <sz val="9"/>
            <color indexed="81"/>
            <rFont val="Tahoma"/>
            <family val="2"/>
          </rPr>
          <t>Prado Brun, Angel Guillermo:</t>
        </r>
        <r>
          <rPr>
            <sz val="9"/>
            <color indexed="81"/>
            <rFont val="Tahoma"/>
            <family val="2"/>
          </rPr>
          <t xml:space="preserve">
-Campaña para incrementar ventas
</t>
        </r>
      </text>
    </comment>
    <comment ref="C26" authorId="0" shapeId="0" xr:uid="{516684E8-6615-42AD-8706-316A8307F493}">
      <text>
        <r>
          <rPr>
            <b/>
            <sz val="9"/>
            <color indexed="81"/>
            <rFont val="Tahoma"/>
            <family val="2"/>
          </rPr>
          <t>Prado Brun, Angel Guillermo:</t>
        </r>
        <r>
          <rPr>
            <sz val="9"/>
            <color indexed="81"/>
            <rFont val="Tahoma"/>
            <family val="2"/>
          </rPr>
          <t xml:space="preserve">
Porcentaje de impacto de cada servicio en funcion de toda la mezcla de servicios.</t>
        </r>
      </text>
    </comment>
    <comment ref="AD27" authorId="0" shapeId="0" xr:uid="{8DEEAE0C-DEA5-4810-9920-A32188EE2611}">
      <text>
        <r>
          <rPr>
            <b/>
            <sz val="9"/>
            <color indexed="81"/>
            <rFont val="Tahoma"/>
            <charset val="1"/>
          </rPr>
          <t>Prado Brun, Angel Guillermo:</t>
        </r>
        <r>
          <rPr>
            <sz val="9"/>
            <color indexed="81"/>
            <rFont val="Tahoma"/>
            <charset val="1"/>
          </rPr>
          <t xml:space="preserve">
- 4.30% susc.bronce</t>
        </r>
      </text>
    </comment>
    <comment ref="AD28" authorId="0" shapeId="0" xr:uid="{DE973054-DAF0-470C-903E-164CBFEC50BB}">
      <text>
        <r>
          <rPr>
            <b/>
            <sz val="9"/>
            <color indexed="81"/>
            <rFont val="Tahoma"/>
            <charset val="1"/>
          </rPr>
          <t>Prado Brun, Angel Guillermo:</t>
        </r>
        <r>
          <rPr>
            <sz val="9"/>
            <color indexed="81"/>
            <rFont val="Tahoma"/>
            <charset val="1"/>
          </rPr>
          <t xml:space="preserve">
- 2.5% susc.plata</t>
        </r>
      </text>
    </comment>
    <comment ref="AD29" authorId="0" shapeId="0" xr:uid="{0FAD0073-B770-422B-8C20-7A593F4BDD1C}">
      <text>
        <r>
          <rPr>
            <b/>
            <sz val="9"/>
            <color indexed="81"/>
            <rFont val="Tahoma"/>
            <charset val="1"/>
          </rPr>
          <t>Prado Brun, Angel Guillermo:</t>
        </r>
        <r>
          <rPr>
            <sz val="9"/>
            <color indexed="81"/>
            <rFont val="Tahoma"/>
            <charset val="1"/>
          </rPr>
          <t xml:space="preserve">
- 1% susc.oro</t>
        </r>
      </text>
    </comment>
    <comment ref="I51" authorId="0" shapeId="0" xr:uid="{0435CF25-2F22-422E-BB9D-598589BBCFD9}">
      <text>
        <r>
          <rPr>
            <b/>
            <sz val="9"/>
            <color indexed="81"/>
            <rFont val="Tahoma"/>
            <family val="2"/>
          </rPr>
          <t>Prado Brun, Angel Guillermo:</t>
        </r>
        <r>
          <rPr>
            <sz val="9"/>
            <color indexed="81"/>
            <rFont val="Tahoma"/>
            <family val="2"/>
          </rPr>
          <t xml:space="preserve">
-Campaña para incrementar ventas
</t>
        </r>
      </text>
    </comment>
    <comment ref="C52" authorId="0" shapeId="0" xr:uid="{9FE48710-6B90-4F79-BBFD-9BE93FB674D9}">
      <text>
        <r>
          <rPr>
            <b/>
            <sz val="9"/>
            <color indexed="81"/>
            <rFont val="Tahoma"/>
            <family val="2"/>
          </rPr>
          <t>Prado Brun, Angel Guillermo:</t>
        </r>
        <r>
          <rPr>
            <sz val="9"/>
            <color indexed="81"/>
            <rFont val="Tahoma"/>
            <family val="2"/>
          </rPr>
          <t xml:space="preserve">
Porcentaje de impacto de cada servicio en funcion de toda la mezcla de servicios.</t>
        </r>
      </text>
    </comment>
    <comment ref="E52" authorId="0" shapeId="0" xr:uid="{4BA6BE7F-C23C-4700-8427-8DD7212D2FDE}">
      <text>
        <r>
          <rPr>
            <b/>
            <sz val="9"/>
            <color indexed="81"/>
            <rFont val="Tahoma"/>
            <charset val="1"/>
          </rPr>
          <t>Prado Brun, Angel Guillermo:</t>
        </r>
        <r>
          <rPr>
            <sz val="9"/>
            <color indexed="81"/>
            <rFont val="Tahoma"/>
            <charset val="1"/>
          </rPr>
          <t xml:space="preserve">
-Cantidad de suscriptores que tiene la plataforma.</t>
        </r>
      </text>
    </comment>
    <comment ref="AD53" authorId="0" shapeId="0" xr:uid="{9C15CB95-76A3-407A-AECA-D7E6E905E7FA}">
      <text>
        <r>
          <rPr>
            <b/>
            <sz val="9"/>
            <color indexed="81"/>
            <rFont val="Tahoma"/>
            <charset val="1"/>
          </rPr>
          <t>Prado Brun, Angel Guillermo:</t>
        </r>
        <r>
          <rPr>
            <sz val="9"/>
            <color indexed="81"/>
            <rFont val="Tahoma"/>
            <charset val="1"/>
          </rPr>
          <t xml:space="preserve">
- 6.11% susc.bronce</t>
        </r>
      </text>
    </comment>
    <comment ref="AD54" authorId="0" shapeId="0" xr:uid="{3EF6A06D-197F-47C3-8CAE-03D46EF21845}">
      <text>
        <r>
          <rPr>
            <b/>
            <sz val="9"/>
            <color indexed="81"/>
            <rFont val="Tahoma"/>
            <charset val="1"/>
          </rPr>
          <t>Prado Brun, Angel Guillermo:</t>
        </r>
        <r>
          <rPr>
            <sz val="9"/>
            <color indexed="81"/>
            <rFont val="Tahoma"/>
            <charset val="1"/>
          </rPr>
          <t xml:space="preserve">
- 4% susc.plata</t>
        </r>
      </text>
    </comment>
    <comment ref="AD55" authorId="0" shapeId="0" xr:uid="{36F6E85F-232C-41AE-9B45-75C14C92AC2F}">
      <text>
        <r>
          <rPr>
            <b/>
            <sz val="9"/>
            <color indexed="81"/>
            <rFont val="Tahoma"/>
            <charset val="1"/>
          </rPr>
          <t>Prado Brun, Angel Guillermo:</t>
        </r>
        <r>
          <rPr>
            <sz val="9"/>
            <color indexed="81"/>
            <rFont val="Tahoma"/>
            <charset val="1"/>
          </rPr>
          <t xml:space="preserve">
- 1.4% susc.oro</t>
        </r>
      </text>
    </comment>
    <comment ref="I76" authorId="0" shapeId="0" xr:uid="{05524A98-77E5-4F53-8E65-7F01A2C7AF1B}">
      <text>
        <r>
          <rPr>
            <b/>
            <sz val="9"/>
            <color indexed="81"/>
            <rFont val="Tahoma"/>
            <family val="2"/>
          </rPr>
          <t>Prado Brun, Angel Guillermo:</t>
        </r>
        <r>
          <rPr>
            <sz val="9"/>
            <color indexed="81"/>
            <rFont val="Tahoma"/>
            <family val="2"/>
          </rPr>
          <t xml:space="preserve">
-Campaña para incrementar ventas
</t>
        </r>
      </text>
    </comment>
    <comment ref="C77" authorId="0" shapeId="0" xr:uid="{4CB259F9-D5BB-4788-A84D-5A09C3E10C64}">
      <text>
        <r>
          <rPr>
            <b/>
            <sz val="9"/>
            <color indexed="81"/>
            <rFont val="Tahoma"/>
            <family val="2"/>
          </rPr>
          <t>Prado Brun, Angel Guillermo:</t>
        </r>
        <r>
          <rPr>
            <sz val="9"/>
            <color indexed="81"/>
            <rFont val="Tahoma"/>
            <family val="2"/>
          </rPr>
          <t xml:space="preserve">
Porcentaje de impacto de cada servicio en funcion de toda la mezcla de servicios.</t>
        </r>
      </text>
    </comment>
    <comment ref="AD78" authorId="0" shapeId="0" xr:uid="{4043146C-EC8A-407A-B2D2-9842CA070430}">
      <text>
        <r>
          <rPr>
            <b/>
            <sz val="9"/>
            <color indexed="81"/>
            <rFont val="Tahoma"/>
            <charset val="1"/>
          </rPr>
          <t>Prado Brun, Angel Guillermo:</t>
        </r>
        <r>
          <rPr>
            <sz val="9"/>
            <color indexed="81"/>
            <rFont val="Tahoma"/>
            <charset val="1"/>
          </rPr>
          <t xml:space="preserve">
- 8% susc.bronce</t>
        </r>
      </text>
    </comment>
    <comment ref="AD79" authorId="0" shapeId="0" xr:uid="{12F6CB91-905B-4EB8-921C-2ADE0E82A84F}">
      <text>
        <r>
          <rPr>
            <b/>
            <sz val="9"/>
            <color indexed="81"/>
            <rFont val="Tahoma"/>
            <charset val="1"/>
          </rPr>
          <t>Prado Brun, Angel Guillermo:</t>
        </r>
        <r>
          <rPr>
            <sz val="9"/>
            <color indexed="81"/>
            <rFont val="Tahoma"/>
            <charset val="1"/>
          </rPr>
          <t xml:space="preserve">
- 4.40% susc.plata</t>
        </r>
      </text>
    </comment>
    <comment ref="AD80" authorId="0" shapeId="0" xr:uid="{D96F838D-0A73-492E-B88E-1427BEAC2EF8}">
      <text>
        <r>
          <rPr>
            <b/>
            <sz val="9"/>
            <color indexed="81"/>
            <rFont val="Tahoma"/>
            <charset val="1"/>
          </rPr>
          <t>Prado Brun, Angel Guillermo:</t>
        </r>
        <r>
          <rPr>
            <sz val="9"/>
            <color indexed="81"/>
            <rFont val="Tahoma"/>
            <charset val="1"/>
          </rPr>
          <t xml:space="preserve">
- 2% susc.oro</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C20" authorId="0" shapeId="0" xr:uid="{00000000-0006-0000-0500-000002000000}">
      <text>
        <r>
          <rPr>
            <sz val="10"/>
            <color rgb="FF000000"/>
            <rFont val="Arial"/>
          </rPr>
          <t xml:space="preserve">- https://www.zonaprop.com.ar/propiedades/planta-baja-160-m-sup2--c-bano-disc-planta-alta-vista-44818792.html
- 4 ambientes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Prado Brun, Angel Guillermo</author>
  </authors>
  <commentList>
    <comment ref="C18" authorId="0" shapeId="0" xr:uid="{B14F910E-7C77-488C-B355-1D24ECAB3453}">
      <text>
        <r>
          <rPr>
            <sz val="10"/>
            <color rgb="FF000000"/>
            <rFont val="Arial"/>
          </rPr>
          <t xml:space="preserve">https://www.digitalocean.com/pricing/
2 servidores de 10U$S
2 servidores de 5U$S
(Dolar a $46)
</t>
        </r>
      </text>
    </comment>
    <comment ref="C19" authorId="1" shapeId="0" xr:uid="{FEDA07A8-BA1B-4A77-A8F2-F19BFD2D9626}">
      <text>
        <r>
          <rPr>
            <b/>
            <sz val="9"/>
            <color indexed="81"/>
            <rFont val="Tahoma"/>
            <charset val="1"/>
          </rPr>
          <t>https://www.hostgator.com/?clickid=3uQQRiTt8xyJTRVwUx0Mo3I2UklV3203Zzhtxg0&amp;irgwc=1&amp;affpat=1&amp;mpid=200614</t>
        </r>
        <r>
          <rPr>
            <sz val="9"/>
            <color indexed="81"/>
            <rFont val="Tahoma"/>
            <charset val="1"/>
          </rPr>
          <t xml:space="preserve">
2.75</t>
        </r>
      </text>
    </comment>
    <comment ref="B20" authorId="1" shapeId="0" xr:uid="{177A19B5-0F6B-4F17-861B-31DC03C325A1}">
      <text>
        <r>
          <rPr>
            <b/>
            <sz val="9"/>
            <color indexed="81"/>
            <rFont val="Tahoma"/>
            <charset val="1"/>
          </rPr>
          <t>Todos los clientes que compren nuestro sevicios Plata y Oro en el primer trimestre de cada año tendrán una bonificación de un 15% por el precio de mantenimiento mensual del servicio
Los primeros 100 clientes.</t>
        </r>
        <r>
          <rPr>
            <sz val="9"/>
            <color indexed="81"/>
            <rFont val="Tahoma"/>
            <charset val="1"/>
          </rPr>
          <t xml:space="preserve">
</t>
        </r>
      </text>
    </comment>
    <comment ref="B21" authorId="1" shapeId="0" xr:uid="{0CA0130F-6507-4A1F-B6DC-41B6E0DAFBFD}">
      <text>
        <r>
          <rPr>
            <b/>
            <sz val="9"/>
            <color indexed="81"/>
            <rFont val="Tahoma"/>
            <charset val="1"/>
          </rPr>
          <t>Todos los clientes que compren nuestro sevicios Plata y Oro en el primer trimestre de cada año tendrán una bonificación de un 15% por el precio de mantenimiento mensual del servicio</t>
        </r>
      </text>
    </comment>
    <comment ref="C27" authorId="0" shapeId="0" xr:uid="{735270D7-AFD6-4429-B7BA-B7FD3A86669E}">
      <text>
        <r>
          <rPr>
            <sz val="10"/>
            <color rgb="FF000000"/>
            <rFont val="Arial"/>
          </rPr>
          <t xml:space="preserve">https://www.digitalocean.com/pricing/
2 servidores de 10U$S
2 servidores de 5U$S
(Dolar a $46)
</t>
        </r>
      </text>
    </comment>
    <comment ref="C28" authorId="1" shapeId="0" xr:uid="{C89ECDA8-D16F-4B30-BCB3-2AB57E618F8C}">
      <text>
        <r>
          <rPr>
            <b/>
            <sz val="9"/>
            <color indexed="81"/>
            <rFont val="Tahoma"/>
            <charset val="1"/>
          </rPr>
          <t>https://www.hostgator.com/?clickid=3uQQRiTt8xyJTRVwUx0Mo3I2UklV3203Zzhtxg0&amp;irgwc=1&amp;affpat=1&amp;mpid=200614</t>
        </r>
        <r>
          <rPr>
            <sz val="9"/>
            <color indexed="81"/>
            <rFont val="Tahoma"/>
            <charset val="1"/>
          </rPr>
          <t xml:space="preserve">
2.75</t>
        </r>
      </text>
    </comment>
    <comment ref="B29" authorId="1" shapeId="0" xr:uid="{141974DE-65F2-4287-8A0C-CEC239599FF1}">
      <text>
        <r>
          <rPr>
            <b/>
            <sz val="9"/>
            <color indexed="81"/>
            <rFont val="Tahoma"/>
            <charset val="1"/>
          </rPr>
          <t>Todos los clientes que compren nuestro sevicios Plata y Oro en el primer trimestre de cada año tendrán una bonificación de un 15% por el precio de mantenimiento mensual del servicio
Los primeros 100 clientes.</t>
        </r>
        <r>
          <rPr>
            <sz val="9"/>
            <color indexed="81"/>
            <rFont val="Tahoma"/>
            <charset val="1"/>
          </rPr>
          <t xml:space="preserve">
</t>
        </r>
      </text>
    </comment>
    <comment ref="B30" authorId="1" shapeId="0" xr:uid="{5017AE81-C39D-4969-85B7-A15B3E5C9015}">
      <text>
        <r>
          <rPr>
            <b/>
            <sz val="9"/>
            <color indexed="81"/>
            <rFont val="Tahoma"/>
            <charset val="1"/>
          </rPr>
          <t>Todos los clientes que compren nuestro sevicios Plata y Oro en el primer trimestre de cada año tendrán una bonificación de un 15% por el precio de mantenimiento mensual del servicio</t>
        </r>
      </text>
    </comment>
    <comment ref="C36" authorId="0" shapeId="0" xr:uid="{09DE5EDF-BA84-4BCC-818E-C8292EFD9FCE}">
      <text>
        <r>
          <rPr>
            <sz val="10"/>
            <color rgb="FF000000"/>
            <rFont val="Arial"/>
          </rPr>
          <t xml:space="preserve">https://www.digitalocean.com/pricing/
2 servidores de 10U$S
2 servidores de 5U$S
(Dolar a $46)
</t>
        </r>
      </text>
    </comment>
    <comment ref="C37" authorId="1" shapeId="0" xr:uid="{BD577672-7246-48AB-BF02-FF596BF75404}">
      <text>
        <r>
          <rPr>
            <b/>
            <sz val="9"/>
            <color indexed="81"/>
            <rFont val="Tahoma"/>
            <charset val="1"/>
          </rPr>
          <t>https://www.hostgator.com/?clickid=3uQQRiTt8xyJTRVwUx0Mo3I2UklV3203Zzhtxg0&amp;irgwc=1&amp;affpat=1&amp;mpid=200614</t>
        </r>
        <r>
          <rPr>
            <sz val="9"/>
            <color indexed="81"/>
            <rFont val="Tahoma"/>
            <charset val="1"/>
          </rPr>
          <t xml:space="preserve">
2.75</t>
        </r>
      </text>
    </comment>
    <comment ref="B38" authorId="1" shapeId="0" xr:uid="{C264F7A8-2DBB-4D1C-9177-E45AAE5EA3DF}">
      <text>
        <r>
          <rPr>
            <b/>
            <sz val="9"/>
            <color indexed="81"/>
            <rFont val="Tahoma"/>
            <charset val="1"/>
          </rPr>
          <t>Todos los clientes que compren nuestro sevicios Plata y Oro en el primer trimestre de cada año tendrán una bonificación de un 15% por el precio de mantenimiento mensual del servicio
Los primeros 100 clientes.</t>
        </r>
        <r>
          <rPr>
            <sz val="9"/>
            <color indexed="81"/>
            <rFont val="Tahoma"/>
            <charset val="1"/>
          </rPr>
          <t xml:space="preserve">
</t>
        </r>
      </text>
    </comment>
    <comment ref="B39" authorId="1" shapeId="0" xr:uid="{A1C9AFD5-274D-41E0-996D-9D71F7DB4DBB}">
      <text>
        <r>
          <rPr>
            <b/>
            <sz val="9"/>
            <color indexed="81"/>
            <rFont val="Tahoma"/>
            <charset val="1"/>
          </rPr>
          <t>Todos los clientes que compren nuestro sevicios Plata y Oro en el primer trimestre de cada año tendrán una bonificación de un 15% por el precio de mantenimiento mensual del servicio</t>
        </r>
      </text>
    </comment>
  </commentList>
</comments>
</file>

<file path=xl/sharedStrings.xml><?xml version="1.0" encoding="utf-8"?>
<sst xmlns="http://schemas.openxmlformats.org/spreadsheetml/2006/main" count="1060" uniqueCount="249">
  <si>
    <t>TRABAJO FINAL DE INGENIERÍA</t>
  </si>
  <si>
    <t>Indice</t>
  </si>
  <si>
    <t>Índice</t>
  </si>
  <si>
    <t>Hipótesis</t>
  </si>
  <si>
    <t>Proyeccion de Ingresos</t>
  </si>
  <si>
    <t>Modelo de ingresos</t>
  </si>
  <si>
    <t>Modelo de egresos</t>
  </si>
  <si>
    <t>Costos fijos</t>
  </si>
  <si>
    <t>Costos variables</t>
  </si>
  <si>
    <t>Costos RRHH</t>
  </si>
  <si>
    <t>Modelo de inversion</t>
  </si>
  <si>
    <t>Presupuesto financiero</t>
  </si>
  <si>
    <t>Proyección de Ingresos</t>
  </si>
  <si>
    <t>Matriz de riesgo</t>
  </si>
  <si>
    <t>Escenario 1</t>
  </si>
  <si>
    <t>Escenario 2</t>
  </si>
  <si>
    <t>Escenario 3</t>
  </si>
  <si>
    <t>Plan de contingencia Escenario 3</t>
  </si>
  <si>
    <t>Escritorios (4 personas)</t>
  </si>
  <si>
    <t>Escritorios (1 personas)</t>
  </si>
  <si>
    <t>Sillas</t>
  </si>
  <si>
    <t>Computadoras</t>
  </si>
  <si>
    <t>Notebook</t>
  </si>
  <si>
    <t>Impresora</t>
  </si>
  <si>
    <t>Switch</t>
  </si>
  <si>
    <t>AÑO 1</t>
  </si>
  <si>
    <t>Enero</t>
  </si>
  <si>
    <t>Febrero</t>
  </si>
  <si>
    <t>Marzo</t>
  </si>
  <si>
    <t>Abril</t>
  </si>
  <si>
    <t>Mayo</t>
  </si>
  <si>
    <t>Junio</t>
  </si>
  <si>
    <t>Julio</t>
  </si>
  <si>
    <t>Agosto</t>
  </si>
  <si>
    <t>Septiembre</t>
  </si>
  <si>
    <t>Octubre</t>
  </si>
  <si>
    <t>Noviembre</t>
  </si>
  <si>
    <t>Diciembre</t>
  </si>
  <si>
    <t>Total</t>
  </si>
  <si>
    <t>Modelo de ingreso</t>
  </si>
  <si>
    <t>AÑO 2</t>
  </si>
  <si>
    <t>AÑO 3</t>
  </si>
  <si>
    <t>Productos</t>
  </si>
  <si>
    <t>Precio</t>
  </si>
  <si>
    <t>Totales</t>
  </si>
  <si>
    <t>Modelo de egreso</t>
  </si>
  <si>
    <t>Año 1</t>
  </si>
  <si>
    <t>Año 2</t>
  </si>
  <si>
    <t>Año 3</t>
  </si>
  <si>
    <t>Costos Fijos</t>
  </si>
  <si>
    <t>Servicios</t>
  </si>
  <si>
    <t>Alquiler</t>
  </si>
  <si>
    <t>Luz</t>
  </si>
  <si>
    <t>Internet/Teléfono</t>
  </si>
  <si>
    <t>Publicidad</t>
  </si>
  <si>
    <t>Agua</t>
  </si>
  <si>
    <t>Honorarios</t>
  </si>
  <si>
    <t>Limpieza</t>
  </si>
  <si>
    <t>Estudio contable</t>
  </si>
  <si>
    <t>Total Mensual</t>
  </si>
  <si>
    <t>Totales Anual</t>
  </si>
  <si>
    <t>Costos Variables</t>
  </si>
  <si>
    <t>Puesto</t>
  </si>
  <si>
    <t>Desarrollador Senior</t>
  </si>
  <si>
    <t>Tesorero</t>
  </si>
  <si>
    <t>Sueldo bruto</t>
  </si>
  <si>
    <t>S.A.C.</t>
  </si>
  <si>
    <t>Jubilación</t>
  </si>
  <si>
    <t>PAMI</t>
  </si>
  <si>
    <t>Obra Social</t>
  </si>
  <si>
    <t>Asignaciones Familiares</t>
  </si>
  <si>
    <t>Fondo nacional de empleo</t>
  </si>
  <si>
    <t>ART</t>
  </si>
  <si>
    <t>Total Anual</t>
  </si>
  <si>
    <t>Modelo de inversión</t>
  </si>
  <si>
    <t>Precios</t>
  </si>
  <si>
    <t>Fuente</t>
  </si>
  <si>
    <t>AÑO 0</t>
  </si>
  <si>
    <t>Muebles</t>
  </si>
  <si>
    <t>Cantidades</t>
  </si>
  <si>
    <t>Hardware</t>
  </si>
  <si>
    <t>Sistema</t>
  </si>
  <si>
    <t>Valor x Hr.</t>
  </si>
  <si>
    <t>Cant. Hrs.</t>
  </si>
  <si>
    <t>Modelado, Diseño, Investigación</t>
  </si>
  <si>
    <t>Desarrollo</t>
  </si>
  <si>
    <t>Implementación</t>
  </si>
  <si>
    <t>Amortización</t>
  </si>
  <si>
    <t>Presupuesto Financiero</t>
  </si>
  <si>
    <t>Tasa de corte</t>
  </si>
  <si>
    <t>V.A.N</t>
  </si>
  <si>
    <t>T.I.R</t>
  </si>
  <si>
    <t>Ingresos</t>
  </si>
  <si>
    <t>Utilidades antes de impuestos</t>
  </si>
  <si>
    <t>IIBB (3%)</t>
  </si>
  <si>
    <t>Impuesto a las ganancias (35%)</t>
  </si>
  <si>
    <t>Utilidades después de impuestos</t>
  </si>
  <si>
    <t>Nº</t>
  </si>
  <si>
    <t>Riego</t>
  </si>
  <si>
    <t>Inversión</t>
  </si>
  <si>
    <t>Consecuencia</t>
  </si>
  <si>
    <t>Probabilidad</t>
  </si>
  <si>
    <t>Impacto</t>
  </si>
  <si>
    <t>Efecto</t>
  </si>
  <si>
    <t>Inestabilidad económica en el país.</t>
  </si>
  <si>
    <t>Se ven afectados los ingresos y un aumento en los costos del servicio.</t>
  </si>
  <si>
    <t>Medio</t>
  </si>
  <si>
    <t>Alto</t>
  </si>
  <si>
    <t>Flujo de fondos</t>
  </si>
  <si>
    <t>Corte de luz en repetidas veces.</t>
  </si>
  <si>
    <t>La empresa no puede trabajar por un periodo determinado.</t>
  </si>
  <si>
    <t>Bajo</t>
  </si>
  <si>
    <t>Representa una pérdida del 1%.</t>
  </si>
  <si>
    <t>Pérdida del desarrollador Sr. en el segundo año.</t>
  </si>
  <si>
    <t>Retraso en la solución de bugs y la imposibilidad de sacar nuevas features.</t>
  </si>
  <si>
    <t>Baja</t>
  </si>
  <si>
    <t>Esto representa un aumento del 5% en el sueldo del desarrollador Sr.</t>
  </si>
  <si>
    <t>Mala estimación de las horas de desarrollo</t>
  </si>
  <si>
    <t>Retraso al ingreso del mercado.</t>
  </si>
  <si>
    <t>Media</t>
  </si>
  <si>
    <t>Pérdida de capital en un 1% en el primer año.</t>
  </si>
  <si>
    <t>Alta</t>
  </si>
  <si>
    <t>Pérdida de participación en el mercado.</t>
  </si>
  <si>
    <t>Nuevo competidor en el mercado.</t>
  </si>
  <si>
    <t>Se produce una merma en la participación del mercado generado pérdidas del 5%.</t>
  </si>
  <si>
    <t>Mala relación entre los empleados</t>
  </si>
  <si>
    <t>Mala trato entre los empleados, baja motivación.</t>
  </si>
  <si>
    <t>Mal clima laboral y renuncia de empleados.</t>
  </si>
  <si>
    <t>Sobrecarga del sistema</t>
  </si>
  <si>
    <t>El sistema no soporta los niveles de tráfico.</t>
  </si>
  <si>
    <t>El sistema colapsa y deja de trabajar por un periodo de tiempo.</t>
  </si>
  <si>
    <t>Errores en el sistema.</t>
  </si>
  <si>
    <t>Errores de funcionamiento en el sistema que no fueron encontrados en la etapa de testing.</t>
  </si>
  <si>
    <t>Emisión de pagos con montos erróneos. Esto implica 0,7% tanto de pérdida como de ganancia.</t>
  </si>
  <si>
    <t>Incapacidad de retener recursos con talento</t>
  </si>
  <si>
    <t>No se forma un equipo sólido.</t>
  </si>
  <si>
    <t>Desmotivación del equipo</t>
  </si>
  <si>
    <t>Invertir tiempo en su entrenamiento.</t>
  </si>
  <si>
    <t>La demora en el ingreso de sus actividades hace que se pierda 0,5%.</t>
  </si>
  <si>
    <t>No disponer de un sistema interno que administre clientes y ordenes de trabajo.</t>
  </si>
  <si>
    <t>Conclusión: El proyecto resiste en ingreso de un nuevo competidor al mercado perdiendo una participación del 5%.</t>
  </si>
  <si>
    <t>Escenario 3: Inestabilidad económica en el país.</t>
  </si>
  <si>
    <t>Conclusión: Para la superar el embate inflacionario, se pretende aumentar la inversión en publicidad en un 30%, esperando un incremento mínimo del 10% en los ingresos y suspender el ingreso del asistente de administración. Esto permitirá estabilizar el proyecto.</t>
  </si>
  <si>
    <t>Matriz de Riesgo</t>
  </si>
  <si>
    <r>
      <rPr>
        <b/>
        <sz val="10"/>
        <rFont val="Arial"/>
        <family val="2"/>
      </rPr>
      <t>Alumno:</t>
    </r>
    <r>
      <rPr>
        <sz val="10"/>
        <rFont val="Arial"/>
      </rPr>
      <t xml:space="preserve"> Ángel Guillermo Prado Brun</t>
    </r>
  </si>
  <si>
    <r>
      <rPr>
        <b/>
        <sz val="10"/>
        <rFont val="Arial"/>
        <family val="2"/>
      </rPr>
      <t>Legajo:</t>
    </r>
    <r>
      <rPr>
        <sz val="10"/>
        <rFont val="Arial"/>
        <family val="2"/>
      </rPr>
      <t xml:space="preserve"> A0910057291</t>
    </r>
  </si>
  <si>
    <r>
      <rPr>
        <b/>
        <sz val="10"/>
        <rFont val="Arial"/>
        <family val="2"/>
      </rPr>
      <t>Carrera:</t>
    </r>
    <r>
      <rPr>
        <sz val="10"/>
        <rFont val="Arial"/>
        <family val="2"/>
      </rPr>
      <t xml:space="preserve"> Ingeniería en sistemas de Información</t>
    </r>
  </si>
  <si>
    <r>
      <rPr>
        <b/>
        <sz val="10"/>
        <rFont val="Arial"/>
        <family val="2"/>
      </rPr>
      <t>Profesor</t>
    </r>
    <r>
      <rPr>
        <sz val="10"/>
        <color rgb="FF000000"/>
        <rFont val="Arial"/>
      </rPr>
      <t>: Jorge Scali</t>
    </r>
  </si>
  <si>
    <t>Plan Cont. Esc 3</t>
  </si>
  <si>
    <t>Inflacion</t>
  </si>
  <si>
    <t>dólar ud$</t>
  </si>
  <si>
    <t>Hosting WebApp</t>
  </si>
  <si>
    <t>Hosting db</t>
  </si>
  <si>
    <t>Promoción de ventas (Servicio básico)</t>
  </si>
  <si>
    <t>Promoción de ventas (Servicio medio)</t>
  </si>
  <si>
    <t>AÑO1</t>
  </si>
  <si>
    <t>%</t>
  </si>
  <si>
    <t>TOTALES</t>
  </si>
  <si>
    <t>Capacidad Operativa Inicial</t>
  </si>
  <si>
    <t>Estacionalidad</t>
  </si>
  <si>
    <t>Servicio</t>
  </si>
  <si>
    <t>% vta.</t>
  </si>
  <si>
    <t>Precio unitario</t>
  </si>
  <si>
    <t>Total anual</t>
  </si>
  <si>
    <t>Cantidad anual</t>
  </si>
  <si>
    <t>Capacidad Operativa</t>
  </si>
  <si>
    <t>Membresia Bronce</t>
  </si>
  <si>
    <t>Membresia Plata</t>
  </si>
  <si>
    <t>Membresia Oro</t>
  </si>
  <si>
    <t>Descripción del negocio</t>
  </si>
  <si>
    <t>Mercado Meta</t>
  </si>
  <si>
    <t>Mercado</t>
  </si>
  <si>
    <t>Monto</t>
  </si>
  <si>
    <t>Facturación total</t>
  </si>
  <si>
    <t>Participación en el mercado</t>
  </si>
  <si>
    <t>Primer Año</t>
  </si>
  <si>
    <t>Segundo Año</t>
  </si>
  <si>
    <t>Tercer Año</t>
  </si>
  <si>
    <t>Lista de Precios</t>
  </si>
  <si>
    <t>Publicación Clasificado</t>
  </si>
  <si>
    <t>Publicacion Basica</t>
  </si>
  <si>
    <t>Publicación de Moto Seccion Ofertas</t>
  </si>
  <si>
    <t>Servicio de Registro Clubes</t>
  </si>
  <si>
    <t>Servicio Experto Int (Membresía Bronce y Plata)</t>
  </si>
  <si>
    <t>Servicio de Registro a Evento Internacional</t>
  </si>
  <si>
    <t>Desarrollador Semi Señor</t>
  </si>
  <si>
    <t>La elaboración de los precios de venta se basa en un valor promedio de cada servicio. Donde, de ese monto tomamos un 8% del parque activo, del cual 4% va para el afiliado Bronce, un 3% va para el afiliado Plata y un 1% va para afiliados clase Oro.(esto para definir la fuerza de suscripcion en el primer año) 
Las cantidades representan el caudal de ventas realizadas por nuestro servicio en cada producto que se describe en la lista de precios,segun la influencia del producto segun la mezcla de servicios propuesta.
Para la elaboración de la proyección de ingresos se tuvo en cuenta detalles y eventos por estacionalidad como por ejemplo, ExpoEventos Latinoamérica (Marzo), Motofest internacional (Mayo) y 5ta Edición de “Vuelta a Formosa” (Septiembre), Julio y Diciembre donde se cobra el aguinaldo y los meses de vacaciones tanto verano como invierno.</t>
  </si>
  <si>
    <t>Analista Servicio</t>
  </si>
  <si>
    <t>Analista Marketing</t>
  </si>
  <si>
    <t>Gerente General</t>
  </si>
  <si>
    <t>Gerente Servicio</t>
  </si>
  <si>
    <t>Gerente Administración</t>
  </si>
  <si>
    <t>Gerente Marketing</t>
  </si>
  <si>
    <t>Escritorios (2 personas)</t>
  </si>
  <si>
    <t>Analista Funcional</t>
  </si>
  <si>
    <t>Lider Infraestructura</t>
  </si>
  <si>
    <t>Analista Venta</t>
  </si>
  <si>
    <t>Analista Administracion</t>
  </si>
  <si>
    <t>Analista RRHH</t>
  </si>
  <si>
    <t>Tecnico Soporte</t>
  </si>
  <si>
    <t>Asistente Contable</t>
  </si>
  <si>
    <t>Desarrollador Jr</t>
  </si>
  <si>
    <t xml:space="preserve">Teniendo en cuenta la cantidad de usuarios en el parque activo (Buenos Aires, Mendoza y Cordoba) de 4.875.627,se definió comparando el valor de las suscripciones de las plataformas digitales más concurridas en el territorio Argentino,
teniendo en cuenta los diferentes alcances (de servicio, mercado,geográfico) y así también teniendo presente los objetivos de captación de usuarios definidos. (Un valor de $80, como mínimo para mercado meta en la suscripción de entrada al mercado), se podria considerar que el total de usuarios suscriptos generarian $390,050,160. </t>
  </si>
  <si>
    <t>Cant. Suscriptores</t>
  </si>
  <si>
    <t>Cant. Ventas Serv.</t>
  </si>
  <si>
    <t>Servicio Suscripciones</t>
  </si>
  <si>
    <t>Servicios Suscriptores</t>
  </si>
  <si>
    <t>Cant.Susc</t>
  </si>
  <si>
    <t>Cant,Ventas</t>
  </si>
  <si>
    <t>MOTOPOINT se dedica al desarrollo de una plataforma digital que implementar un modelo integral en base al diseño de una red social de motociclistas para argentinos.
Brinda la oportunidad de encontrar un lugar donde sus usuarios puedan compartir experiencias e inquietudes, crear su propio punto de encuentro y tener la oportunidad de adquirir eventos de rutas definidas. Soportado en el crecimiento del mercado de motocicletas en el país de Argentina y la implementación de avances digitales para la conformación de grupos sociales incluyentes en el área de esparcimiento y diversión.</t>
  </si>
  <si>
    <t>Facebook</t>
  </si>
  <si>
    <t>Instagram</t>
  </si>
  <si>
    <t>Tv El Garage</t>
  </si>
  <si>
    <t>Radio FM 93.3</t>
  </si>
  <si>
    <t>Promoción de ventas (Susc.Bronce)</t>
  </si>
  <si>
    <t>Promoción de ventas (Susc.Plata)</t>
  </si>
  <si>
    <t>Tecnico Soporte 1</t>
  </si>
  <si>
    <t>Tecnico Soporte 2</t>
  </si>
  <si>
    <t>https://articulo.mercadolibre.com.ar/MLA-799521033-isla-de-trabajo-operativa-de-cuatro-puestos-linea-allegro-_JM?quantity=1&amp;variation=40277740333</t>
  </si>
  <si>
    <t>https://articulo.mercadolibre.com.ar/MLA-748568029-puesto-de-trabajo-platinum-escritorio-rinconero-mesa-pc-_JM?quantity=1&amp;variation=27557480479</t>
  </si>
  <si>
    <t>https://articulo.mercadolibre.com.ar/MLA-726753286-sillon-ejecutivo-gerencial-bajo-silla-pc-envios-disenos--_JM?searchVariation=36486402153&amp;quantity=1&amp;variation=36486402153</t>
  </si>
  <si>
    <t>https://articulo.mercadolibre.com.ar/MLA-742321093-notebook-lenovo-thinkpad-t480-i7-ssd-m2-512gb-8gb-win10pro-_JM?quantity=1</t>
  </si>
  <si>
    <t>https://articulo.mercadolibre.com.ar/MLA-620180612-impresora-brother-dcp-1617nw-multi-wifi-toner-de-regalo-_JM?searchVariation=37261660059&amp;quantity=1&amp;variation=37261660059</t>
  </si>
  <si>
    <t>https://articulo.mercadolibre.com.ar/MLA-780722070-switch-cisco-sg110-16-16-port-gigabit-rack-sg100-16-mexx-2-_JM?quantity=1</t>
  </si>
  <si>
    <t>https://articulo.mercadolibre.com.ar/MLA-728633010-computadora-gamer-intel-i7-7700-monitor-19-gamer-gtx-1050-2g-_JM?quantity=1</t>
  </si>
  <si>
    <t>Costos Variable</t>
  </si>
  <si>
    <t>Costos RR HH</t>
  </si>
  <si>
    <t>Aumento de los costos fijos en un 35% y un aumento en los recursos humanos del 25% para el tercer año del emprendimiento.</t>
  </si>
  <si>
    <t>Problemas de trackeo de eventos</t>
  </si>
  <si>
    <t>Mala configuración o asignacion erronea de suscriptores a eventos o rutas.</t>
  </si>
  <si>
    <t>Se generan eventos con faltantes de suscriptores esto significa un 1% de los ingresos de segundo año.</t>
  </si>
  <si>
    <t>Ingreso de un analista de servicio sin experiencia en el rubro en el primer año.</t>
  </si>
  <si>
    <t>Desconoce cómo vender y promocionar el servicio.</t>
  </si>
  <si>
    <t>Demora en lapsos de entregas parciales del proyecto.</t>
  </si>
  <si>
    <t>Atraso en la disponibilidad de la plataforma.</t>
  </si>
  <si>
    <t>Necesidad de horas extra por parte del personal actual. Aumento de costo de RRHH 10%</t>
  </si>
  <si>
    <t>Pérdida de tiempo por parte del desarrollador ya que tiene que instalar el software requerido.</t>
  </si>
  <si>
    <t>Aumento de costos de RRHH 3% por horas extra y caída de las ventas en un 2%</t>
  </si>
  <si>
    <t>Caida en la suscripciones por parte de los suscriptores</t>
  </si>
  <si>
    <t>Disminucion de ingresos por perdida de suscriptores.</t>
  </si>
  <si>
    <t>Las perdidas son proporcional a la cantidad de caidas de los sucriptores</t>
  </si>
  <si>
    <t>Contratar Gerente de Servicios sin experiencia en el rubro en el primer año</t>
  </si>
  <si>
    <t>Escenario 13: Contratar Gerente de Servicios sin experiencia en el rubro en el primer año.</t>
  </si>
  <si>
    <t>Desconoce cómo gestionar y publicitar el servicio.</t>
  </si>
  <si>
    <t>El ingreso de un gerente de servicio sin experiencia en el rubro genera un retraso del 2% en los ingresos del primer año.</t>
  </si>
  <si>
    <t>Escenario 6: Pérdida de participación en el mercado.</t>
  </si>
  <si>
    <r>
      <rPr>
        <b/>
        <sz val="10"/>
        <rFont val="Arial"/>
      </rPr>
      <t>Conclusión</t>
    </r>
    <r>
      <rPr>
        <sz val="10"/>
        <color rgb="FF000000"/>
        <rFont val="Arial"/>
      </rPr>
      <t>: El proyecto tolera una pérdida del 2% por la contratación de un gerente de servicio sin experiencia en el rubro.</t>
    </r>
  </si>
  <si>
    <t>Escenario 1: Inestabilidad económica en el país.</t>
  </si>
  <si>
    <t>Conclusión: El modelo no resiste que el tercer año cuente con una inflación del 35% y una ajuste de salarios por inflación del 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</si>
</sst>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164" formatCode="[$ $]#,##0"/>
    <numFmt numFmtId="165" formatCode="\$\ #,##0"/>
    <numFmt numFmtId="166" formatCode="[$ $]#,##0.00"/>
    <numFmt numFmtId="167" formatCode="&quot;$&quot;\ #,##0.00"/>
    <numFmt numFmtId="168" formatCode="\$\ #,##0.00"/>
    <numFmt numFmtId="169" formatCode="0.0%"/>
    <numFmt numFmtId="171" formatCode="&quot;$&quot;#,##0.00"/>
  </numFmts>
  <fonts count="28">
    <font>
      <sz val="10"/>
      <color rgb="FF000000"/>
      <name val="Arial"/>
    </font>
    <font>
      <b/>
      <sz val="11"/>
      <name val="Arial"/>
    </font>
    <font>
      <sz val="11"/>
      <color rgb="FF000000"/>
      <name val="Calibri"/>
    </font>
    <font>
      <sz val="10"/>
      <name val="Arial"/>
    </font>
    <font>
      <b/>
      <sz val="10"/>
      <name val="Arial"/>
    </font>
    <font>
      <u/>
      <sz val="10"/>
      <color rgb="FF0000FF"/>
      <name val="Arial"/>
    </font>
    <font>
      <b/>
      <sz val="11"/>
      <color rgb="FF000000"/>
      <name val="Calibri"/>
    </font>
    <font>
      <sz val="11"/>
      <name val="Calibri"/>
    </font>
    <font>
      <sz val="10"/>
      <name val="Arial"/>
    </font>
    <font>
      <sz val="11"/>
      <name val="Arial"/>
    </font>
    <font>
      <b/>
      <sz val="10"/>
      <color rgb="FF000000"/>
      <name val="Arial"/>
    </font>
    <font>
      <sz val="11"/>
      <color rgb="FF1155CC"/>
      <name val="Inconsolata"/>
    </font>
    <font>
      <sz val="10"/>
      <color rgb="FF000000"/>
      <name val="Arial"/>
    </font>
    <font>
      <sz val="10"/>
      <color rgb="FF000000"/>
      <name val="Roboto"/>
    </font>
    <font>
      <u/>
      <sz val="10"/>
      <color theme="10"/>
      <name val="Arial"/>
    </font>
    <font>
      <b/>
      <sz val="10"/>
      <name val="Arial"/>
      <family val="2"/>
    </font>
    <font>
      <sz val="10"/>
      <name val="Arial"/>
      <family val="2"/>
    </font>
    <font>
      <u/>
      <sz val="11"/>
      <color theme="10"/>
      <name val="Arial"/>
      <family val="2"/>
    </font>
    <font>
      <b/>
      <sz val="11"/>
      <name val="Arial"/>
      <family val="2"/>
    </font>
    <font>
      <sz val="11"/>
      <name val="Arial"/>
      <family val="2"/>
    </font>
    <font>
      <sz val="9"/>
      <color indexed="81"/>
      <name val="Tahoma"/>
      <charset val="1"/>
    </font>
    <font>
      <b/>
      <sz val="9"/>
      <color indexed="81"/>
      <name val="Tahoma"/>
      <charset val="1"/>
    </font>
    <font>
      <sz val="9"/>
      <name val="Arial"/>
    </font>
    <font>
      <b/>
      <sz val="9"/>
      <name val="Arial"/>
    </font>
    <font>
      <sz val="9"/>
      <color indexed="81"/>
      <name val="Tahoma"/>
      <family val="2"/>
    </font>
    <font>
      <b/>
      <sz val="9"/>
      <color indexed="81"/>
      <name val="Tahoma"/>
      <family val="2"/>
    </font>
    <font>
      <sz val="10"/>
      <color rgb="FF000000"/>
      <name val="Arial"/>
      <family val="2"/>
    </font>
    <font>
      <b/>
      <u/>
      <sz val="10"/>
      <color theme="1"/>
      <name val="Arial"/>
      <family val="2"/>
    </font>
  </fonts>
  <fills count="19">
    <fill>
      <patternFill patternType="none"/>
    </fill>
    <fill>
      <patternFill patternType="gray125"/>
    </fill>
    <fill>
      <patternFill patternType="solid">
        <fgColor rgb="FFB7B7B7"/>
        <bgColor rgb="FFB7B7B7"/>
      </patternFill>
    </fill>
    <fill>
      <patternFill patternType="solid">
        <fgColor rgb="FFCCCCCC"/>
        <bgColor rgb="FFCCCCCC"/>
      </patternFill>
    </fill>
    <fill>
      <patternFill patternType="solid">
        <fgColor rgb="FFD9D9D9"/>
        <bgColor rgb="FFD9D9D9"/>
      </patternFill>
    </fill>
    <fill>
      <patternFill patternType="solid">
        <fgColor rgb="FFB6D7A8"/>
        <bgColor rgb="FFB6D7A8"/>
      </patternFill>
    </fill>
    <fill>
      <patternFill patternType="solid">
        <fgColor rgb="FFEFEFEF"/>
        <bgColor rgb="FFEFEFEF"/>
      </patternFill>
    </fill>
    <fill>
      <patternFill patternType="solid">
        <fgColor rgb="FFFFFFFF"/>
        <bgColor rgb="FFFFFFFF"/>
      </patternFill>
    </fill>
    <fill>
      <patternFill patternType="solid">
        <fgColor rgb="FFFFF2CC"/>
        <bgColor rgb="FFFFF2CC"/>
      </patternFill>
    </fill>
    <fill>
      <patternFill patternType="solid">
        <fgColor rgb="FFFFE599"/>
        <bgColor rgb="FFFFE599"/>
      </patternFill>
    </fill>
    <fill>
      <patternFill patternType="solid">
        <fgColor rgb="FFE06666"/>
        <bgColor rgb="FFE06666"/>
      </patternFill>
    </fill>
    <fill>
      <patternFill patternType="solid">
        <fgColor rgb="FFEA9999"/>
        <bgColor rgb="FFEA9999"/>
      </patternFill>
    </fill>
    <fill>
      <patternFill patternType="solid">
        <fgColor theme="7" tint="0.79998168889431442"/>
        <bgColor rgb="FFF6B26B"/>
      </patternFill>
    </fill>
    <fill>
      <patternFill patternType="solid">
        <fgColor theme="7" tint="0.59999389629810485"/>
        <bgColor rgb="FF6FA8DC"/>
      </patternFill>
    </fill>
    <fill>
      <patternFill patternType="solid">
        <fgColor theme="7" tint="0.59999389629810485"/>
        <bgColor rgb="FFB7B7B7"/>
      </patternFill>
    </fill>
    <fill>
      <patternFill patternType="solid">
        <fgColor theme="7" tint="0.59999389629810485"/>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249977111117893"/>
        <bgColor rgb="FFCCCCCC"/>
      </patternFill>
    </fill>
  </fills>
  <borders count="98">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bottom style="thin">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bottom style="thin">
        <color rgb="FF000000"/>
      </bottom>
      <diagonal/>
    </border>
    <border>
      <left style="medium">
        <color indexed="64"/>
      </left>
      <right style="medium">
        <color indexed="64"/>
      </right>
      <top style="thin">
        <color rgb="FF000000"/>
      </top>
      <bottom style="medium">
        <color indexed="64"/>
      </bottom>
      <diagonal/>
    </border>
    <border>
      <left style="medium">
        <color indexed="64"/>
      </left>
      <right/>
      <top style="medium">
        <color indexed="64"/>
      </top>
      <bottom style="thin">
        <color rgb="FF000000"/>
      </bottom>
      <diagonal/>
    </border>
    <border>
      <left style="medium">
        <color indexed="64"/>
      </left>
      <right/>
      <top/>
      <bottom style="thin">
        <color rgb="FF000000"/>
      </bottom>
      <diagonal/>
    </border>
    <border>
      <left style="medium">
        <color indexed="64"/>
      </left>
      <right/>
      <top style="thin">
        <color rgb="FF000000"/>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right/>
      <top style="medium">
        <color indexed="64"/>
      </top>
      <bottom style="thin">
        <color rgb="FF000000"/>
      </bottom>
      <diagonal/>
    </border>
    <border>
      <left/>
      <right style="medium">
        <color indexed="64"/>
      </right>
      <top style="medium">
        <color indexed="64"/>
      </top>
      <bottom style="thin">
        <color rgb="FF000000"/>
      </bottom>
      <diagonal/>
    </border>
    <border>
      <left style="medium">
        <color indexed="64"/>
      </left>
      <right/>
      <top/>
      <bottom/>
      <diagonal/>
    </border>
    <border>
      <left style="medium">
        <color indexed="64"/>
      </left>
      <right style="thin">
        <color rgb="FF000000"/>
      </right>
      <top/>
      <bottom style="thin">
        <color rgb="FF000000"/>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style="medium">
        <color indexed="64"/>
      </left>
      <right style="thin">
        <color rgb="FF000000"/>
      </right>
      <top/>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right style="thin">
        <color rgb="FF000000"/>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rgb="FF000000"/>
      </right>
      <top style="medium">
        <color indexed="64"/>
      </top>
      <bottom style="thin">
        <color rgb="FF000000"/>
      </bottom>
      <diagonal/>
    </border>
    <border>
      <left/>
      <right style="thin">
        <color rgb="FF000000"/>
      </right>
      <top style="medium">
        <color indexed="64"/>
      </top>
      <bottom/>
      <diagonal/>
    </border>
    <border>
      <left style="thin">
        <color rgb="FF000000"/>
      </left>
      <right/>
      <top style="medium">
        <color indexed="64"/>
      </top>
      <bottom/>
      <diagonal/>
    </border>
    <border>
      <left style="thin">
        <color rgb="FF000000"/>
      </left>
      <right style="medium">
        <color indexed="64"/>
      </right>
      <top style="medium">
        <color indexed="64"/>
      </top>
      <bottom/>
      <diagonal/>
    </border>
    <border>
      <left style="medium">
        <color indexed="64"/>
      </left>
      <right style="medium">
        <color indexed="64"/>
      </right>
      <top style="thin">
        <color rgb="FF000000"/>
      </top>
      <bottom style="thin">
        <color rgb="FF000000"/>
      </bottom>
      <diagonal/>
    </border>
    <border>
      <left/>
      <right style="medium">
        <color indexed="64"/>
      </right>
      <top style="thin">
        <color rgb="FF000000"/>
      </top>
      <bottom style="thin">
        <color rgb="FF000000"/>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style="thin">
        <color rgb="FF000000"/>
      </left>
      <right/>
      <top style="thin">
        <color rgb="FF000000"/>
      </top>
      <bottom style="medium">
        <color indexed="64"/>
      </bottom>
      <diagonal/>
    </border>
    <border>
      <left/>
      <right/>
      <top style="thin">
        <color rgb="FF000000"/>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rgb="FF000000"/>
      </left>
      <right/>
      <top style="medium">
        <color indexed="64"/>
      </top>
      <bottom style="medium">
        <color indexed="64"/>
      </bottom>
      <diagonal/>
    </border>
    <border>
      <left style="thin">
        <color rgb="FF000000"/>
      </left>
      <right style="medium">
        <color indexed="64"/>
      </right>
      <top/>
      <bottom style="thin">
        <color rgb="FF000000"/>
      </bottom>
      <diagonal/>
    </border>
    <border>
      <left style="thin">
        <color rgb="FF000000"/>
      </left>
      <right/>
      <top style="medium">
        <color indexed="64"/>
      </top>
      <bottom style="thin">
        <color rgb="FF000000"/>
      </bottom>
      <diagonal/>
    </border>
    <border>
      <left style="medium">
        <color indexed="64"/>
      </left>
      <right style="thin">
        <color rgb="FF000000"/>
      </right>
      <top style="medium">
        <color indexed="64"/>
      </top>
      <bottom/>
      <diagonal/>
    </border>
    <border>
      <left/>
      <right style="thin">
        <color indexed="64"/>
      </right>
      <top/>
      <bottom style="thin">
        <color indexed="64"/>
      </bottom>
      <diagonal/>
    </border>
    <border>
      <left style="thin">
        <color rgb="FF000000"/>
      </left>
      <right style="thin">
        <color rgb="FF000000"/>
      </right>
      <top style="medium">
        <color indexed="64"/>
      </top>
      <bottom/>
      <diagonal/>
    </border>
  </borders>
  <cellStyleXfs count="4">
    <xf numFmtId="0" fontId="0" fillId="0" borderId="0"/>
    <xf numFmtId="0" fontId="14" fillId="0" borderId="0" applyNumberFormat="0" applyFill="0" applyBorder="0" applyAlignment="0" applyProtection="0"/>
    <xf numFmtId="44" fontId="12" fillId="0" borderId="0" applyFont="0" applyFill="0" applyBorder="0" applyAlignment="0" applyProtection="0"/>
    <xf numFmtId="9" fontId="12" fillId="0" borderId="0" applyFont="0" applyFill="0" applyBorder="0" applyAlignment="0" applyProtection="0"/>
  </cellStyleXfs>
  <cellXfs count="462">
    <xf numFmtId="0" fontId="0" fillId="0" borderId="0" xfId="0" applyFont="1" applyAlignment="1"/>
    <xf numFmtId="0" fontId="1" fillId="0" borderId="0" xfId="0" applyFont="1" applyAlignment="1">
      <alignment horizontal="center"/>
    </xf>
    <xf numFmtId="0" fontId="3" fillId="0" borderId="0" xfId="0" applyFont="1" applyAlignment="1"/>
    <xf numFmtId="0" fontId="4" fillId="0" borderId="0" xfId="0" applyFont="1" applyAlignment="1"/>
    <xf numFmtId="0" fontId="3" fillId="0" borderId="0" xfId="0" applyFont="1" applyAlignment="1">
      <alignment vertical="top" wrapText="1"/>
    </xf>
    <xf numFmtId="0" fontId="4" fillId="2" borderId="3" xfId="0" applyFont="1" applyFill="1" applyBorder="1" applyAlignment="1"/>
    <xf numFmtId="0" fontId="3" fillId="2" borderId="3" xfId="0" applyFont="1" applyFill="1" applyBorder="1"/>
    <xf numFmtId="0" fontId="3" fillId="0" borderId="3" xfId="0" applyFont="1" applyBorder="1" applyAlignment="1"/>
    <xf numFmtId="0" fontId="3" fillId="0" borderId="12" xfId="0" applyFont="1" applyBorder="1"/>
    <xf numFmtId="0" fontId="4" fillId="2" borderId="3" xfId="0" applyFont="1" applyFill="1" applyBorder="1" applyAlignment="1">
      <alignment horizontal="center"/>
    </xf>
    <xf numFmtId="9" fontId="3" fillId="0" borderId="3" xfId="0" applyNumberFormat="1" applyFont="1" applyBorder="1" applyAlignment="1"/>
    <xf numFmtId="164" fontId="3" fillId="0" borderId="3" xfId="0" applyNumberFormat="1" applyFont="1" applyBorder="1"/>
    <xf numFmtId="164" fontId="3" fillId="0" borderId="3" xfId="0" applyNumberFormat="1" applyFont="1" applyBorder="1" applyAlignment="1"/>
    <xf numFmtId="0" fontId="4" fillId="0" borderId="0" xfId="0" applyFont="1"/>
    <xf numFmtId="0" fontId="4" fillId="3" borderId="3" xfId="0" applyFont="1" applyFill="1" applyBorder="1" applyAlignment="1">
      <alignment horizontal="center"/>
    </xf>
    <xf numFmtId="0" fontId="4" fillId="2" borderId="2" xfId="0" applyFont="1" applyFill="1" applyBorder="1" applyAlignment="1"/>
    <xf numFmtId="165" fontId="3" fillId="0" borderId="3" xfId="0" applyNumberFormat="1" applyFont="1" applyBorder="1"/>
    <xf numFmtId="164" fontId="4" fillId="2" borderId="3" xfId="0" applyNumberFormat="1" applyFont="1" applyFill="1" applyBorder="1"/>
    <xf numFmtId="0" fontId="4" fillId="3" borderId="3" xfId="0" applyFont="1" applyFill="1" applyBorder="1" applyAlignment="1"/>
    <xf numFmtId="0" fontId="3" fillId="0" borderId="3" xfId="0" applyFont="1" applyBorder="1"/>
    <xf numFmtId="0" fontId="4" fillId="3" borderId="3" xfId="0" applyFont="1" applyFill="1" applyBorder="1" applyAlignment="1">
      <alignment vertical="top"/>
    </xf>
    <xf numFmtId="164" fontId="4" fillId="3" borderId="3" xfId="0" applyNumberFormat="1" applyFont="1" applyFill="1" applyBorder="1"/>
    <xf numFmtId="0" fontId="4" fillId="2" borderId="3" xfId="0" applyFont="1" applyFill="1" applyBorder="1"/>
    <xf numFmtId="0" fontId="3" fillId="0" borderId="0" xfId="0" applyFont="1" applyAlignment="1">
      <alignment horizontal="center"/>
    </xf>
    <xf numFmtId="166" fontId="3" fillId="0" borderId="3" xfId="0" applyNumberFormat="1" applyFont="1" applyBorder="1" applyAlignment="1"/>
    <xf numFmtId="166" fontId="3" fillId="0" borderId="14" xfId="0" applyNumberFormat="1" applyFont="1" applyBorder="1" applyAlignment="1"/>
    <xf numFmtId="0" fontId="7" fillId="3" borderId="3" xfId="0" applyFont="1" applyFill="1" applyBorder="1" applyAlignment="1"/>
    <xf numFmtId="167" fontId="2" fillId="3" borderId="3" xfId="0" applyNumberFormat="1" applyFont="1" applyFill="1" applyBorder="1" applyAlignment="1">
      <alignment horizontal="right"/>
    </xf>
    <xf numFmtId="10" fontId="6" fillId="3" borderId="3" xfId="0" applyNumberFormat="1" applyFont="1" applyFill="1" applyBorder="1" applyAlignment="1">
      <alignment horizontal="right"/>
    </xf>
    <xf numFmtId="164" fontId="8" fillId="0" borderId="3" xfId="0" applyNumberFormat="1" applyFont="1" applyBorder="1" applyAlignment="1"/>
    <xf numFmtId="165" fontId="2" fillId="7" borderId="3" xfId="0" applyNumberFormat="1" applyFont="1" applyFill="1" applyBorder="1" applyAlignment="1">
      <alignment horizontal="right"/>
    </xf>
    <xf numFmtId="164" fontId="0" fillId="0" borderId="3" xfId="0" applyNumberFormat="1" applyFont="1" applyBorder="1" applyAlignment="1"/>
    <xf numFmtId="0" fontId="6" fillId="3" borderId="3" xfId="0" applyFont="1" applyFill="1" applyBorder="1" applyAlignment="1">
      <alignment horizontal="center"/>
    </xf>
    <xf numFmtId="165" fontId="3" fillId="8" borderId="3" xfId="0" applyNumberFormat="1" applyFont="1" applyFill="1" applyBorder="1"/>
    <xf numFmtId="0" fontId="6" fillId="0" borderId="0" xfId="0" applyFont="1" applyAlignment="1">
      <alignment horizontal="center"/>
    </xf>
    <xf numFmtId="168" fontId="2" fillId="0" borderId="0" xfId="0" applyNumberFormat="1" applyFont="1" applyAlignment="1">
      <alignment horizontal="right"/>
    </xf>
    <xf numFmtId="167" fontId="2" fillId="0" borderId="0" xfId="0" applyNumberFormat="1" applyFont="1" applyAlignment="1">
      <alignment horizontal="right"/>
    </xf>
    <xf numFmtId="168" fontId="6" fillId="0" borderId="0" xfId="0" applyNumberFormat="1" applyFont="1" applyAlignment="1">
      <alignment horizontal="right"/>
    </xf>
    <xf numFmtId="0" fontId="3" fillId="4" borderId="13" xfId="0" applyFont="1" applyFill="1" applyBorder="1" applyAlignment="1"/>
    <xf numFmtId="0" fontId="3" fillId="0" borderId="13" xfId="0" applyFont="1" applyBorder="1" applyAlignment="1"/>
    <xf numFmtId="0" fontId="3" fillId="4" borderId="3" xfId="0" applyFont="1" applyFill="1" applyBorder="1" applyAlignment="1"/>
    <xf numFmtId="166" fontId="3" fillId="2" borderId="3" xfId="0" applyNumberFormat="1" applyFont="1" applyFill="1" applyBorder="1"/>
    <xf numFmtId="164" fontId="3" fillId="0" borderId="0" xfId="0" applyNumberFormat="1" applyFont="1" applyAlignment="1"/>
    <xf numFmtId="166" fontId="3" fillId="0" borderId="3" xfId="0" applyNumberFormat="1" applyFont="1" applyBorder="1"/>
    <xf numFmtId="164" fontId="3" fillId="8" borderId="3" xfId="0" applyNumberFormat="1" applyFont="1" applyFill="1" applyBorder="1" applyAlignment="1"/>
    <xf numFmtId="0" fontId="10" fillId="7" borderId="0" xfId="0" applyFont="1" applyFill="1" applyAlignment="1">
      <alignment horizontal="center"/>
    </xf>
    <xf numFmtId="0" fontId="8" fillId="0" borderId="0" xfId="0" applyFont="1"/>
    <xf numFmtId="9" fontId="3" fillId="0" borderId="3" xfId="0" applyNumberFormat="1" applyFont="1" applyBorder="1"/>
    <xf numFmtId="0" fontId="11" fillId="7" borderId="0" xfId="0" applyFont="1" applyFill="1" applyAlignment="1"/>
    <xf numFmtId="0" fontId="4" fillId="3" borderId="3" xfId="0" applyFont="1" applyFill="1" applyBorder="1"/>
    <xf numFmtId="0" fontId="4" fillId="0" borderId="0" xfId="0" applyFont="1" applyAlignment="1">
      <alignment horizontal="center"/>
    </xf>
    <xf numFmtId="0" fontId="3" fillId="0" borderId="3" xfId="0" applyFont="1" applyBorder="1" applyAlignment="1">
      <alignment horizontal="center" vertical="center"/>
    </xf>
    <xf numFmtId="0" fontId="3" fillId="0" borderId="3" xfId="0" applyFont="1" applyBorder="1" applyAlignment="1">
      <alignment vertical="center" wrapText="1"/>
    </xf>
    <xf numFmtId="0" fontId="3" fillId="9" borderId="3" xfId="0" applyFont="1" applyFill="1" applyBorder="1" applyAlignment="1">
      <alignment horizontal="center" vertical="center" wrapText="1"/>
    </xf>
    <xf numFmtId="0" fontId="3" fillId="10" borderId="3" xfId="0" applyFont="1" applyFill="1" applyBorder="1" applyAlignment="1">
      <alignment horizontal="center" vertical="center" wrapText="1"/>
    </xf>
    <xf numFmtId="0" fontId="3" fillId="0" borderId="0" xfId="0" applyFont="1" applyAlignment="1">
      <alignment vertical="center" wrapText="1"/>
    </xf>
    <xf numFmtId="0" fontId="3" fillId="5" borderId="3" xfId="0" applyFont="1" applyFill="1" applyBorder="1" applyAlignment="1">
      <alignment horizontal="center" vertical="center" wrapText="1"/>
    </xf>
    <xf numFmtId="9" fontId="3" fillId="0" borderId="0" xfId="0" applyNumberFormat="1" applyFont="1" applyAlignment="1">
      <alignment vertical="center" wrapText="1"/>
    </xf>
    <xf numFmtId="0" fontId="12" fillId="7" borderId="3" xfId="0" applyFont="1" applyFill="1" applyBorder="1" applyAlignment="1">
      <alignment horizontal="left" wrapText="1"/>
    </xf>
    <xf numFmtId="0" fontId="12" fillId="5" borderId="3" xfId="0" applyFont="1" applyFill="1" applyBorder="1" applyAlignment="1">
      <alignment horizontal="center" wrapText="1"/>
    </xf>
    <xf numFmtId="0" fontId="13" fillId="7" borderId="0" xfId="0" applyFont="1" applyFill="1" applyAlignment="1"/>
    <xf numFmtId="164" fontId="3" fillId="11" borderId="3" xfId="0" applyNumberFormat="1" applyFont="1" applyFill="1" applyBorder="1"/>
    <xf numFmtId="0" fontId="0" fillId="0" borderId="0" xfId="0" applyFont="1" applyAlignment="1"/>
    <xf numFmtId="0" fontId="0" fillId="0" borderId="24" xfId="0" applyFont="1" applyBorder="1" applyAlignment="1"/>
    <xf numFmtId="0" fontId="0" fillId="0" borderId="0" xfId="0" applyFont="1" applyBorder="1" applyAlignment="1"/>
    <xf numFmtId="0" fontId="0" fillId="0" borderId="25" xfId="0" applyFont="1" applyBorder="1" applyAlignment="1"/>
    <xf numFmtId="0" fontId="5" fillId="0" borderId="0" xfId="0" applyFont="1" applyBorder="1" applyAlignment="1"/>
    <xf numFmtId="0" fontId="1" fillId="0" borderId="0" xfId="0" applyFont="1" applyBorder="1" applyAlignment="1">
      <alignment vertical="center"/>
    </xf>
    <xf numFmtId="0" fontId="2" fillId="0" borderId="0" xfId="0" applyFont="1" applyBorder="1"/>
    <xf numFmtId="0" fontId="4" fillId="0" borderId="0" xfId="0" applyFont="1" applyBorder="1" applyAlignment="1"/>
    <xf numFmtId="0" fontId="4" fillId="0" borderId="25" xfId="0" applyFont="1" applyBorder="1" applyAlignment="1"/>
    <xf numFmtId="0" fontId="15" fillId="0" borderId="25" xfId="0" applyFont="1" applyBorder="1" applyAlignment="1"/>
    <xf numFmtId="0" fontId="16" fillId="0" borderId="0" xfId="0" applyFont="1" applyBorder="1" applyAlignment="1">
      <alignment vertical="center"/>
    </xf>
    <xf numFmtId="0" fontId="0" fillId="0" borderId="0" xfId="0" applyFont="1" applyBorder="1" applyAlignment="1">
      <alignment vertical="center"/>
    </xf>
    <xf numFmtId="0" fontId="1" fillId="0" borderId="25" xfId="0" applyFont="1" applyBorder="1" applyAlignment="1">
      <alignment vertical="center"/>
    </xf>
    <xf numFmtId="0" fontId="0" fillId="0" borderId="0" xfId="0" applyFont="1" applyAlignment="1"/>
    <xf numFmtId="0" fontId="4" fillId="2" borderId="28" xfId="0" applyFont="1" applyFill="1" applyBorder="1" applyAlignment="1"/>
    <xf numFmtId="9" fontId="0" fillId="0" borderId="27" xfId="3" applyFont="1" applyBorder="1" applyAlignment="1"/>
    <xf numFmtId="0" fontId="4" fillId="2" borderId="28" xfId="0" applyFont="1" applyFill="1" applyBorder="1" applyAlignment="1">
      <alignment horizontal="center"/>
    </xf>
    <xf numFmtId="0" fontId="4" fillId="2" borderId="27" xfId="0" applyFont="1" applyFill="1" applyBorder="1" applyAlignment="1">
      <alignment horizontal="center"/>
    </xf>
    <xf numFmtId="44" fontId="0" fillId="0" borderId="27" xfId="2" applyFont="1" applyBorder="1" applyAlignment="1"/>
    <xf numFmtId="44" fontId="0" fillId="0" borderId="0" xfId="2" applyFont="1" applyBorder="1" applyAlignment="1"/>
    <xf numFmtId="0" fontId="4" fillId="3" borderId="29" xfId="0" applyFont="1" applyFill="1" applyBorder="1" applyAlignment="1"/>
    <xf numFmtId="0" fontId="4" fillId="3" borderId="30" xfId="0" applyFont="1" applyFill="1" applyBorder="1" applyAlignment="1"/>
    <xf numFmtId="0" fontId="4" fillId="3" borderId="31" xfId="0" applyFont="1" applyFill="1" applyBorder="1" applyAlignment="1"/>
    <xf numFmtId="0" fontId="4" fillId="3" borderId="32" xfId="0" applyFont="1" applyFill="1" applyBorder="1" applyAlignment="1"/>
    <xf numFmtId="0" fontId="4" fillId="3" borderId="33" xfId="0" applyFont="1" applyFill="1" applyBorder="1" applyAlignment="1"/>
    <xf numFmtId="0" fontId="4" fillId="3" borderId="34" xfId="0" applyFont="1" applyFill="1" applyBorder="1" applyAlignment="1"/>
    <xf numFmtId="0" fontId="4" fillId="2" borderId="35" xfId="0" applyFont="1" applyFill="1" applyBorder="1" applyAlignment="1">
      <alignment horizontal="center"/>
    </xf>
    <xf numFmtId="0" fontId="4" fillId="2" borderId="36" xfId="0" applyFont="1" applyFill="1" applyBorder="1" applyAlignment="1">
      <alignment horizontal="center"/>
    </xf>
    <xf numFmtId="0" fontId="4" fillId="2" borderId="37" xfId="0" applyFont="1" applyFill="1" applyBorder="1" applyAlignment="1">
      <alignment horizontal="center"/>
    </xf>
    <xf numFmtId="164" fontId="3" fillId="0" borderId="38" xfId="0" applyNumberFormat="1" applyFont="1" applyBorder="1"/>
    <xf numFmtId="164" fontId="3" fillId="0" borderId="39" xfId="0" applyNumberFormat="1" applyFont="1" applyBorder="1"/>
    <xf numFmtId="0" fontId="4" fillId="2" borderId="38" xfId="0" applyFont="1" applyFill="1" applyBorder="1" applyAlignment="1">
      <alignment horizontal="center"/>
    </xf>
    <xf numFmtId="0" fontId="4" fillId="2" borderId="39" xfId="0" applyFont="1" applyFill="1" applyBorder="1" applyAlignment="1">
      <alignment horizontal="center"/>
    </xf>
    <xf numFmtId="164" fontId="3" fillId="0" borderId="38" xfId="0" applyNumberFormat="1" applyFont="1" applyBorder="1" applyAlignment="1"/>
    <xf numFmtId="164" fontId="4" fillId="3" borderId="40" xfId="0" applyNumberFormat="1" applyFont="1" applyFill="1" applyBorder="1"/>
    <xf numFmtId="164" fontId="4" fillId="3" borderId="41" xfId="0" applyNumberFormat="1" applyFont="1" applyFill="1" applyBorder="1"/>
    <xf numFmtId="164" fontId="4" fillId="3" borderId="42" xfId="0" applyNumberFormat="1" applyFont="1" applyFill="1" applyBorder="1"/>
    <xf numFmtId="0" fontId="22" fillId="0" borderId="0" xfId="0" applyFont="1" applyAlignment="1"/>
    <xf numFmtId="0" fontId="3" fillId="0" borderId="2" xfId="0" applyFont="1" applyBorder="1" applyAlignment="1"/>
    <xf numFmtId="0" fontId="3" fillId="0" borderId="38" xfId="0" applyFont="1" applyBorder="1" applyAlignment="1"/>
    <xf numFmtId="0" fontId="3" fillId="0" borderId="46" xfId="0" applyFont="1" applyBorder="1" applyAlignment="1"/>
    <xf numFmtId="0" fontId="3" fillId="0" borderId="0" xfId="0" applyFont="1" applyBorder="1" applyAlignment="1"/>
    <xf numFmtId="0" fontId="4" fillId="4" borderId="35" xfId="0" applyFont="1" applyFill="1" applyBorder="1" applyAlignment="1"/>
    <xf numFmtId="0" fontId="4" fillId="4" borderId="36" xfId="0" applyFont="1" applyFill="1" applyBorder="1" applyAlignment="1"/>
    <xf numFmtId="0" fontId="4" fillId="4" borderId="37" xfId="0" applyFont="1" applyFill="1" applyBorder="1" applyAlignment="1"/>
    <xf numFmtId="0" fontId="3" fillId="0" borderId="47" xfId="0" applyFont="1" applyBorder="1" applyAlignment="1"/>
    <xf numFmtId="0" fontId="3" fillId="0" borderId="7" xfId="0" applyFont="1" applyBorder="1" applyAlignment="1"/>
    <xf numFmtId="164" fontId="3" fillId="0" borderId="48" xfId="0" applyNumberFormat="1" applyFont="1" applyBorder="1"/>
    <xf numFmtId="0" fontId="3" fillId="0" borderId="49" xfId="0" applyFont="1" applyBorder="1" applyAlignment="1"/>
    <xf numFmtId="0" fontId="4" fillId="2" borderId="50" xfId="0" applyFont="1" applyFill="1" applyBorder="1" applyAlignment="1"/>
    <xf numFmtId="1" fontId="3" fillId="2" borderId="51" xfId="0" applyNumberFormat="1" applyFont="1" applyFill="1" applyBorder="1"/>
    <xf numFmtId="164" fontId="3" fillId="2" borderId="52" xfId="0" applyNumberFormat="1" applyFont="1" applyFill="1" applyBorder="1"/>
    <xf numFmtId="0" fontId="3" fillId="2" borderId="53" xfId="0" applyFont="1" applyFill="1" applyBorder="1"/>
    <xf numFmtId="164" fontId="3" fillId="2" borderId="51" xfId="0" applyNumberFormat="1" applyFont="1" applyFill="1" applyBorder="1"/>
    <xf numFmtId="0" fontId="3" fillId="2" borderId="51" xfId="0" applyFont="1" applyFill="1" applyBorder="1"/>
    <xf numFmtId="3" fontId="3" fillId="2" borderId="52" xfId="0" applyNumberFormat="1" applyFont="1" applyFill="1" applyBorder="1"/>
    <xf numFmtId="3" fontId="3" fillId="0" borderId="39" xfId="0" applyNumberFormat="1" applyFont="1" applyBorder="1" applyAlignment="1"/>
    <xf numFmtId="164" fontId="3" fillId="0" borderId="40" xfId="0" applyNumberFormat="1" applyFont="1" applyBorder="1" applyAlignment="1"/>
    <xf numFmtId="3" fontId="3" fillId="0" borderId="42" xfId="0" applyNumberFormat="1" applyFont="1" applyBorder="1" applyAlignment="1"/>
    <xf numFmtId="164" fontId="16" fillId="0" borderId="3" xfId="0" applyNumberFormat="1" applyFont="1" applyBorder="1"/>
    <xf numFmtId="164" fontId="16" fillId="0" borderId="3" xfId="0" applyNumberFormat="1" applyFont="1" applyBorder="1" applyAlignment="1"/>
    <xf numFmtId="9" fontId="16" fillId="0" borderId="26" xfId="0" applyNumberFormat="1" applyFont="1" applyBorder="1" applyAlignment="1"/>
    <xf numFmtId="9" fontId="16" fillId="0" borderId="69" xfId="0" applyNumberFormat="1" applyFont="1" applyBorder="1" applyAlignment="1"/>
    <xf numFmtId="169" fontId="15" fillId="0" borderId="69" xfId="0" applyNumberFormat="1" applyFont="1" applyBorder="1"/>
    <xf numFmtId="9" fontId="16" fillId="0" borderId="72" xfId="0" applyNumberFormat="1" applyFont="1" applyBorder="1"/>
    <xf numFmtId="0" fontId="15" fillId="4" borderId="72" xfId="0" applyFont="1" applyFill="1" applyBorder="1" applyAlignment="1">
      <alignment horizontal="center"/>
    </xf>
    <xf numFmtId="0" fontId="15" fillId="2" borderId="3" xfId="0" applyFont="1" applyFill="1" applyBorder="1" applyAlignment="1">
      <alignment horizontal="center"/>
    </xf>
    <xf numFmtId="164" fontId="15" fillId="4" borderId="3" xfId="0" applyNumberFormat="1" applyFont="1" applyFill="1" applyBorder="1"/>
    <xf numFmtId="0" fontId="15" fillId="0" borderId="0" xfId="0" applyFont="1"/>
    <xf numFmtId="3" fontId="16" fillId="0" borderId="3" xfId="0" applyNumberFormat="1" applyFont="1" applyBorder="1"/>
    <xf numFmtId="1" fontId="16" fillId="0" borderId="3" xfId="0" applyNumberFormat="1" applyFont="1" applyBorder="1"/>
    <xf numFmtId="0" fontId="17" fillId="0" borderId="1" xfId="1" applyFont="1" applyBorder="1" applyAlignment="1"/>
    <xf numFmtId="0" fontId="17" fillId="0" borderId="2" xfId="1" applyFont="1" applyBorder="1"/>
    <xf numFmtId="0" fontId="16" fillId="0" borderId="63" xfId="0" applyFont="1" applyBorder="1" applyAlignment="1"/>
    <xf numFmtId="0" fontId="3" fillId="0" borderId="0" xfId="0" applyFont="1" applyBorder="1"/>
    <xf numFmtId="0" fontId="0" fillId="0" borderId="0" xfId="0" applyFont="1" applyAlignment="1"/>
    <xf numFmtId="0" fontId="4" fillId="2" borderId="79" xfId="0" applyFont="1" applyFill="1" applyBorder="1" applyAlignment="1">
      <alignment horizontal="center"/>
    </xf>
    <xf numFmtId="0" fontId="3" fillId="0" borderId="62" xfId="0" applyFont="1" applyBorder="1"/>
    <xf numFmtId="0" fontId="3" fillId="0" borderId="64" xfId="0" applyFont="1" applyBorder="1"/>
    <xf numFmtId="0" fontId="3" fillId="0" borderId="67" xfId="0" applyFont="1" applyBorder="1"/>
    <xf numFmtId="0" fontId="4" fillId="2" borderId="29" xfId="0" applyFont="1" applyFill="1" applyBorder="1" applyAlignment="1"/>
    <xf numFmtId="0" fontId="4" fillId="4" borderId="44" xfId="0" applyFont="1" applyFill="1" applyBorder="1" applyAlignment="1"/>
    <xf numFmtId="0" fontId="16" fillId="0" borderId="38" xfId="0" applyFont="1" applyBorder="1" applyAlignment="1"/>
    <xf numFmtId="0" fontId="3" fillId="13" borderId="80" xfId="0" applyFont="1" applyFill="1" applyBorder="1" applyAlignment="1"/>
    <xf numFmtId="0" fontId="3" fillId="12" borderId="80" xfId="0" applyFont="1" applyFill="1" applyBorder="1" applyAlignment="1"/>
    <xf numFmtId="0" fontId="3" fillId="12" borderId="31" xfId="0" applyFont="1" applyFill="1" applyBorder="1" applyAlignment="1"/>
    <xf numFmtId="0" fontId="3" fillId="13" borderId="30" xfId="0" applyFont="1" applyFill="1" applyBorder="1" applyAlignment="1"/>
    <xf numFmtId="0" fontId="4" fillId="2" borderId="27" xfId="0" applyFont="1" applyFill="1" applyBorder="1" applyAlignment="1"/>
    <xf numFmtId="0" fontId="3" fillId="2" borderId="44" xfId="0" applyFont="1" applyFill="1" applyBorder="1"/>
    <xf numFmtId="0" fontId="3" fillId="0" borderId="81" xfId="0" applyFont="1" applyBorder="1" applyAlignment="1"/>
    <xf numFmtId="0" fontId="3" fillId="0" borderId="82" xfId="0" applyFont="1" applyBorder="1" applyAlignment="1"/>
    <xf numFmtId="0" fontId="16" fillId="13" borderId="80" xfId="0" applyFont="1" applyFill="1" applyBorder="1" applyAlignment="1"/>
    <xf numFmtId="0" fontId="17" fillId="0" borderId="1" xfId="1" applyFont="1" applyBorder="1" applyAlignment="1"/>
    <xf numFmtId="0" fontId="17" fillId="0" borderId="2" xfId="1" applyFont="1" applyBorder="1"/>
    <xf numFmtId="0" fontId="16" fillId="0" borderId="0" xfId="0" applyFont="1" applyAlignment="1">
      <alignment horizontal="left" vertical="center"/>
    </xf>
    <xf numFmtId="0" fontId="0" fillId="0" borderId="0" xfId="0" applyFont="1" applyAlignment="1">
      <alignment horizontal="left" vertical="center"/>
    </xf>
    <xf numFmtId="0" fontId="1" fillId="0" borderId="0" xfId="0" applyFont="1" applyAlignment="1">
      <alignment horizontal="center" vertical="center"/>
    </xf>
    <xf numFmtId="0" fontId="18" fillId="0" borderId="1" xfId="0" applyFont="1" applyBorder="1" applyAlignment="1"/>
    <xf numFmtId="0" fontId="19" fillId="0" borderId="2" xfId="0" applyFont="1" applyBorder="1"/>
    <xf numFmtId="0" fontId="18" fillId="4" borderId="60" xfId="0" applyFont="1" applyFill="1" applyBorder="1" applyAlignment="1">
      <alignment horizontal="center" vertical="center"/>
    </xf>
    <xf numFmtId="0" fontId="18" fillId="4" borderId="61" xfId="0" applyFont="1" applyFill="1" applyBorder="1" applyAlignment="1">
      <alignment horizontal="center" vertical="center"/>
    </xf>
    <xf numFmtId="0" fontId="18" fillId="4" borderId="62" xfId="0" applyFont="1" applyFill="1" applyBorder="1" applyAlignment="1">
      <alignment horizontal="center" vertical="center"/>
    </xf>
    <xf numFmtId="0" fontId="18" fillId="4" borderId="63" xfId="0" applyFont="1" applyFill="1" applyBorder="1" applyAlignment="1">
      <alignment horizontal="center" vertical="center"/>
    </xf>
    <xf numFmtId="0" fontId="18" fillId="4" borderId="26" xfId="0" applyFont="1" applyFill="1" applyBorder="1" applyAlignment="1">
      <alignment horizontal="center" vertical="center"/>
    </xf>
    <xf numFmtId="0" fontId="18" fillId="4" borderId="64" xfId="0" applyFont="1" applyFill="1" applyBorder="1" applyAlignment="1">
      <alignment horizontal="center" vertical="center"/>
    </xf>
    <xf numFmtId="0" fontId="18" fillId="4" borderId="65" xfId="0" applyFont="1" applyFill="1" applyBorder="1" applyAlignment="1">
      <alignment horizontal="center" vertical="center"/>
    </xf>
    <xf numFmtId="0" fontId="18" fillId="4" borderId="66" xfId="0" applyFont="1" applyFill="1" applyBorder="1" applyAlignment="1">
      <alignment horizontal="center" vertical="center"/>
    </xf>
    <xf numFmtId="0" fontId="18" fillId="4" borderId="67" xfId="0" applyFont="1" applyFill="1" applyBorder="1" applyAlignment="1">
      <alignment horizontal="center" vertical="center"/>
    </xf>
    <xf numFmtId="0" fontId="1" fillId="0" borderId="0" xfId="0" applyFont="1" applyBorder="1" applyAlignment="1">
      <alignment horizontal="center" vertical="center"/>
    </xf>
    <xf numFmtId="0" fontId="16" fillId="0" borderId="0" xfId="0" applyFont="1" applyBorder="1" applyAlignment="1">
      <alignment horizontal="left" vertical="center"/>
    </xf>
    <xf numFmtId="0" fontId="0" fillId="0" borderId="0" xfId="0" applyFont="1" applyBorder="1" applyAlignment="1">
      <alignment horizontal="left" vertical="center"/>
    </xf>
    <xf numFmtId="0" fontId="16" fillId="4" borderId="71" xfId="0" applyFont="1" applyFill="1" applyBorder="1"/>
    <xf numFmtId="0" fontId="16" fillId="0" borderId="72" xfId="0" applyFont="1" applyBorder="1"/>
    <xf numFmtId="0" fontId="15" fillId="0" borderId="63" xfId="0" applyFont="1" applyBorder="1" applyAlignment="1"/>
    <xf numFmtId="0" fontId="16" fillId="0" borderId="26" xfId="0" applyFont="1" applyBorder="1"/>
    <xf numFmtId="0" fontId="15" fillId="0" borderId="68" xfId="0" applyFont="1" applyBorder="1" applyAlignment="1"/>
    <xf numFmtId="0" fontId="16" fillId="0" borderId="69" xfId="0" applyFont="1" applyBorder="1"/>
    <xf numFmtId="0" fontId="15" fillId="4" borderId="60" xfId="0" applyFont="1" applyFill="1" applyBorder="1" applyAlignment="1">
      <alignment horizontal="center" vertical="center"/>
    </xf>
    <xf numFmtId="0" fontId="15" fillId="4" borderId="61" xfId="0" applyFont="1" applyFill="1" applyBorder="1" applyAlignment="1">
      <alignment horizontal="center" vertical="center"/>
    </xf>
    <xf numFmtId="0" fontId="15" fillId="4" borderId="62" xfId="0" applyFont="1" applyFill="1" applyBorder="1" applyAlignment="1">
      <alignment horizontal="center" vertical="center"/>
    </xf>
    <xf numFmtId="0" fontId="15" fillId="4" borderId="65" xfId="0" applyFont="1" applyFill="1" applyBorder="1" applyAlignment="1">
      <alignment horizontal="center" vertical="center"/>
    </xf>
    <xf numFmtId="0" fontId="15" fillId="4" borderId="66" xfId="0" applyFont="1" applyFill="1" applyBorder="1" applyAlignment="1">
      <alignment horizontal="center" vertical="center"/>
    </xf>
    <xf numFmtId="0" fontId="15" fillId="4" borderId="67" xfId="0" applyFont="1" applyFill="1" applyBorder="1" applyAlignment="1">
      <alignment horizontal="center" vertical="center"/>
    </xf>
    <xf numFmtId="0" fontId="15" fillId="0" borderId="71" xfId="0" applyFont="1" applyBorder="1" applyAlignment="1"/>
    <xf numFmtId="164" fontId="16" fillId="0" borderId="72" xfId="0" applyNumberFormat="1" applyFont="1" applyBorder="1" applyAlignment="1">
      <alignment horizontal="right"/>
    </xf>
    <xf numFmtId="164" fontId="16" fillId="0" borderId="73" xfId="0" applyNumberFormat="1" applyFont="1" applyBorder="1" applyAlignment="1">
      <alignment horizontal="right"/>
    </xf>
    <xf numFmtId="164" fontId="16" fillId="0" borderId="26" xfId="0" applyNumberFormat="1" applyFont="1" applyBorder="1" applyAlignment="1">
      <alignment horizontal="right"/>
    </xf>
    <xf numFmtId="164" fontId="16" fillId="0" borderId="64" xfId="0" applyNumberFormat="1" applyFont="1" applyBorder="1" applyAlignment="1">
      <alignment horizontal="right"/>
    </xf>
    <xf numFmtId="164" fontId="16" fillId="0" borderId="69" xfId="0" applyNumberFormat="1" applyFont="1" applyBorder="1" applyAlignment="1">
      <alignment horizontal="right"/>
    </xf>
    <xf numFmtId="164" fontId="16" fillId="0" borderId="70" xfId="0" applyNumberFormat="1" applyFont="1" applyBorder="1" applyAlignment="1">
      <alignment horizontal="right"/>
    </xf>
    <xf numFmtId="0" fontId="15" fillId="4" borderId="72" xfId="0" applyFont="1" applyFill="1" applyBorder="1" applyAlignment="1">
      <alignment horizontal="center"/>
    </xf>
    <xf numFmtId="0" fontId="15" fillId="4" borderId="73" xfId="0" applyFont="1" applyFill="1" applyBorder="1" applyAlignment="1">
      <alignment horizontal="center"/>
    </xf>
    <xf numFmtId="164" fontId="15" fillId="0" borderId="69" xfId="0" applyNumberFormat="1" applyFont="1" applyBorder="1" applyAlignment="1">
      <alignment horizontal="right"/>
    </xf>
    <xf numFmtId="164" fontId="15" fillId="0" borderId="70" xfId="0" applyNumberFormat="1" applyFont="1" applyBorder="1" applyAlignment="1">
      <alignment horizontal="right"/>
    </xf>
    <xf numFmtId="0" fontId="16" fillId="0" borderId="63" xfId="0" applyFont="1" applyBorder="1" applyAlignment="1"/>
    <xf numFmtId="0" fontId="15" fillId="4" borderId="60" xfId="0" applyFont="1" applyFill="1" applyBorder="1" applyAlignment="1"/>
    <xf numFmtId="0" fontId="16" fillId="0" borderId="61" xfId="0" applyFont="1" applyBorder="1"/>
    <xf numFmtId="0" fontId="15" fillId="4" borderId="68" xfId="0" applyFont="1" applyFill="1" applyBorder="1" applyAlignment="1">
      <alignment horizontal="center" vertical="center"/>
    </xf>
    <xf numFmtId="0" fontId="15" fillId="4" borderId="69" xfId="0" applyFont="1" applyFill="1" applyBorder="1" applyAlignment="1">
      <alignment horizontal="center" vertical="center"/>
    </xf>
    <xf numFmtId="0" fontId="15" fillId="4" borderId="70" xfId="0" applyFont="1" applyFill="1" applyBorder="1" applyAlignment="1">
      <alignment horizontal="center" vertical="center"/>
    </xf>
    <xf numFmtId="0" fontId="16" fillId="0" borderId="65" xfId="0" applyFont="1" applyBorder="1" applyAlignment="1"/>
    <xf numFmtId="0" fontId="16" fillId="0" borderId="66" xfId="0" applyFont="1" applyBorder="1"/>
    <xf numFmtId="164" fontId="16" fillId="0" borderId="66" xfId="0" applyNumberFormat="1" applyFont="1" applyBorder="1" applyAlignment="1">
      <alignment horizontal="right"/>
    </xf>
    <xf numFmtId="164" fontId="16" fillId="0" borderId="67" xfId="0" applyNumberFormat="1" applyFont="1" applyBorder="1" applyAlignment="1">
      <alignment horizontal="right"/>
    </xf>
    <xf numFmtId="0" fontId="15" fillId="4" borderId="61" xfId="0" applyFont="1" applyFill="1" applyBorder="1" applyAlignment="1">
      <alignment horizontal="center"/>
    </xf>
    <xf numFmtId="0" fontId="15" fillId="4" borderId="62" xfId="0" applyFont="1" applyFill="1" applyBorder="1" applyAlignment="1">
      <alignment horizontal="center"/>
    </xf>
    <xf numFmtId="0" fontId="3" fillId="0" borderId="26" xfId="0" applyFont="1" applyBorder="1" applyAlignment="1">
      <alignment horizontal="center"/>
    </xf>
    <xf numFmtId="0" fontId="3" fillId="0" borderId="26" xfId="0" applyFont="1" applyBorder="1"/>
    <xf numFmtId="0" fontId="3" fillId="0" borderId="65" xfId="0" applyFont="1" applyBorder="1"/>
    <xf numFmtId="0" fontId="3" fillId="0" borderId="66" xfId="0" applyFont="1" applyBorder="1"/>
    <xf numFmtId="0" fontId="3" fillId="0" borderId="66" xfId="0" applyFont="1" applyBorder="1" applyAlignment="1">
      <alignment horizontal="center"/>
    </xf>
    <xf numFmtId="0" fontId="3" fillId="0" borderId="63" xfId="0" applyFont="1" applyBorder="1"/>
    <xf numFmtId="0" fontId="3" fillId="0" borderId="63" xfId="0" applyFont="1" applyBorder="1" applyAlignment="1">
      <alignment horizontal="center"/>
    </xf>
    <xf numFmtId="0" fontId="23" fillId="2" borderId="78" xfId="0" applyFont="1" applyFill="1" applyBorder="1" applyAlignment="1">
      <alignment horizontal="center"/>
    </xf>
    <xf numFmtId="0" fontId="3" fillId="0" borderId="77" xfId="0" applyFont="1" applyBorder="1"/>
    <xf numFmtId="0" fontId="4" fillId="2" borderId="78" xfId="0" applyFont="1" applyFill="1" applyBorder="1" applyAlignment="1">
      <alignment horizontal="center"/>
    </xf>
    <xf numFmtId="0" fontId="3" fillId="0" borderId="60" xfId="0" applyFont="1" applyBorder="1" applyAlignment="1">
      <alignment horizontal="center"/>
    </xf>
    <xf numFmtId="0" fontId="3" fillId="0" borderId="61" xfId="0" applyFont="1" applyBorder="1"/>
    <xf numFmtId="0" fontId="3" fillId="0" borderId="61" xfId="0" applyFont="1" applyBorder="1" applyAlignment="1">
      <alignment horizontal="center"/>
    </xf>
    <xf numFmtId="0" fontId="23" fillId="2" borderId="54" xfId="0" applyFont="1" applyFill="1" applyBorder="1" applyAlignment="1">
      <alignment horizontal="center"/>
    </xf>
    <xf numFmtId="0" fontId="4" fillId="16" borderId="28" xfId="0" applyFont="1" applyFill="1" applyBorder="1" applyAlignment="1">
      <alignment horizontal="center"/>
    </xf>
    <xf numFmtId="0" fontId="3" fillId="16" borderId="74" xfId="0" applyFont="1" applyFill="1" applyBorder="1" applyAlignment="1">
      <alignment horizontal="center"/>
    </xf>
    <xf numFmtId="0" fontId="3" fillId="16" borderId="75" xfId="0" applyFont="1" applyFill="1" applyBorder="1" applyAlignment="1">
      <alignment horizontal="center"/>
    </xf>
    <xf numFmtId="0" fontId="4" fillId="2" borderId="54" xfId="0" applyFont="1" applyFill="1" applyBorder="1" applyAlignment="1">
      <alignment horizontal="center"/>
    </xf>
    <xf numFmtId="0" fontId="3" fillId="0" borderId="56" xfId="0" applyFont="1" applyBorder="1"/>
    <xf numFmtId="0" fontId="4" fillId="14" borderId="54" xfId="0" applyFont="1" applyFill="1" applyBorder="1" applyAlignment="1">
      <alignment horizontal="center"/>
    </xf>
    <xf numFmtId="0" fontId="3" fillId="15" borderId="56" xfId="0" applyFont="1" applyFill="1" applyBorder="1"/>
    <xf numFmtId="0" fontId="16" fillId="0" borderId="45" xfId="0" applyFont="1" applyBorder="1" applyAlignment="1">
      <alignment horizontal="center" vertical="top" wrapText="1"/>
    </xf>
    <xf numFmtId="0" fontId="16" fillId="0" borderId="0" xfId="0" applyFont="1" applyBorder="1" applyAlignment="1">
      <alignment horizontal="center" vertical="top" wrapText="1"/>
    </xf>
    <xf numFmtId="0" fontId="16" fillId="0" borderId="57" xfId="0" applyFont="1" applyBorder="1" applyAlignment="1">
      <alignment horizontal="center" vertical="top" wrapText="1"/>
    </xf>
    <xf numFmtId="0" fontId="16" fillId="0" borderId="58" xfId="0" applyFont="1" applyBorder="1" applyAlignment="1">
      <alignment horizontal="center" vertical="top" wrapText="1"/>
    </xf>
    <xf numFmtId="0" fontId="16" fillId="0" borderId="25" xfId="0" applyFont="1" applyBorder="1" applyAlignment="1">
      <alignment horizontal="center" vertical="top" wrapText="1"/>
    </xf>
    <xf numFmtId="0" fontId="16" fillId="0" borderId="59" xfId="0" applyFont="1" applyBorder="1" applyAlignment="1">
      <alignment horizontal="center" vertical="top" wrapText="1"/>
    </xf>
    <xf numFmtId="0" fontId="4" fillId="0" borderId="25" xfId="0" applyFont="1" applyBorder="1" applyAlignment="1"/>
    <xf numFmtId="0" fontId="0" fillId="0" borderId="25" xfId="0" applyFont="1" applyBorder="1" applyAlignment="1"/>
    <xf numFmtId="0" fontId="4" fillId="3" borderId="15" xfId="0" applyFont="1" applyFill="1" applyBorder="1" applyAlignment="1">
      <alignment vertical="top"/>
    </xf>
    <xf numFmtId="0" fontId="3" fillId="0" borderId="15" xfId="0" applyFont="1" applyBorder="1"/>
    <xf numFmtId="0" fontId="3" fillId="0" borderId="13" xfId="0" applyFont="1" applyBorder="1"/>
    <xf numFmtId="0" fontId="4" fillId="3" borderId="14" xfId="0" applyFont="1" applyFill="1" applyBorder="1" applyAlignment="1">
      <alignment vertical="top"/>
    </xf>
    <xf numFmtId="0" fontId="4" fillId="2" borderId="1" xfId="0" applyFont="1" applyFill="1" applyBorder="1" applyAlignment="1"/>
    <xf numFmtId="0" fontId="3" fillId="0" borderId="2" xfId="0" applyFont="1" applyBorder="1"/>
    <xf numFmtId="0" fontId="3" fillId="0" borderId="6" xfId="0" applyFont="1" applyBorder="1"/>
    <xf numFmtId="0" fontId="3" fillId="0" borderId="7" xfId="0" applyFont="1" applyBorder="1"/>
    <xf numFmtId="0" fontId="0" fillId="0" borderId="0" xfId="0" applyFont="1" applyAlignment="1"/>
    <xf numFmtId="0" fontId="3" fillId="0" borderId="10" xfId="0" applyFont="1" applyBorder="1"/>
    <xf numFmtId="0" fontId="3" fillId="0" borderId="11" xfId="0" applyFont="1" applyBorder="1"/>
    <xf numFmtId="0" fontId="3" fillId="0" borderId="12" xfId="0" applyFont="1" applyBorder="1"/>
    <xf numFmtId="0" fontId="4" fillId="2" borderId="32" xfId="0" applyFont="1" applyFill="1" applyBorder="1" applyAlignment="1">
      <alignment horizontal="center"/>
    </xf>
    <xf numFmtId="0" fontId="3" fillId="0" borderId="43" xfId="0" applyFont="1" applyBorder="1"/>
    <xf numFmtId="0" fontId="3" fillId="0" borderId="44" xfId="0" applyFont="1" applyBorder="1"/>
    <xf numFmtId="0" fontId="3" fillId="0" borderId="4" xfId="0" applyFont="1" applyBorder="1"/>
    <xf numFmtId="0" fontId="4" fillId="4" borderId="1" xfId="0" applyFont="1" applyFill="1" applyBorder="1" applyAlignment="1"/>
    <xf numFmtId="0" fontId="3" fillId="0" borderId="16" xfId="0" applyFont="1" applyBorder="1" applyAlignment="1">
      <alignment vertical="top" wrapText="1"/>
    </xf>
    <xf numFmtId="0" fontId="3" fillId="0" borderId="17" xfId="0" applyFont="1" applyBorder="1"/>
    <xf numFmtId="0" fontId="3" fillId="0" borderId="18" xfId="0" applyFont="1" applyBorder="1"/>
    <xf numFmtId="0" fontId="3" fillId="0" borderId="19" xfId="0" applyFont="1" applyBorder="1"/>
    <xf numFmtId="0" fontId="3" fillId="0" borderId="20" xfId="0" applyFont="1" applyBorder="1"/>
    <xf numFmtId="0" fontId="3" fillId="0" borderId="21" xfId="0" applyFont="1" applyBorder="1"/>
    <xf numFmtId="0" fontId="3" fillId="0" borderId="22" xfId="0" applyFont="1" applyBorder="1"/>
    <xf numFmtId="0" fontId="3" fillId="0" borderId="23" xfId="0" applyFont="1" applyBorder="1"/>
    <xf numFmtId="0" fontId="0" fillId="7" borderId="1" xfId="0" applyFont="1" applyFill="1" applyBorder="1" applyAlignment="1"/>
    <xf numFmtId="0" fontId="3" fillId="0" borderId="5" xfId="0" applyFont="1" applyBorder="1" applyAlignment="1">
      <alignment wrapText="1"/>
    </xf>
    <xf numFmtId="0" fontId="3" fillId="0" borderId="1" xfId="0" applyFont="1" applyBorder="1" applyAlignment="1"/>
    <xf numFmtId="0" fontId="16" fillId="0" borderId="63" xfId="0" applyFont="1" applyFill="1" applyBorder="1" applyAlignment="1">
      <alignment horizontal="center" vertical="center" wrapText="1"/>
    </xf>
    <xf numFmtId="0" fontId="16" fillId="0" borderId="26" xfId="0" applyFont="1" applyFill="1" applyBorder="1" applyAlignment="1">
      <alignment horizontal="center" vertical="center" wrapText="1"/>
    </xf>
    <xf numFmtId="0" fontId="16" fillId="0" borderId="64" xfId="0" applyFont="1" applyFill="1" applyBorder="1" applyAlignment="1">
      <alignment horizontal="center" vertical="center" wrapText="1"/>
    </xf>
    <xf numFmtId="171" fontId="0" fillId="0" borderId="0" xfId="0" applyNumberFormat="1" applyFont="1" applyAlignment="1"/>
    <xf numFmtId="164" fontId="0" fillId="0" borderId="0" xfId="0" applyNumberFormat="1" applyFont="1" applyAlignment="1"/>
    <xf numFmtId="3" fontId="16" fillId="0" borderId="26" xfId="0" applyNumberFormat="1" applyFont="1" applyBorder="1"/>
    <xf numFmtId="164" fontId="16" fillId="0" borderId="26" xfId="0" applyNumberFormat="1" applyFont="1" applyBorder="1" applyAlignment="1"/>
    <xf numFmtId="0" fontId="3" fillId="0" borderId="26" xfId="0" applyFont="1" applyBorder="1" applyAlignment="1"/>
    <xf numFmtId="164" fontId="3" fillId="0" borderId="26" xfId="0" applyNumberFormat="1" applyFont="1" applyBorder="1"/>
    <xf numFmtId="164" fontId="3" fillId="0" borderId="26" xfId="0" applyNumberFormat="1" applyFont="1" applyBorder="1" applyAlignment="1"/>
    <xf numFmtId="3" fontId="3" fillId="0" borderId="64" xfId="0" applyNumberFormat="1" applyFont="1" applyBorder="1" applyAlignment="1"/>
    <xf numFmtId="0" fontId="4" fillId="2" borderId="65" xfId="0" applyFont="1" applyFill="1" applyBorder="1" applyAlignment="1"/>
    <xf numFmtId="1" fontId="3" fillId="2" borderId="66" xfId="0" applyNumberFormat="1" applyFont="1" applyFill="1" applyBorder="1"/>
    <xf numFmtId="164" fontId="3" fillId="2" borderId="66" xfId="0" applyNumberFormat="1" applyFont="1" applyFill="1" applyBorder="1"/>
    <xf numFmtId="0" fontId="3" fillId="2" borderId="66" xfId="0" applyFont="1" applyFill="1" applyBorder="1"/>
    <xf numFmtId="3" fontId="3" fillId="2" borderId="67" xfId="0" applyNumberFormat="1" applyFont="1" applyFill="1" applyBorder="1"/>
    <xf numFmtId="0" fontId="16" fillId="0" borderId="71" xfId="0" applyFont="1" applyBorder="1" applyAlignment="1"/>
    <xf numFmtId="3" fontId="16" fillId="0" borderId="72" xfId="0" applyNumberFormat="1" applyFont="1" applyBorder="1"/>
    <xf numFmtId="164" fontId="16" fillId="0" borderId="72" xfId="0" applyNumberFormat="1" applyFont="1" applyBorder="1" applyAlignment="1"/>
    <xf numFmtId="0" fontId="3" fillId="0" borderId="72" xfId="0" applyFont="1" applyBorder="1" applyAlignment="1"/>
    <xf numFmtId="164" fontId="3" fillId="0" borderId="72" xfId="0" applyNumberFormat="1" applyFont="1" applyBorder="1"/>
    <xf numFmtId="164" fontId="3" fillId="0" borderId="72" xfId="0" applyNumberFormat="1" applyFont="1" applyBorder="1" applyAlignment="1"/>
    <xf numFmtId="3" fontId="3" fillId="0" borderId="73" xfId="0" applyNumberFormat="1" applyFont="1" applyBorder="1" applyAlignment="1"/>
    <xf numFmtId="0" fontId="4" fillId="4" borderId="86" xfId="0" applyFont="1" applyFill="1" applyBorder="1" applyAlignment="1"/>
    <xf numFmtId="0" fontId="4" fillId="4" borderId="87" xfId="0" applyFont="1" applyFill="1" applyBorder="1" applyAlignment="1"/>
    <xf numFmtId="0" fontId="4" fillId="4" borderId="88" xfId="0" applyFont="1" applyFill="1" applyBorder="1" applyAlignment="1"/>
    <xf numFmtId="0" fontId="16" fillId="0" borderId="68" xfId="0" applyFont="1" applyBorder="1" applyAlignment="1"/>
    <xf numFmtId="3" fontId="16" fillId="0" borderId="69" xfId="0" applyNumberFormat="1" applyFont="1" applyBorder="1"/>
    <xf numFmtId="164" fontId="16" fillId="0" borderId="69" xfId="0" applyNumberFormat="1" applyFont="1" applyBorder="1" applyAlignment="1"/>
    <xf numFmtId="0" fontId="3" fillId="0" borderId="69" xfId="0" applyFont="1" applyBorder="1" applyAlignment="1"/>
    <xf numFmtId="164" fontId="3" fillId="0" borderId="69" xfId="0" applyNumberFormat="1" applyFont="1" applyBorder="1"/>
    <xf numFmtId="0" fontId="4" fillId="4" borderId="89" xfId="0" applyFont="1" applyFill="1" applyBorder="1" applyAlignment="1"/>
    <xf numFmtId="0" fontId="4" fillId="4" borderId="90" xfId="0" applyFont="1" applyFill="1" applyBorder="1" applyAlignment="1"/>
    <xf numFmtId="0" fontId="4" fillId="4" borderId="91" xfId="0" applyFont="1" applyFill="1" applyBorder="1" applyAlignment="1"/>
    <xf numFmtId="0" fontId="16" fillId="16" borderId="28" xfId="0" applyFont="1" applyFill="1" applyBorder="1" applyAlignment="1">
      <alignment horizontal="center"/>
    </xf>
    <xf numFmtId="0" fontId="16" fillId="16" borderId="74" xfId="0" applyFont="1" applyFill="1" applyBorder="1" applyAlignment="1">
      <alignment horizontal="center"/>
    </xf>
    <xf numFmtId="0" fontId="16" fillId="16" borderId="75" xfId="0" applyFont="1" applyFill="1" applyBorder="1" applyAlignment="1">
      <alignment horizontal="center"/>
    </xf>
    <xf numFmtId="0" fontId="4" fillId="4" borderId="28" xfId="0" applyFont="1" applyFill="1" applyBorder="1" applyAlignment="1">
      <alignment horizontal="left"/>
    </xf>
    <xf numFmtId="0" fontId="4" fillId="4" borderId="75" xfId="0" applyFont="1" applyFill="1" applyBorder="1" applyAlignment="1">
      <alignment horizontal="left"/>
    </xf>
    <xf numFmtId="0" fontId="15" fillId="2" borderId="54" xfId="0" applyFont="1" applyFill="1" applyBorder="1" applyAlignment="1">
      <alignment horizontal="center" vertical="top"/>
    </xf>
    <xf numFmtId="0" fontId="16" fillId="0" borderId="55" xfId="0" applyFont="1" applyBorder="1"/>
    <xf numFmtId="0" fontId="15" fillId="2" borderId="78" xfId="0" applyFont="1" applyFill="1" applyBorder="1" applyAlignment="1">
      <alignment horizontal="center" vertical="top"/>
    </xf>
    <xf numFmtId="0" fontId="16" fillId="0" borderId="77" xfId="0" applyFont="1" applyBorder="1"/>
    <xf numFmtId="0" fontId="16" fillId="0" borderId="56" xfId="0" applyFont="1" applyBorder="1"/>
    <xf numFmtId="164" fontId="16" fillId="0" borderId="39" xfId="0" applyNumberFormat="1" applyFont="1" applyBorder="1"/>
    <xf numFmtId="0" fontId="15" fillId="3" borderId="40" xfId="0" applyFont="1" applyFill="1" applyBorder="1" applyAlignment="1"/>
    <xf numFmtId="164" fontId="15" fillId="3" borderId="41" xfId="0" applyNumberFormat="1" applyFont="1" applyFill="1" applyBorder="1"/>
    <xf numFmtId="3" fontId="15" fillId="3" borderId="41" xfId="0" applyNumberFormat="1" applyFont="1" applyFill="1" applyBorder="1"/>
    <xf numFmtId="1" fontId="15" fillId="3" borderId="41" xfId="0" applyNumberFormat="1" applyFont="1" applyFill="1" applyBorder="1"/>
    <xf numFmtId="164" fontId="15" fillId="3" borderId="42" xfId="0" applyNumberFormat="1" applyFont="1" applyFill="1" applyBorder="1"/>
    <xf numFmtId="0" fontId="16" fillId="0" borderId="46" xfId="0" applyFont="1" applyBorder="1" applyAlignment="1"/>
    <xf numFmtId="164" fontId="16" fillId="0" borderId="13" xfId="0" applyNumberFormat="1" applyFont="1" applyBorder="1" applyAlignment="1"/>
    <xf numFmtId="3" fontId="16" fillId="0" borderId="13" xfId="0" applyNumberFormat="1" applyFont="1" applyBorder="1"/>
    <xf numFmtId="164" fontId="16" fillId="0" borderId="13" xfId="0" applyNumberFormat="1" applyFont="1" applyBorder="1"/>
    <xf numFmtId="1" fontId="16" fillId="0" borderId="13" xfId="0" applyNumberFormat="1" applyFont="1" applyBorder="1"/>
    <xf numFmtId="164" fontId="16" fillId="0" borderId="93" xfId="0" applyNumberFormat="1" applyFont="1" applyBorder="1"/>
    <xf numFmtId="0" fontId="15" fillId="3" borderId="50" xfId="0" applyFont="1" applyFill="1" applyBorder="1" applyAlignment="1">
      <alignment horizontal="left"/>
    </xf>
    <xf numFmtId="0" fontId="15" fillId="3" borderId="51" xfId="0" applyFont="1" applyFill="1" applyBorder="1" applyAlignment="1">
      <alignment horizontal="center"/>
    </xf>
    <xf numFmtId="0" fontId="15" fillId="3" borderId="52" xfId="0" applyFont="1" applyFill="1" applyBorder="1" applyAlignment="1">
      <alignment horizontal="center"/>
    </xf>
    <xf numFmtId="0" fontId="16" fillId="0" borderId="47" xfId="0" applyFont="1" applyBorder="1" applyAlignment="1"/>
    <xf numFmtId="164" fontId="16" fillId="0" borderId="14" xfId="0" applyNumberFormat="1" applyFont="1" applyBorder="1" applyAlignment="1"/>
    <xf numFmtId="3" fontId="16" fillId="0" borderId="14" xfId="0" applyNumberFormat="1" applyFont="1" applyBorder="1"/>
    <xf numFmtId="164" fontId="16" fillId="0" borderId="14" xfId="0" applyNumberFormat="1" applyFont="1" applyBorder="1"/>
    <xf numFmtId="1" fontId="16" fillId="0" borderId="14" xfId="0" applyNumberFormat="1" applyFont="1" applyBorder="1"/>
    <xf numFmtId="164" fontId="16" fillId="0" borderId="48" xfId="0" applyNumberFormat="1" applyFont="1" applyBorder="1"/>
    <xf numFmtId="164" fontId="3" fillId="0" borderId="47" xfId="0" applyNumberFormat="1" applyFont="1" applyBorder="1" applyAlignment="1"/>
    <xf numFmtId="3" fontId="3" fillId="0" borderId="48" xfId="0" applyNumberFormat="1" applyFont="1" applyBorder="1" applyAlignment="1"/>
    <xf numFmtId="0" fontId="4" fillId="4" borderId="74" xfId="0" applyFont="1" applyFill="1" applyBorder="1" applyAlignment="1">
      <alignment horizontal="left"/>
    </xf>
    <xf numFmtId="164" fontId="3" fillId="16" borderId="96" xfId="0" applyNumberFormat="1" applyFont="1" applyFill="1" applyBorder="1" applyAlignment="1">
      <alignment horizontal="center"/>
    </xf>
    <xf numFmtId="164" fontId="3" fillId="16" borderId="73" xfId="0" applyNumberFormat="1" applyFont="1" applyFill="1" applyBorder="1" applyAlignment="1">
      <alignment horizontal="center"/>
    </xf>
    <xf numFmtId="164" fontId="3" fillId="0" borderId="69" xfId="0" applyNumberFormat="1" applyFont="1" applyBorder="1" applyAlignment="1"/>
    <xf numFmtId="3" fontId="3" fillId="0" borderId="70" xfId="0" applyNumberFormat="1" applyFont="1" applyBorder="1" applyAlignment="1"/>
    <xf numFmtId="0" fontId="4" fillId="3" borderId="28" xfId="0" applyFont="1" applyFill="1" applyBorder="1" applyAlignment="1">
      <alignment horizontal="center" vertical="top" wrapText="1"/>
    </xf>
    <xf numFmtId="0" fontId="4" fillId="3" borderId="74" xfId="0" applyFont="1" applyFill="1" applyBorder="1" applyAlignment="1">
      <alignment horizontal="center" vertical="top" wrapText="1"/>
    </xf>
    <xf numFmtId="0" fontId="4" fillId="3" borderId="75" xfId="0" applyFont="1" applyFill="1" applyBorder="1" applyAlignment="1">
      <alignment horizontal="center" vertical="top" wrapText="1"/>
    </xf>
    <xf numFmtId="1" fontId="16" fillId="17" borderId="51" xfId="0" applyNumberFormat="1" applyFont="1" applyFill="1" applyBorder="1"/>
    <xf numFmtId="0" fontId="15" fillId="18" borderId="28" xfId="0" applyFont="1" applyFill="1" applyBorder="1" applyAlignment="1">
      <alignment horizontal="center"/>
    </xf>
    <xf numFmtId="0" fontId="15" fillId="18" borderId="75" xfId="0" applyFont="1" applyFill="1" applyBorder="1" applyAlignment="1">
      <alignment horizontal="center"/>
    </xf>
    <xf numFmtId="0" fontId="15" fillId="18" borderId="51" xfId="0" applyFont="1" applyFill="1" applyBorder="1" applyAlignment="1">
      <alignment horizontal="center"/>
    </xf>
    <xf numFmtId="0" fontId="15" fillId="18" borderId="52" xfId="0" applyFont="1" applyFill="1" applyBorder="1" applyAlignment="1">
      <alignment horizontal="center"/>
    </xf>
    <xf numFmtId="0" fontId="15" fillId="18" borderId="27" xfId="0" applyFont="1" applyFill="1" applyBorder="1" applyAlignment="1">
      <alignment horizontal="left"/>
    </xf>
    <xf numFmtId="0" fontId="4" fillId="3" borderId="2" xfId="0" applyFont="1" applyFill="1" applyBorder="1" applyAlignment="1"/>
    <xf numFmtId="0" fontId="4" fillId="3" borderId="14" xfId="0" applyFont="1" applyFill="1" applyBorder="1" applyAlignment="1">
      <alignment vertical="center"/>
    </xf>
    <xf numFmtId="0" fontId="4" fillId="3" borderId="15" xfId="0" applyFont="1" applyFill="1" applyBorder="1" applyAlignment="1">
      <alignment vertical="center"/>
    </xf>
    <xf numFmtId="0" fontId="3" fillId="0" borderId="13" xfId="0" applyFont="1" applyBorder="1" applyAlignment="1">
      <alignment vertical="center"/>
    </xf>
    <xf numFmtId="0" fontId="3" fillId="0" borderId="15" xfId="0" applyFont="1" applyBorder="1" applyAlignment="1">
      <alignment vertical="center"/>
    </xf>
    <xf numFmtId="164" fontId="3" fillId="0" borderId="2" xfId="0" applyNumberFormat="1" applyFont="1" applyBorder="1"/>
    <xf numFmtId="0" fontId="4" fillId="4" borderId="80" xfId="0" applyFont="1" applyFill="1" applyBorder="1" applyAlignment="1"/>
    <xf numFmtId="165" fontId="3" fillId="0" borderId="13" xfId="0" applyNumberFormat="1" applyFont="1" applyBorder="1"/>
    <xf numFmtId="165" fontId="3" fillId="0" borderId="38" xfId="0" applyNumberFormat="1" applyFont="1" applyBorder="1"/>
    <xf numFmtId="165" fontId="3" fillId="0" borderId="39" xfId="0" applyNumberFormat="1" applyFont="1" applyBorder="1"/>
    <xf numFmtId="166" fontId="3" fillId="0" borderId="38" xfId="0" applyNumberFormat="1" applyFont="1" applyBorder="1" applyAlignment="1"/>
    <xf numFmtId="165" fontId="4" fillId="2" borderId="40" xfId="0" applyNumberFormat="1" applyFont="1" applyFill="1" applyBorder="1"/>
    <xf numFmtId="165" fontId="4" fillId="2" borderId="41" xfId="0" applyNumberFormat="1" applyFont="1" applyFill="1" applyBorder="1"/>
    <xf numFmtId="165" fontId="4" fillId="2" borderId="42" xfId="0" applyNumberFormat="1" applyFont="1" applyFill="1" applyBorder="1"/>
    <xf numFmtId="0" fontId="6" fillId="3" borderId="38" xfId="0" applyFont="1" applyFill="1" applyBorder="1" applyAlignment="1">
      <alignment horizontal="center" wrapText="1"/>
    </xf>
    <xf numFmtId="0" fontId="4" fillId="4" borderId="39" xfId="0" applyFont="1" applyFill="1" applyBorder="1" applyAlignment="1">
      <alignment horizontal="center"/>
    </xf>
    <xf numFmtId="0" fontId="4" fillId="6" borderId="38" xfId="0" applyFont="1" applyFill="1" applyBorder="1" applyAlignment="1"/>
    <xf numFmtId="0" fontId="4" fillId="2" borderId="40" xfId="0" applyFont="1" applyFill="1" applyBorder="1" applyAlignment="1"/>
    <xf numFmtId="0" fontId="4" fillId="3" borderId="39" xfId="0" applyFont="1" applyFill="1" applyBorder="1" applyAlignment="1">
      <alignment horizontal="center"/>
    </xf>
    <xf numFmtId="0" fontId="6" fillId="3" borderId="32" xfId="0" applyFont="1" applyFill="1" applyBorder="1" applyAlignment="1">
      <alignment horizontal="center" wrapText="1"/>
    </xf>
    <xf numFmtId="165" fontId="3" fillId="0" borderId="46" xfId="0" applyNumberFormat="1" applyFont="1" applyBorder="1"/>
    <xf numFmtId="165" fontId="3" fillId="0" borderId="93" xfId="0" applyNumberFormat="1" applyFont="1" applyBorder="1"/>
    <xf numFmtId="0" fontId="0" fillId="0" borderId="26" xfId="0" applyFont="1" applyBorder="1" applyAlignment="1">
      <alignment horizontal="center"/>
    </xf>
    <xf numFmtId="0" fontId="4" fillId="4" borderId="83" xfId="0" applyFont="1" applyFill="1" applyBorder="1" applyAlignment="1"/>
    <xf numFmtId="0" fontId="4" fillId="2" borderId="34" xfId="0" applyFont="1" applyFill="1" applyBorder="1" applyAlignment="1"/>
    <xf numFmtId="0" fontId="4" fillId="3" borderId="60" xfId="0" applyFont="1" applyFill="1" applyBorder="1" applyAlignment="1">
      <alignment horizontal="center"/>
    </xf>
    <xf numFmtId="0" fontId="4" fillId="3" borderId="61" xfId="0" applyFont="1" applyFill="1" applyBorder="1" applyAlignment="1">
      <alignment horizontal="center"/>
    </xf>
    <xf numFmtId="0" fontId="4" fillId="3" borderId="62" xfId="0" applyFont="1" applyFill="1" applyBorder="1" applyAlignment="1">
      <alignment horizontal="center"/>
    </xf>
    <xf numFmtId="0" fontId="0" fillId="0" borderId="63" xfId="0" applyFont="1" applyBorder="1" applyAlignment="1">
      <alignment horizontal="center"/>
    </xf>
    <xf numFmtId="0" fontId="0" fillId="0" borderId="64" xfId="0" applyFont="1" applyBorder="1" applyAlignment="1">
      <alignment horizontal="center"/>
    </xf>
    <xf numFmtId="164" fontId="3" fillId="0" borderId="3" xfId="0" applyNumberFormat="1" applyFont="1" applyFill="1" applyBorder="1"/>
    <xf numFmtId="0" fontId="14" fillId="0" borderId="1" xfId="1" applyBorder="1" applyAlignment="1"/>
    <xf numFmtId="0" fontId="6" fillId="2" borderId="35" xfId="0" applyFont="1" applyFill="1" applyBorder="1" applyAlignment="1">
      <alignment horizontal="center" wrapText="1"/>
    </xf>
    <xf numFmtId="0" fontId="6" fillId="2" borderId="36" xfId="0" applyFont="1" applyFill="1" applyBorder="1" applyAlignment="1">
      <alignment horizontal="center"/>
    </xf>
    <xf numFmtId="0" fontId="6" fillId="2" borderId="36" xfId="0" applyFont="1" applyFill="1" applyBorder="1" applyAlignment="1">
      <alignment horizontal="center" wrapText="1"/>
    </xf>
    <xf numFmtId="0" fontId="6" fillId="2" borderId="37" xfId="0" applyFont="1" applyFill="1" applyBorder="1" applyAlignment="1">
      <alignment horizontal="center"/>
    </xf>
    <xf numFmtId="0" fontId="3" fillId="3" borderId="38" xfId="0" applyFont="1" applyFill="1" applyBorder="1"/>
    <xf numFmtId="0" fontId="3" fillId="3" borderId="39" xfId="0" applyFont="1" applyFill="1" applyBorder="1"/>
    <xf numFmtId="165" fontId="2" fillId="7" borderId="39" xfId="0" applyNumberFormat="1" applyFont="1" applyFill="1" applyBorder="1" applyAlignment="1">
      <alignment horizontal="right"/>
    </xf>
    <xf numFmtId="0" fontId="4" fillId="4" borderId="31" xfId="0" applyFont="1" applyFill="1" applyBorder="1" applyAlignment="1"/>
    <xf numFmtId="164" fontId="8" fillId="0" borderId="41" xfId="0" applyNumberFormat="1" applyFont="1" applyBorder="1" applyAlignment="1"/>
    <xf numFmtId="165" fontId="2" fillId="7" borderId="41" xfId="0" applyNumberFormat="1" applyFont="1" applyFill="1" applyBorder="1" applyAlignment="1">
      <alignment horizontal="right"/>
    </xf>
    <xf numFmtId="165" fontId="2" fillId="7" borderId="42" xfId="0" applyNumberFormat="1" applyFont="1" applyFill="1" applyBorder="1" applyAlignment="1">
      <alignment horizontal="right"/>
    </xf>
    <xf numFmtId="0" fontId="4" fillId="2" borderId="94" xfId="0" applyFont="1" applyFill="1" applyBorder="1" applyAlignment="1">
      <alignment horizontal="center"/>
    </xf>
    <xf numFmtId="0" fontId="3" fillId="0" borderId="81" xfId="0" applyFont="1" applyBorder="1"/>
    <xf numFmtId="0" fontId="3" fillId="0" borderId="40" xfId="0" applyFont="1" applyBorder="1" applyAlignment="1"/>
    <xf numFmtId="164" fontId="3" fillId="0" borderId="41" xfId="0" applyNumberFormat="1" applyFont="1" applyBorder="1" applyAlignment="1"/>
    <xf numFmtId="0" fontId="14" fillId="0" borderId="84" xfId="1" applyBorder="1" applyAlignment="1"/>
    <xf numFmtId="0" fontId="3" fillId="0" borderId="85" xfId="0" applyFont="1" applyBorder="1"/>
    <xf numFmtId="0" fontId="3" fillId="0" borderId="82" xfId="0" applyFont="1" applyBorder="1"/>
    <xf numFmtId="164" fontId="3" fillId="0" borderId="0" xfId="0" applyNumberFormat="1" applyFont="1" applyBorder="1" applyAlignment="1"/>
    <xf numFmtId="164" fontId="3" fillId="0" borderId="1" xfId="0" applyNumberFormat="1" applyFont="1" applyBorder="1" applyAlignment="1"/>
    <xf numFmtId="0" fontId="4" fillId="2" borderId="13" xfId="0" applyFont="1" applyFill="1" applyBorder="1" applyAlignment="1"/>
    <xf numFmtId="0" fontId="4" fillId="2" borderId="35" xfId="0" applyFont="1" applyFill="1" applyBorder="1" applyAlignment="1"/>
    <xf numFmtId="0" fontId="4" fillId="2" borderId="97" xfId="0" applyFont="1" applyFill="1" applyBorder="1" applyAlignment="1">
      <alignment horizontal="center"/>
    </xf>
    <xf numFmtId="0" fontId="4" fillId="2" borderId="76" xfId="0" applyFont="1" applyFill="1" applyBorder="1" applyAlignment="1">
      <alignment horizontal="center"/>
    </xf>
    <xf numFmtId="0" fontId="4" fillId="2" borderId="44" xfId="0" applyFont="1" applyFill="1" applyBorder="1" applyAlignment="1">
      <alignment horizontal="center"/>
    </xf>
    <xf numFmtId="0" fontId="3" fillId="4" borderId="46" xfId="0" applyFont="1" applyFill="1" applyBorder="1" applyAlignment="1"/>
    <xf numFmtId="0" fontId="9" fillId="7" borderId="0" xfId="0" applyFont="1" applyFill="1" applyBorder="1"/>
    <xf numFmtId="0" fontId="3" fillId="4" borderId="38" xfId="0" applyFont="1" applyFill="1" applyBorder="1" applyAlignment="1"/>
    <xf numFmtId="0" fontId="3" fillId="0" borderId="39" xfId="0" applyFont="1" applyBorder="1"/>
    <xf numFmtId="0" fontId="4" fillId="2" borderId="38" xfId="0" applyFont="1" applyFill="1" applyBorder="1" applyAlignment="1"/>
    <xf numFmtId="0" fontId="3" fillId="2" borderId="39" xfId="0" applyFont="1" applyFill="1" applyBorder="1"/>
    <xf numFmtId="0" fontId="4" fillId="2" borderId="41" xfId="0" applyFont="1" applyFill="1" applyBorder="1" applyAlignment="1"/>
    <xf numFmtId="164" fontId="4" fillId="2" borderId="41" xfId="0" applyNumberFormat="1" applyFont="1" applyFill="1" applyBorder="1"/>
    <xf numFmtId="0" fontId="4" fillId="2" borderId="41" xfId="0" applyFont="1" applyFill="1" applyBorder="1"/>
    <xf numFmtId="166" fontId="4" fillId="2" borderId="41" xfId="0" applyNumberFormat="1" applyFont="1" applyFill="1" applyBorder="1"/>
    <xf numFmtId="164" fontId="4" fillId="2" borderId="42" xfId="0" applyNumberFormat="1" applyFont="1" applyFill="1" applyBorder="1"/>
    <xf numFmtId="0" fontId="4" fillId="2" borderId="28" xfId="0" applyFont="1" applyFill="1" applyBorder="1" applyAlignment="1">
      <alignment horizontal="center"/>
    </xf>
    <xf numFmtId="0" fontId="3" fillId="0" borderId="53" xfId="0" applyFont="1" applyBorder="1"/>
    <xf numFmtId="0" fontId="4" fillId="2" borderId="92" xfId="0" applyFont="1" applyFill="1" applyBorder="1" applyAlignment="1">
      <alignment horizontal="center"/>
    </xf>
    <xf numFmtId="0" fontId="3" fillId="0" borderId="75" xfId="0" applyFont="1" applyBorder="1"/>
    <xf numFmtId="0" fontId="27" fillId="3" borderId="35" xfId="1" applyFont="1" applyFill="1" applyBorder="1" applyAlignment="1"/>
    <xf numFmtId="164" fontId="3" fillId="0" borderId="36" xfId="0" applyNumberFormat="1" applyFont="1" applyBorder="1"/>
    <xf numFmtId="164" fontId="3" fillId="0" borderId="37" xfId="0" applyNumberFormat="1" applyFont="1" applyBorder="1"/>
    <xf numFmtId="0" fontId="27" fillId="3" borderId="38" xfId="1" applyFont="1" applyFill="1" applyBorder="1" applyAlignment="1"/>
    <xf numFmtId="0" fontId="4" fillId="2" borderId="50" xfId="0" applyFont="1" applyFill="1" applyBorder="1" applyAlignment="1">
      <alignment horizontal="center"/>
    </xf>
    <xf numFmtId="0" fontId="4" fillId="2" borderId="51" xfId="0" applyFont="1" applyFill="1" applyBorder="1" applyAlignment="1">
      <alignment horizontal="center"/>
    </xf>
    <xf numFmtId="0" fontId="4" fillId="2" borderId="52" xfId="0" applyFont="1" applyFill="1" applyBorder="1" applyAlignment="1">
      <alignment horizontal="center"/>
    </xf>
    <xf numFmtId="0" fontId="3" fillId="4" borderId="35" xfId="0" applyFont="1" applyFill="1" applyBorder="1" applyAlignment="1"/>
    <xf numFmtId="0" fontId="3" fillId="0" borderId="36" xfId="0" applyFont="1" applyBorder="1"/>
    <xf numFmtId="0" fontId="4" fillId="3" borderId="38" xfId="0" applyFont="1" applyFill="1" applyBorder="1" applyAlignment="1"/>
    <xf numFmtId="164" fontId="4" fillId="3" borderId="39" xfId="0" applyNumberFormat="1" applyFont="1" applyFill="1" applyBorder="1"/>
    <xf numFmtId="0" fontId="4" fillId="3" borderId="40" xfId="0" applyFont="1" applyFill="1" applyBorder="1" applyAlignment="1"/>
    <xf numFmtId="0" fontId="3" fillId="15" borderId="5" xfId="0" applyFont="1" applyFill="1" applyBorder="1" applyAlignment="1">
      <alignment vertical="top" wrapText="1"/>
    </xf>
    <xf numFmtId="0" fontId="3" fillId="15" borderId="6" xfId="0" applyFont="1" applyFill="1" applyBorder="1"/>
    <xf numFmtId="0" fontId="3" fillId="15" borderId="7" xfId="0" applyFont="1" applyFill="1" applyBorder="1"/>
    <xf numFmtId="0" fontId="3" fillId="15" borderId="8" xfId="0" applyFont="1" applyFill="1" applyBorder="1" applyAlignment="1">
      <alignment vertical="top" wrapText="1"/>
    </xf>
    <xf numFmtId="0" fontId="3" fillId="15" borderId="0" xfId="0" applyFont="1" applyFill="1" applyBorder="1"/>
    <xf numFmtId="0" fontId="3" fillId="15" borderId="9" xfId="0" applyFont="1" applyFill="1" applyBorder="1"/>
    <xf numFmtId="0" fontId="3" fillId="15" borderId="8" xfId="0" applyFont="1" applyFill="1" applyBorder="1"/>
    <xf numFmtId="0" fontId="0" fillId="15" borderId="0" xfId="0" applyFont="1" applyFill="1" applyAlignment="1"/>
    <xf numFmtId="0" fontId="3" fillId="15" borderId="10" xfId="0" applyFont="1" applyFill="1" applyBorder="1"/>
    <xf numFmtId="0" fontId="3" fillId="15" borderId="11" xfId="0" applyFont="1" applyFill="1" applyBorder="1"/>
    <xf numFmtId="0" fontId="3" fillId="15" borderId="12" xfId="0" applyFont="1" applyFill="1" applyBorder="1"/>
    <xf numFmtId="0" fontId="4" fillId="2" borderId="40" xfId="0" applyFont="1" applyFill="1" applyBorder="1" applyAlignment="1">
      <alignment horizontal="right"/>
    </xf>
    <xf numFmtId="0" fontId="4" fillId="2" borderId="95" xfId="0" applyFont="1" applyFill="1" applyBorder="1" applyAlignment="1">
      <alignment horizontal="center"/>
    </xf>
    <xf numFmtId="164" fontId="3" fillId="0" borderId="60" xfId="0" applyNumberFormat="1" applyFont="1" applyBorder="1"/>
    <xf numFmtId="164" fontId="3" fillId="0" borderId="61" xfId="0" applyNumberFormat="1" applyFont="1" applyBorder="1"/>
    <xf numFmtId="164" fontId="3" fillId="0" borderId="62" xfId="0" applyNumberFormat="1" applyFont="1" applyBorder="1"/>
    <xf numFmtId="164" fontId="3" fillId="0" borderId="63" xfId="0" applyNumberFormat="1" applyFont="1" applyBorder="1"/>
    <xf numFmtId="164" fontId="3" fillId="0" borderId="64" xfId="0" applyNumberFormat="1" applyFont="1" applyBorder="1"/>
    <xf numFmtId="164" fontId="3" fillId="0" borderId="65" xfId="0" applyNumberFormat="1" applyFont="1" applyBorder="1"/>
    <xf numFmtId="164" fontId="3" fillId="0" borderId="66" xfId="0" applyNumberFormat="1" applyFont="1" applyBorder="1"/>
    <xf numFmtId="164" fontId="3" fillId="0" borderId="67" xfId="0" applyNumberFormat="1" applyFont="1" applyBorder="1"/>
    <xf numFmtId="0" fontId="4" fillId="3" borderId="35" xfId="0" applyFont="1" applyFill="1" applyBorder="1" applyAlignment="1"/>
    <xf numFmtId="9" fontId="3" fillId="0" borderId="37" xfId="0" applyNumberFormat="1" applyFont="1" applyBorder="1" applyAlignment="1"/>
    <xf numFmtId="9" fontId="3" fillId="15" borderId="42" xfId="0" applyNumberFormat="1" applyFont="1" applyFill="1" applyBorder="1"/>
    <xf numFmtId="0" fontId="26" fillId="0" borderId="0" xfId="0" applyFont="1" applyAlignment="1"/>
    <xf numFmtId="0" fontId="16" fillId="0" borderId="0" xfId="0" applyFont="1" applyAlignment="1"/>
    <xf numFmtId="0" fontId="16" fillId="0" borderId="3" xfId="0" applyFont="1" applyBorder="1" applyAlignment="1">
      <alignment vertical="center" wrapText="1"/>
    </xf>
    <xf numFmtId="0" fontId="16" fillId="0" borderId="0" xfId="0" applyFont="1" applyAlignment="1">
      <alignment vertical="center"/>
    </xf>
    <xf numFmtId="0" fontId="15" fillId="4" borderId="1" xfId="0" applyFont="1" applyFill="1" applyBorder="1" applyAlignment="1"/>
    <xf numFmtId="0" fontId="26" fillId="7" borderId="1" xfId="0" applyFont="1" applyFill="1" applyBorder="1" applyAlignment="1"/>
    <xf numFmtId="0" fontId="16" fillId="0" borderId="5" xfId="0" applyFont="1" applyBorder="1" applyAlignment="1">
      <alignment vertical="top" wrapText="1"/>
    </xf>
    <xf numFmtId="0" fontId="16" fillId="0" borderId="16" xfId="0" applyFont="1" applyBorder="1" applyAlignment="1">
      <alignment vertical="top" wrapText="1"/>
    </xf>
  </cellXfs>
  <cellStyles count="4">
    <cellStyle name="Currency" xfId="2" builtinId="4"/>
    <cellStyle name="Hyperlink" xfId="1" builtinId="8"/>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13</xdr:col>
      <xdr:colOff>180975</xdr:colOff>
      <xdr:row>0</xdr:row>
      <xdr:rowOff>0</xdr:rowOff>
    </xdr:from>
    <xdr:ext cx="561975" cy="742950"/>
    <xdr:pic>
      <xdr:nvPicPr>
        <xdr:cNvPr id="2" name="image1.jpg" title="Imagen">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editAs="oneCell">
    <xdr:from>
      <xdr:col>5</xdr:col>
      <xdr:colOff>57150</xdr:colOff>
      <xdr:row>1</xdr:row>
      <xdr:rowOff>19050</xdr:rowOff>
    </xdr:from>
    <xdr:to>
      <xdr:col>6</xdr:col>
      <xdr:colOff>180986</xdr:colOff>
      <xdr:row>3</xdr:row>
      <xdr:rowOff>125879</xdr:rowOff>
    </xdr:to>
    <xdr:pic>
      <xdr:nvPicPr>
        <xdr:cNvPr id="3" name="Picture 2">
          <a:extLst>
            <a:ext uri="{FF2B5EF4-FFF2-40B4-BE49-F238E27FC236}">
              <a16:creationId xmlns:a16="http://schemas.microsoft.com/office/drawing/2014/main" id="{0C636B3E-B883-42E7-87BB-5626C679CEF1}"/>
            </a:ext>
          </a:extLst>
        </xdr:cNvPr>
        <xdr:cNvPicPr>
          <a:picLocks noChangeAspect="1"/>
        </xdr:cNvPicPr>
      </xdr:nvPicPr>
      <xdr:blipFill rotWithShape="1">
        <a:blip xmlns:r="http://schemas.openxmlformats.org/officeDocument/2006/relationships" r:embed="rId2"/>
        <a:srcRect l="15857" t="26144" r="18685" b="22345"/>
        <a:stretch/>
      </xdr:blipFill>
      <xdr:spPr>
        <a:xfrm>
          <a:off x="5086350" y="215900"/>
          <a:ext cx="1133486" cy="468779"/>
        </a:xfrm>
        <a:prstGeom prst="rect">
          <a:avLst/>
        </a:prstGeom>
      </xdr:spPr>
    </xdr:pic>
    <xdr:clientData/>
  </xdr:twoCellAnchor>
  <xdr:twoCellAnchor editAs="oneCell">
    <xdr:from>
      <xdr:col>4</xdr:col>
      <xdr:colOff>742950</xdr:colOff>
      <xdr:row>8</xdr:row>
      <xdr:rowOff>44450</xdr:rowOff>
    </xdr:from>
    <xdr:to>
      <xdr:col>6</xdr:col>
      <xdr:colOff>492557</xdr:colOff>
      <xdr:row>17</xdr:row>
      <xdr:rowOff>60731</xdr:rowOff>
    </xdr:to>
    <xdr:pic>
      <xdr:nvPicPr>
        <xdr:cNvPr id="4" name="Picture 3">
          <a:extLst>
            <a:ext uri="{FF2B5EF4-FFF2-40B4-BE49-F238E27FC236}">
              <a16:creationId xmlns:a16="http://schemas.microsoft.com/office/drawing/2014/main" id="{068580F2-A67F-4C8D-9574-3B7D44468D3A}"/>
            </a:ext>
          </a:extLst>
        </xdr:cNvPr>
        <xdr:cNvPicPr>
          <a:picLocks noChangeAspect="1"/>
        </xdr:cNvPicPr>
      </xdr:nvPicPr>
      <xdr:blipFill>
        <a:blip xmlns:r="http://schemas.openxmlformats.org/officeDocument/2006/relationships" r:embed="rId3"/>
        <a:stretch>
          <a:fillRect/>
        </a:stretch>
      </xdr:blipFill>
      <xdr:spPr>
        <a:xfrm>
          <a:off x="4762500" y="1587500"/>
          <a:ext cx="1768907" cy="163553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44450</xdr:colOff>
      <xdr:row>0</xdr:row>
      <xdr:rowOff>101600</xdr:rowOff>
    </xdr:from>
    <xdr:to>
      <xdr:col>1</xdr:col>
      <xdr:colOff>568336</xdr:colOff>
      <xdr:row>3</xdr:row>
      <xdr:rowOff>144929</xdr:rowOff>
    </xdr:to>
    <xdr:pic>
      <xdr:nvPicPr>
        <xdr:cNvPr id="3" name="Picture 2">
          <a:extLst>
            <a:ext uri="{FF2B5EF4-FFF2-40B4-BE49-F238E27FC236}">
              <a16:creationId xmlns:a16="http://schemas.microsoft.com/office/drawing/2014/main" id="{032FC6E5-F9AB-43E8-B3E7-2C15D819DCF2}"/>
            </a:ext>
          </a:extLst>
        </xdr:cNvPr>
        <xdr:cNvPicPr>
          <a:picLocks noChangeAspect="1"/>
        </xdr:cNvPicPr>
      </xdr:nvPicPr>
      <xdr:blipFill rotWithShape="1">
        <a:blip xmlns:r="http://schemas.openxmlformats.org/officeDocument/2006/relationships" r:embed="rId1"/>
        <a:srcRect l="15857" t="26144" r="18685" b="22345"/>
        <a:stretch/>
      </xdr:blipFill>
      <xdr:spPr>
        <a:xfrm>
          <a:off x="44450" y="101600"/>
          <a:ext cx="1133486" cy="51957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44450</xdr:colOff>
      <xdr:row>0</xdr:row>
      <xdr:rowOff>101600</xdr:rowOff>
    </xdr:from>
    <xdr:to>
      <xdr:col>1</xdr:col>
      <xdr:colOff>568336</xdr:colOff>
      <xdr:row>3</xdr:row>
      <xdr:rowOff>94129</xdr:rowOff>
    </xdr:to>
    <xdr:pic>
      <xdr:nvPicPr>
        <xdr:cNvPr id="5" name="Picture 4">
          <a:extLst>
            <a:ext uri="{FF2B5EF4-FFF2-40B4-BE49-F238E27FC236}">
              <a16:creationId xmlns:a16="http://schemas.microsoft.com/office/drawing/2014/main" id="{127A8ECF-1A10-4D7B-811D-EA34AF0090C5}"/>
            </a:ext>
          </a:extLst>
        </xdr:cNvPr>
        <xdr:cNvPicPr>
          <a:picLocks noChangeAspect="1"/>
        </xdr:cNvPicPr>
      </xdr:nvPicPr>
      <xdr:blipFill rotWithShape="1">
        <a:blip xmlns:r="http://schemas.openxmlformats.org/officeDocument/2006/relationships" r:embed="rId1"/>
        <a:srcRect l="15857" t="26144" r="18685" b="22345"/>
        <a:stretch/>
      </xdr:blipFill>
      <xdr:spPr>
        <a:xfrm>
          <a:off x="44450" y="101600"/>
          <a:ext cx="1133486" cy="4687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44450</xdr:colOff>
      <xdr:row>0</xdr:row>
      <xdr:rowOff>101600</xdr:rowOff>
    </xdr:from>
    <xdr:to>
      <xdr:col>1</xdr:col>
      <xdr:colOff>168286</xdr:colOff>
      <xdr:row>2</xdr:row>
      <xdr:rowOff>163979</xdr:rowOff>
    </xdr:to>
    <xdr:pic>
      <xdr:nvPicPr>
        <xdr:cNvPr id="4" name="Picture 3">
          <a:extLst>
            <a:ext uri="{FF2B5EF4-FFF2-40B4-BE49-F238E27FC236}">
              <a16:creationId xmlns:a16="http://schemas.microsoft.com/office/drawing/2014/main" id="{78EBD029-CDC3-409D-B6A3-814ADB6B34B1}"/>
            </a:ext>
          </a:extLst>
        </xdr:cNvPr>
        <xdr:cNvPicPr>
          <a:picLocks noChangeAspect="1"/>
        </xdr:cNvPicPr>
      </xdr:nvPicPr>
      <xdr:blipFill rotWithShape="1">
        <a:blip xmlns:r="http://schemas.openxmlformats.org/officeDocument/2006/relationships" r:embed="rId1"/>
        <a:srcRect l="15857" t="26144" r="18685" b="22345"/>
        <a:stretch/>
      </xdr:blipFill>
      <xdr:spPr>
        <a:xfrm>
          <a:off x="44450" y="101600"/>
          <a:ext cx="1133486" cy="46877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44450</xdr:colOff>
      <xdr:row>0</xdr:row>
      <xdr:rowOff>101600</xdr:rowOff>
    </xdr:from>
    <xdr:to>
      <xdr:col>1</xdr:col>
      <xdr:colOff>168286</xdr:colOff>
      <xdr:row>2</xdr:row>
      <xdr:rowOff>163979</xdr:rowOff>
    </xdr:to>
    <xdr:pic>
      <xdr:nvPicPr>
        <xdr:cNvPr id="4" name="Picture 3">
          <a:extLst>
            <a:ext uri="{FF2B5EF4-FFF2-40B4-BE49-F238E27FC236}">
              <a16:creationId xmlns:a16="http://schemas.microsoft.com/office/drawing/2014/main" id="{7D2D4BB2-0CFE-48C6-9F06-81023F039A96}"/>
            </a:ext>
          </a:extLst>
        </xdr:cNvPr>
        <xdr:cNvPicPr>
          <a:picLocks noChangeAspect="1"/>
        </xdr:cNvPicPr>
      </xdr:nvPicPr>
      <xdr:blipFill rotWithShape="1">
        <a:blip xmlns:r="http://schemas.openxmlformats.org/officeDocument/2006/relationships" r:embed="rId1"/>
        <a:srcRect l="15857" t="26144" r="18685" b="22345"/>
        <a:stretch/>
      </xdr:blipFill>
      <xdr:spPr>
        <a:xfrm>
          <a:off x="44450" y="101600"/>
          <a:ext cx="1133486" cy="468779"/>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44450</xdr:colOff>
      <xdr:row>0</xdr:row>
      <xdr:rowOff>101600</xdr:rowOff>
    </xdr:from>
    <xdr:to>
      <xdr:col>1</xdr:col>
      <xdr:colOff>288936</xdr:colOff>
      <xdr:row>2</xdr:row>
      <xdr:rowOff>132229</xdr:rowOff>
    </xdr:to>
    <xdr:pic>
      <xdr:nvPicPr>
        <xdr:cNvPr id="4" name="Picture 3">
          <a:extLst>
            <a:ext uri="{FF2B5EF4-FFF2-40B4-BE49-F238E27FC236}">
              <a16:creationId xmlns:a16="http://schemas.microsoft.com/office/drawing/2014/main" id="{FD9EF2BF-209B-46BA-BF5E-0206DF71BED8}"/>
            </a:ext>
          </a:extLst>
        </xdr:cNvPr>
        <xdr:cNvPicPr>
          <a:picLocks noChangeAspect="1"/>
        </xdr:cNvPicPr>
      </xdr:nvPicPr>
      <xdr:blipFill rotWithShape="1">
        <a:blip xmlns:r="http://schemas.openxmlformats.org/officeDocument/2006/relationships" r:embed="rId1"/>
        <a:srcRect l="15857" t="26144" r="18685" b="22345"/>
        <a:stretch/>
      </xdr:blipFill>
      <xdr:spPr>
        <a:xfrm>
          <a:off x="44450" y="101600"/>
          <a:ext cx="1133486" cy="42432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oneCellAnchor>
    <xdr:from>
      <xdr:col>0</xdr:col>
      <xdr:colOff>44450</xdr:colOff>
      <xdr:row>0</xdr:row>
      <xdr:rowOff>101600</xdr:rowOff>
    </xdr:from>
    <xdr:ext cx="1133486" cy="392579"/>
    <xdr:pic>
      <xdr:nvPicPr>
        <xdr:cNvPr id="5" name="Picture 4">
          <a:extLst>
            <a:ext uri="{FF2B5EF4-FFF2-40B4-BE49-F238E27FC236}">
              <a16:creationId xmlns:a16="http://schemas.microsoft.com/office/drawing/2014/main" id="{3E958F9E-0F94-4F6A-9693-EAF4F5C77DEF}"/>
            </a:ext>
          </a:extLst>
        </xdr:cNvPr>
        <xdr:cNvPicPr>
          <a:picLocks noChangeAspect="1"/>
        </xdr:cNvPicPr>
      </xdr:nvPicPr>
      <xdr:blipFill rotWithShape="1">
        <a:blip xmlns:r="http://schemas.openxmlformats.org/officeDocument/2006/relationships" r:embed="rId1"/>
        <a:srcRect l="15857" t="26144" r="18685" b="22345"/>
        <a:stretch/>
      </xdr:blipFill>
      <xdr:spPr>
        <a:xfrm>
          <a:off x="44450" y="1085850"/>
          <a:ext cx="1133486" cy="392579"/>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twoCellAnchor editAs="oneCell">
    <xdr:from>
      <xdr:col>0</xdr:col>
      <xdr:colOff>44450</xdr:colOff>
      <xdr:row>0</xdr:row>
      <xdr:rowOff>101600</xdr:rowOff>
    </xdr:from>
    <xdr:to>
      <xdr:col>1</xdr:col>
      <xdr:colOff>473086</xdr:colOff>
      <xdr:row>3</xdr:row>
      <xdr:rowOff>5229</xdr:rowOff>
    </xdr:to>
    <xdr:pic>
      <xdr:nvPicPr>
        <xdr:cNvPr id="4" name="Picture 3">
          <a:extLst>
            <a:ext uri="{FF2B5EF4-FFF2-40B4-BE49-F238E27FC236}">
              <a16:creationId xmlns:a16="http://schemas.microsoft.com/office/drawing/2014/main" id="{75124D34-9107-4B28-B80D-B35EE471BFB5}"/>
            </a:ext>
          </a:extLst>
        </xdr:cNvPr>
        <xdr:cNvPicPr>
          <a:picLocks noChangeAspect="1"/>
        </xdr:cNvPicPr>
      </xdr:nvPicPr>
      <xdr:blipFill rotWithShape="1">
        <a:blip xmlns:r="http://schemas.openxmlformats.org/officeDocument/2006/relationships" r:embed="rId1"/>
        <a:srcRect l="15857" t="26144" r="18685" b="22345"/>
        <a:stretch/>
      </xdr:blipFill>
      <xdr:spPr>
        <a:xfrm>
          <a:off x="44450" y="101600"/>
          <a:ext cx="1133486" cy="424329"/>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44450</xdr:colOff>
      <xdr:row>0</xdr:row>
      <xdr:rowOff>101600</xdr:rowOff>
    </xdr:from>
    <xdr:to>
      <xdr:col>1</xdr:col>
      <xdr:colOff>168286</xdr:colOff>
      <xdr:row>2</xdr:row>
      <xdr:rowOff>132229</xdr:rowOff>
    </xdr:to>
    <xdr:pic>
      <xdr:nvPicPr>
        <xdr:cNvPr id="4" name="Picture 3">
          <a:extLst>
            <a:ext uri="{FF2B5EF4-FFF2-40B4-BE49-F238E27FC236}">
              <a16:creationId xmlns:a16="http://schemas.microsoft.com/office/drawing/2014/main" id="{BB530E1D-2391-4EE5-AF82-27EF0680FFCB}"/>
            </a:ext>
          </a:extLst>
        </xdr:cNvPr>
        <xdr:cNvPicPr>
          <a:picLocks noChangeAspect="1"/>
        </xdr:cNvPicPr>
      </xdr:nvPicPr>
      <xdr:blipFill rotWithShape="1">
        <a:blip xmlns:r="http://schemas.openxmlformats.org/officeDocument/2006/relationships" r:embed="rId1"/>
        <a:srcRect l="15857" t="26144" r="18685" b="22345"/>
        <a:stretch/>
      </xdr:blipFill>
      <xdr:spPr>
        <a:xfrm>
          <a:off x="44450" y="101600"/>
          <a:ext cx="1133486" cy="424329"/>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44450</xdr:colOff>
      <xdr:row>0</xdr:row>
      <xdr:rowOff>101600</xdr:rowOff>
    </xdr:from>
    <xdr:to>
      <xdr:col>1</xdr:col>
      <xdr:colOff>168286</xdr:colOff>
      <xdr:row>2</xdr:row>
      <xdr:rowOff>132229</xdr:rowOff>
    </xdr:to>
    <xdr:pic>
      <xdr:nvPicPr>
        <xdr:cNvPr id="4" name="Picture 3">
          <a:extLst>
            <a:ext uri="{FF2B5EF4-FFF2-40B4-BE49-F238E27FC236}">
              <a16:creationId xmlns:a16="http://schemas.microsoft.com/office/drawing/2014/main" id="{9ED0949E-2441-4082-B6D0-28FF163910D6}"/>
            </a:ext>
          </a:extLst>
        </xdr:cNvPr>
        <xdr:cNvPicPr>
          <a:picLocks noChangeAspect="1"/>
        </xdr:cNvPicPr>
      </xdr:nvPicPr>
      <xdr:blipFill rotWithShape="1">
        <a:blip xmlns:r="http://schemas.openxmlformats.org/officeDocument/2006/relationships" r:embed="rId1"/>
        <a:srcRect l="15857" t="26144" r="18685" b="22345"/>
        <a:stretch/>
      </xdr:blipFill>
      <xdr:spPr>
        <a:xfrm>
          <a:off x="44450" y="101600"/>
          <a:ext cx="1133486" cy="424329"/>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44450</xdr:colOff>
      <xdr:row>0</xdr:row>
      <xdr:rowOff>101600</xdr:rowOff>
    </xdr:from>
    <xdr:to>
      <xdr:col>1</xdr:col>
      <xdr:colOff>168286</xdr:colOff>
      <xdr:row>2</xdr:row>
      <xdr:rowOff>132229</xdr:rowOff>
    </xdr:to>
    <xdr:pic>
      <xdr:nvPicPr>
        <xdr:cNvPr id="4" name="Picture 3">
          <a:extLst>
            <a:ext uri="{FF2B5EF4-FFF2-40B4-BE49-F238E27FC236}">
              <a16:creationId xmlns:a16="http://schemas.microsoft.com/office/drawing/2014/main" id="{F18A6B09-1E73-4CDB-9D04-2EDD4072D957}"/>
            </a:ext>
          </a:extLst>
        </xdr:cNvPr>
        <xdr:cNvPicPr>
          <a:picLocks noChangeAspect="1"/>
        </xdr:cNvPicPr>
      </xdr:nvPicPr>
      <xdr:blipFill rotWithShape="1">
        <a:blip xmlns:r="http://schemas.openxmlformats.org/officeDocument/2006/relationships" r:embed="rId1"/>
        <a:srcRect l="15857" t="26144" r="18685" b="22345"/>
        <a:stretch/>
      </xdr:blipFill>
      <xdr:spPr>
        <a:xfrm>
          <a:off x="44450" y="101600"/>
          <a:ext cx="1133486" cy="424329"/>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44450</xdr:colOff>
      <xdr:row>0</xdr:row>
      <xdr:rowOff>101600</xdr:rowOff>
    </xdr:from>
    <xdr:to>
      <xdr:col>1</xdr:col>
      <xdr:colOff>136536</xdr:colOff>
      <xdr:row>3</xdr:row>
      <xdr:rowOff>5229</xdr:rowOff>
    </xdr:to>
    <xdr:pic>
      <xdr:nvPicPr>
        <xdr:cNvPr id="4" name="Picture 3">
          <a:extLst>
            <a:ext uri="{FF2B5EF4-FFF2-40B4-BE49-F238E27FC236}">
              <a16:creationId xmlns:a16="http://schemas.microsoft.com/office/drawing/2014/main" id="{BB56E831-067F-41C2-827A-D2938793E56F}"/>
            </a:ext>
          </a:extLst>
        </xdr:cNvPr>
        <xdr:cNvPicPr>
          <a:picLocks noChangeAspect="1"/>
        </xdr:cNvPicPr>
      </xdr:nvPicPr>
      <xdr:blipFill rotWithShape="1">
        <a:blip xmlns:r="http://schemas.openxmlformats.org/officeDocument/2006/relationships" r:embed="rId1"/>
        <a:srcRect l="15857" t="26144" r="18685" b="22345"/>
        <a:stretch/>
      </xdr:blipFill>
      <xdr:spPr>
        <a:xfrm>
          <a:off x="44450" y="101600"/>
          <a:ext cx="1133486" cy="424329"/>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44450</xdr:colOff>
      <xdr:row>0</xdr:row>
      <xdr:rowOff>101600</xdr:rowOff>
    </xdr:from>
    <xdr:to>
      <xdr:col>1</xdr:col>
      <xdr:colOff>168286</xdr:colOff>
      <xdr:row>3</xdr:row>
      <xdr:rowOff>5229</xdr:rowOff>
    </xdr:to>
    <xdr:pic>
      <xdr:nvPicPr>
        <xdr:cNvPr id="4" name="Picture 3">
          <a:extLst>
            <a:ext uri="{FF2B5EF4-FFF2-40B4-BE49-F238E27FC236}">
              <a16:creationId xmlns:a16="http://schemas.microsoft.com/office/drawing/2014/main" id="{EBD768EA-46FF-4A82-9B0B-D59D43262FC1}"/>
            </a:ext>
          </a:extLst>
        </xdr:cNvPr>
        <xdr:cNvPicPr>
          <a:picLocks noChangeAspect="1"/>
        </xdr:cNvPicPr>
      </xdr:nvPicPr>
      <xdr:blipFill rotWithShape="1">
        <a:blip xmlns:r="http://schemas.openxmlformats.org/officeDocument/2006/relationships" r:embed="rId1"/>
        <a:srcRect l="15857" t="26144" r="18685" b="22345"/>
        <a:stretch/>
      </xdr:blipFill>
      <xdr:spPr>
        <a:xfrm>
          <a:off x="44450" y="101600"/>
          <a:ext cx="1133486" cy="424329"/>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44450</xdr:colOff>
      <xdr:row>0</xdr:row>
      <xdr:rowOff>101600</xdr:rowOff>
    </xdr:from>
    <xdr:to>
      <xdr:col>1</xdr:col>
      <xdr:colOff>168286</xdr:colOff>
      <xdr:row>3</xdr:row>
      <xdr:rowOff>5229</xdr:rowOff>
    </xdr:to>
    <xdr:pic>
      <xdr:nvPicPr>
        <xdr:cNvPr id="8" name="Picture 7">
          <a:extLst>
            <a:ext uri="{FF2B5EF4-FFF2-40B4-BE49-F238E27FC236}">
              <a16:creationId xmlns:a16="http://schemas.microsoft.com/office/drawing/2014/main" id="{BEA6A4CA-BBC9-4078-AA9D-1090CB36C865}"/>
            </a:ext>
          </a:extLst>
        </xdr:cNvPr>
        <xdr:cNvPicPr>
          <a:picLocks noChangeAspect="1"/>
        </xdr:cNvPicPr>
      </xdr:nvPicPr>
      <xdr:blipFill rotWithShape="1">
        <a:blip xmlns:r="http://schemas.openxmlformats.org/officeDocument/2006/relationships" r:embed="rId1"/>
        <a:srcRect l="15857" t="26144" r="18685" b="22345"/>
        <a:stretch/>
      </xdr:blipFill>
      <xdr:spPr>
        <a:xfrm>
          <a:off x="44450" y="101600"/>
          <a:ext cx="1133486" cy="430679"/>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44450</xdr:colOff>
      <xdr:row>0</xdr:row>
      <xdr:rowOff>101600</xdr:rowOff>
    </xdr:from>
    <xdr:to>
      <xdr:col>1</xdr:col>
      <xdr:colOff>168286</xdr:colOff>
      <xdr:row>3</xdr:row>
      <xdr:rowOff>11579</xdr:rowOff>
    </xdr:to>
    <xdr:pic>
      <xdr:nvPicPr>
        <xdr:cNvPr id="6" name="Picture 5">
          <a:extLst>
            <a:ext uri="{FF2B5EF4-FFF2-40B4-BE49-F238E27FC236}">
              <a16:creationId xmlns:a16="http://schemas.microsoft.com/office/drawing/2014/main" id="{87C59D1E-ADA6-4425-BDFF-EBD4C2E4D3B8}"/>
            </a:ext>
          </a:extLst>
        </xdr:cNvPr>
        <xdr:cNvPicPr>
          <a:picLocks noChangeAspect="1"/>
        </xdr:cNvPicPr>
      </xdr:nvPicPr>
      <xdr:blipFill rotWithShape="1">
        <a:blip xmlns:r="http://schemas.openxmlformats.org/officeDocument/2006/relationships" r:embed="rId1"/>
        <a:srcRect l="15857" t="26144" r="18685" b="22345"/>
        <a:stretch/>
      </xdr:blipFill>
      <xdr:spPr>
        <a:xfrm>
          <a:off x="44450" y="101600"/>
          <a:ext cx="1133486" cy="430679"/>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44450</xdr:colOff>
      <xdr:row>0</xdr:row>
      <xdr:rowOff>101600</xdr:rowOff>
    </xdr:from>
    <xdr:to>
      <xdr:col>1</xdr:col>
      <xdr:colOff>168286</xdr:colOff>
      <xdr:row>3</xdr:row>
      <xdr:rowOff>17929</xdr:rowOff>
    </xdr:to>
    <xdr:pic>
      <xdr:nvPicPr>
        <xdr:cNvPr id="6" name="Picture 5">
          <a:extLst>
            <a:ext uri="{FF2B5EF4-FFF2-40B4-BE49-F238E27FC236}">
              <a16:creationId xmlns:a16="http://schemas.microsoft.com/office/drawing/2014/main" id="{9CE1954E-4CDF-4186-94EF-4E197250F329}"/>
            </a:ext>
          </a:extLst>
        </xdr:cNvPr>
        <xdr:cNvPicPr>
          <a:picLocks noChangeAspect="1"/>
        </xdr:cNvPicPr>
      </xdr:nvPicPr>
      <xdr:blipFill rotWithShape="1">
        <a:blip xmlns:r="http://schemas.openxmlformats.org/officeDocument/2006/relationships" r:embed="rId1"/>
        <a:srcRect l="15857" t="26144" r="18685" b="22345"/>
        <a:stretch/>
      </xdr:blipFill>
      <xdr:spPr>
        <a:xfrm>
          <a:off x="44450" y="101600"/>
          <a:ext cx="1133486" cy="4370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8" Type="http://schemas.openxmlformats.org/officeDocument/2006/relationships/drawing" Target="../drawings/drawing9.xml"/><Relationship Id="rId3" Type="http://schemas.openxmlformats.org/officeDocument/2006/relationships/hyperlink" Target="https://articulo.mercadolibre.com.ar/MLA-726753286-sillon-ejecutivo-gerencial-bajo-silla-pc-envios-disenos--_JM?searchVariation=36486402153&amp;quantity=1&amp;variation=36486402153" TargetMode="External"/><Relationship Id="rId7" Type="http://schemas.openxmlformats.org/officeDocument/2006/relationships/hyperlink" Target="https://articulo.mercadolibre.com.ar/MLA-780722070-switch-cisco-sg110-16-16-port-gigabit-rack-sg100-16-mexx-2-_JM?quantity=1" TargetMode="External"/><Relationship Id="rId2" Type="http://schemas.openxmlformats.org/officeDocument/2006/relationships/hyperlink" Target="https://articulo.mercadolibre.com.ar/MLA-748568029-puesto-de-trabajo-platinum-escritorio-rinconero-mesa-pc-_JM?quantity=1&amp;variation=27557480479" TargetMode="External"/><Relationship Id="rId1" Type="http://schemas.openxmlformats.org/officeDocument/2006/relationships/hyperlink" Target="https://articulo.mercadolibre.com.ar/MLA-799521033-isla-de-trabajo-operativa-de-cuatro-puestos-linea-allegro-_JM?quantity=1&amp;variation=40277740333" TargetMode="External"/><Relationship Id="rId6" Type="http://schemas.openxmlformats.org/officeDocument/2006/relationships/hyperlink" Target="https://articulo.mercadolibre.com.ar/MLA-620180612-impresora-brother-dcp-1617nw-multi-wifi-toner-de-regalo-_JM?searchVariation=37261660059&amp;quantity=1&amp;variation=37261660059" TargetMode="External"/><Relationship Id="rId5" Type="http://schemas.openxmlformats.org/officeDocument/2006/relationships/hyperlink" Target="https://articulo.mercadolibre.com.ar/MLA-742321093-notebook-lenovo-thinkpad-t480-i7-ssd-m2-512gb-8gb-win10pro-_JM?quantity=1" TargetMode="External"/><Relationship Id="rId4" Type="http://schemas.openxmlformats.org/officeDocument/2006/relationships/hyperlink" Target="https://articulo.mercadolibre.com.ar/MLA-728633010-computadora-gamer-intel-i7-7700-monitor-19-gamer-gtx-1050-2g-_JM?quantity=1"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G24"/>
  <sheetViews>
    <sheetView showGridLines="0" tabSelected="1" workbookViewId="0">
      <pane ySplit="6" topLeftCell="A7" activePane="bottomLeft" state="frozen"/>
      <selection pane="bottomLeft"/>
    </sheetView>
  </sheetViews>
  <sheetFormatPr defaultColWidth="14.453125" defaultRowHeight="15.75" customHeight="1"/>
  <cols>
    <col min="1" max="1" width="9.7265625" customWidth="1"/>
    <col min="2" max="2" width="16.81640625" customWidth="1"/>
    <col min="3" max="3" width="16.54296875" customWidth="1"/>
  </cols>
  <sheetData>
    <row r="1" spans="2:7" ht="15.75" customHeight="1">
      <c r="B1" s="158" t="s">
        <v>0</v>
      </c>
      <c r="C1" s="158"/>
      <c r="D1" s="158"/>
      <c r="E1" s="158"/>
      <c r="F1" s="158"/>
      <c r="G1" s="1"/>
    </row>
    <row r="2" spans="2:7" ht="13">
      <c r="B2" s="156" t="s">
        <v>147</v>
      </c>
      <c r="C2" s="157"/>
      <c r="D2" s="157"/>
      <c r="E2" s="157"/>
    </row>
    <row r="3" spans="2:7" ht="15.75" customHeight="1">
      <c r="B3" s="156" t="s">
        <v>144</v>
      </c>
      <c r="C3" s="157"/>
      <c r="D3" s="157"/>
      <c r="E3" s="157"/>
    </row>
    <row r="4" spans="2:7" ht="15.75" customHeight="1">
      <c r="B4" s="156" t="s">
        <v>145</v>
      </c>
      <c r="C4" s="157"/>
      <c r="D4" s="157"/>
      <c r="E4" s="157"/>
    </row>
    <row r="5" spans="2:7" ht="15.75" customHeight="1">
      <c r="B5" s="156" t="s">
        <v>146</v>
      </c>
      <c r="C5" s="157"/>
      <c r="D5" s="157"/>
      <c r="E5" s="157"/>
    </row>
    <row r="6" spans="2:7" s="63" customFormat="1" ht="15.75" customHeight="1"/>
    <row r="9" spans="2:7" ht="15.75" customHeight="1">
      <c r="B9" s="159" t="s">
        <v>2</v>
      </c>
      <c r="C9" s="160"/>
    </row>
    <row r="10" spans="2:7" ht="14">
      <c r="B10" s="154" t="s">
        <v>3</v>
      </c>
      <c r="C10" s="155"/>
    </row>
    <row r="11" spans="2:7" ht="14">
      <c r="B11" s="154" t="s">
        <v>4</v>
      </c>
      <c r="C11" s="155"/>
    </row>
    <row r="12" spans="2:7" ht="14">
      <c r="B12" s="133" t="s">
        <v>5</v>
      </c>
      <c r="C12" s="134"/>
    </row>
    <row r="13" spans="2:7" ht="14">
      <c r="B13" s="133" t="s">
        <v>6</v>
      </c>
      <c r="C13" s="134"/>
    </row>
    <row r="14" spans="2:7" ht="14">
      <c r="B14" s="133" t="s">
        <v>7</v>
      </c>
      <c r="C14" s="134"/>
    </row>
    <row r="15" spans="2:7" ht="14">
      <c r="B15" s="133" t="s">
        <v>8</v>
      </c>
      <c r="C15" s="134"/>
    </row>
    <row r="16" spans="2:7" ht="14">
      <c r="B16" s="133" t="s">
        <v>9</v>
      </c>
      <c r="C16" s="134"/>
    </row>
    <row r="17" spans="2:3" s="137" customFormat="1" ht="14">
      <c r="B17" s="133" t="s">
        <v>10</v>
      </c>
      <c r="C17" s="134"/>
    </row>
    <row r="18" spans="2:3" ht="14">
      <c r="B18" s="133" t="s">
        <v>87</v>
      </c>
      <c r="C18" s="134"/>
    </row>
    <row r="19" spans="2:3" ht="14">
      <c r="B19" s="133" t="s">
        <v>11</v>
      </c>
      <c r="C19" s="134"/>
    </row>
    <row r="20" spans="2:3" ht="14">
      <c r="B20" s="133" t="s">
        <v>13</v>
      </c>
      <c r="C20" s="134"/>
    </row>
    <row r="21" spans="2:3" ht="14">
      <c r="B21" s="133" t="s">
        <v>14</v>
      </c>
      <c r="C21" s="134"/>
    </row>
    <row r="22" spans="2:3" ht="14">
      <c r="B22" s="133" t="s">
        <v>15</v>
      </c>
      <c r="C22" s="134"/>
    </row>
    <row r="23" spans="2:3" ht="14">
      <c r="B23" s="133" t="s">
        <v>16</v>
      </c>
      <c r="C23" s="134"/>
    </row>
    <row r="24" spans="2:3" ht="14">
      <c r="B24" s="133" t="s">
        <v>17</v>
      </c>
      <c r="C24" s="134"/>
    </row>
  </sheetData>
  <mergeCells count="8">
    <mergeCell ref="B2:E2"/>
    <mergeCell ref="B1:F1"/>
    <mergeCell ref="B10:C10"/>
    <mergeCell ref="B9:C9"/>
    <mergeCell ref="B3:E3"/>
    <mergeCell ref="B4:E4"/>
    <mergeCell ref="B5:E5"/>
    <mergeCell ref="B11:C11"/>
  </mergeCells>
  <hyperlinks>
    <hyperlink ref="B10" location="Hipotesis!A1" display="Hipótesis" xr:uid="{00000000-0004-0000-0000-000000000000}"/>
    <hyperlink ref="B11" location="Proyección de Ingresos!A1" display="Proyeccion de Ingresos" xr:uid="{00000000-0004-0000-0000-000001000000}"/>
    <hyperlink ref="B12" location="Modelo de ingresos!A1" display="Modelo de ingresos" xr:uid="{00000000-0004-0000-0000-000002000000}"/>
    <hyperlink ref="B13" location="Modelo de egresos!A1" display="Modelo de egresos" xr:uid="{00000000-0004-0000-0000-000003000000}"/>
    <hyperlink ref="B14" location="Costos fijos!A1" display="Costos fijos" xr:uid="{00000000-0004-0000-0000-000004000000}"/>
    <hyperlink ref="B15" location="Costos variables!A1" display="Costos variables" xr:uid="{00000000-0004-0000-0000-000005000000}"/>
    <hyperlink ref="B16" location="Costos RRHH!A1" display="Costos RRHH" xr:uid="{00000000-0004-0000-0000-000006000000}"/>
    <hyperlink ref="B18" location="Modelo de inversion!A1" display="Modelo de inversion" xr:uid="{00000000-0004-0000-0000-000007000000}"/>
    <hyperlink ref="B19" location="Presupuesto financiero!A1" display="Presupuesto financiero" xr:uid="{00000000-0004-0000-0000-000008000000}"/>
    <hyperlink ref="B20" location="Matriz de riesgo!A1" display="Matriz de riesgo" xr:uid="{00000000-0004-0000-0000-000009000000}"/>
    <hyperlink ref="B21" location="Escenario 2!A1" display="Escenario 1" xr:uid="{00000000-0004-0000-0000-00000A000000}"/>
    <hyperlink ref="B22" location="Escenario 1!A1" display="Escenario 2" xr:uid="{00000000-0004-0000-0000-00000B000000}"/>
    <hyperlink ref="B23" location="Escenario 3!A1" display="Escenario 3" xr:uid="{00000000-0004-0000-0000-00000C000000}"/>
    <hyperlink ref="B24" location="Plan cont. Esc. 3!A1" display="Plan de contingencia Escenario 3" xr:uid="{00000000-0004-0000-0000-00000D000000}"/>
    <hyperlink ref="B11:C11" location="'Proyección de Ingresos'!A1" display="Proyeccion de Ingresos" xr:uid="{ECA15546-B930-4708-90B0-FFA3F5E79D86}"/>
    <hyperlink ref="B12:C12" location="'Modelo de ingresos'!A1" display="Modelo de ingresos" xr:uid="{A79E971A-7A28-401A-85C9-C5C8DF5E0749}"/>
    <hyperlink ref="B13:C13" location="'Modelo de egresos'!A1" display="Modelo de egresos" xr:uid="{55D75925-DD69-4D92-80A0-126BA67F70C0}"/>
    <hyperlink ref="B14:C14" location="'Costos fijos'!A1" display="Costos fijos" xr:uid="{FA1FE602-95C2-4695-B9F8-BAB101F6B026}"/>
    <hyperlink ref="B15:C15" location="'Costos variables'!A1" display="Costos variables" xr:uid="{6A300F1A-10E8-4711-AB42-377C83487C47}"/>
    <hyperlink ref="B16:C16" location="'Costos RRHH'!A1" display="Costos RRHH" xr:uid="{CDE7AF87-BE62-42F6-A777-776643267AF4}"/>
    <hyperlink ref="B18:C18" location="Amortización!A1" display="Amortización" xr:uid="{6C2CD9A2-3D2C-4EE2-BF2E-888B4D2C758E}"/>
    <hyperlink ref="B19:C19" location="'Presupuesto financiero'!A1" display="Presupuesto financiero" xr:uid="{D8AF5BF4-49D2-4488-B976-51B3FCCD77CE}"/>
    <hyperlink ref="B20:C20" location="'Matriz de riesgo'!A1" display="Matriz de riesgo" xr:uid="{E6419E40-F2E5-4F86-9462-63D8AE0936F6}"/>
    <hyperlink ref="B21:C21" location="'Escenario 1'!A1" display="Escenario 1" xr:uid="{BA1CBACF-33E3-44B2-B77C-924C94A7628A}"/>
    <hyperlink ref="B22:C22" location="'Escenario 2'!A1" display="Escenario 2" xr:uid="{0ECD7A7C-84C9-401E-8625-637E6FA7A195}"/>
    <hyperlink ref="B23:C23" location="'Escenario 3'!A1" display="Escenario 3" xr:uid="{0E062AB8-519E-48E6-9977-2526E0B2BD0F}"/>
    <hyperlink ref="B24:C24" location="'Plan cont. Esc. 3'!A1" display="Plan de contingencia Escenario 3" xr:uid="{16F2044D-D186-4F48-A837-A06DDDA85640}"/>
    <hyperlink ref="B10:C10" location="Hipótesis!A1" display="Hipótesis" xr:uid="{3411A7F0-0200-4A4D-9400-F63ABCBDDAC2}"/>
    <hyperlink ref="B17" location="Modelo de inversion!A1" display="Modelo de inversion" xr:uid="{57F9C5F6-0A45-473A-A60C-8BC935D2DC03}"/>
    <hyperlink ref="B17:C17" location="'Modelo de inversion'!A1" display="Modelo de inversion" xr:uid="{02FEE421-B849-4210-959D-CB525A33F5E4}"/>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4355A-C9D5-4502-A6A4-EE341D405839}">
  <dimension ref="A1:R48"/>
  <sheetViews>
    <sheetView workbookViewId="0">
      <pane ySplit="6" topLeftCell="A25" activePane="bottomLeft" state="frozen"/>
      <selection pane="bottomLeft" activeCell="A7" sqref="A7"/>
    </sheetView>
  </sheetViews>
  <sheetFormatPr defaultRowHeight="12.5"/>
  <cols>
    <col min="6" max="6" width="22.36328125" customWidth="1"/>
    <col min="8" max="8" width="15.08984375" bestFit="1" customWidth="1"/>
    <col min="13" max="13" width="14.54296875" bestFit="1" customWidth="1"/>
    <col min="14" max="14" width="13.54296875" bestFit="1" customWidth="1"/>
  </cols>
  <sheetData>
    <row r="1" spans="1:12" s="64" customFormat="1" ht="14">
      <c r="D1" s="170" t="s">
        <v>0</v>
      </c>
      <c r="E1" s="170"/>
      <c r="F1" s="170"/>
      <c r="G1" s="170"/>
      <c r="H1" s="67"/>
    </row>
    <row r="2" spans="1:12" s="64" customFormat="1" ht="14.5">
      <c r="A2" s="68"/>
      <c r="D2" s="171" t="s">
        <v>147</v>
      </c>
      <c r="E2" s="172"/>
      <c r="F2" s="172"/>
      <c r="G2" s="172"/>
    </row>
    <row r="3" spans="1:12" s="64" customFormat="1" ht="13">
      <c r="A3" s="66"/>
      <c r="D3" s="171" t="s">
        <v>144</v>
      </c>
      <c r="E3" s="172"/>
      <c r="F3" s="172"/>
      <c r="G3" s="172"/>
    </row>
    <row r="4" spans="1:12" s="64" customFormat="1" ht="13">
      <c r="A4" s="69"/>
      <c r="D4" s="171" t="s">
        <v>145</v>
      </c>
      <c r="E4" s="172"/>
      <c r="F4" s="172"/>
      <c r="G4" s="172"/>
    </row>
    <row r="5" spans="1:12" s="64" customFormat="1" ht="13">
      <c r="A5" s="66" t="s">
        <v>1</v>
      </c>
      <c r="D5" s="171" t="s">
        <v>146</v>
      </c>
      <c r="E5" s="172"/>
      <c r="F5" s="172"/>
      <c r="G5" s="172"/>
    </row>
    <row r="6" spans="1:12" s="65" customFormat="1" ht="13.5" customHeight="1" thickBot="1">
      <c r="A6" s="70" t="s">
        <v>3</v>
      </c>
    </row>
    <row r="8" spans="1:12" ht="13" thickBot="1"/>
    <row r="9" spans="1:12" ht="12.5" customHeight="1">
      <c r="D9" s="161" t="s">
        <v>169</v>
      </c>
      <c r="E9" s="162"/>
      <c r="F9" s="162"/>
      <c r="G9" s="162"/>
      <c r="H9" s="162"/>
      <c r="I9" s="162"/>
      <c r="J9" s="162"/>
      <c r="K9" s="162"/>
      <c r="L9" s="163"/>
    </row>
    <row r="10" spans="1:12">
      <c r="D10" s="164"/>
      <c r="E10" s="165"/>
      <c r="F10" s="165"/>
      <c r="G10" s="165"/>
      <c r="H10" s="165"/>
      <c r="I10" s="165"/>
      <c r="J10" s="165"/>
      <c r="K10" s="165"/>
      <c r="L10" s="166"/>
    </row>
    <row r="11" spans="1:12" ht="12.5" customHeight="1">
      <c r="D11" s="265" t="s">
        <v>209</v>
      </c>
      <c r="E11" s="266"/>
      <c r="F11" s="266"/>
      <c r="G11" s="266"/>
      <c r="H11" s="266"/>
      <c r="I11" s="266"/>
      <c r="J11" s="266"/>
      <c r="K11" s="266"/>
      <c r="L11" s="267"/>
    </row>
    <row r="12" spans="1:12">
      <c r="D12" s="265"/>
      <c r="E12" s="266"/>
      <c r="F12" s="266"/>
      <c r="G12" s="266"/>
      <c r="H12" s="266"/>
      <c r="I12" s="266"/>
      <c r="J12" s="266"/>
      <c r="K12" s="266"/>
      <c r="L12" s="267"/>
    </row>
    <row r="13" spans="1:12">
      <c r="D13" s="265"/>
      <c r="E13" s="266"/>
      <c r="F13" s="266"/>
      <c r="G13" s="266"/>
      <c r="H13" s="266"/>
      <c r="I13" s="266"/>
      <c r="J13" s="266"/>
      <c r="K13" s="266"/>
      <c r="L13" s="267"/>
    </row>
    <row r="14" spans="1:12">
      <c r="D14" s="265"/>
      <c r="E14" s="266"/>
      <c r="F14" s="266"/>
      <c r="G14" s="266"/>
      <c r="H14" s="266"/>
      <c r="I14" s="266"/>
      <c r="J14" s="266"/>
      <c r="K14" s="266"/>
      <c r="L14" s="267"/>
    </row>
    <row r="15" spans="1:12">
      <c r="D15" s="265"/>
      <c r="E15" s="266"/>
      <c r="F15" s="266"/>
      <c r="G15" s="266"/>
      <c r="H15" s="266"/>
      <c r="I15" s="266"/>
      <c r="J15" s="266"/>
      <c r="K15" s="266"/>
      <c r="L15" s="267"/>
    </row>
    <row r="16" spans="1:12">
      <c r="D16" s="265"/>
      <c r="E16" s="266"/>
      <c r="F16" s="266"/>
      <c r="G16" s="266"/>
      <c r="H16" s="266"/>
      <c r="I16" s="266"/>
      <c r="J16" s="266"/>
      <c r="K16" s="266"/>
      <c r="L16" s="267"/>
    </row>
    <row r="17" spans="4:12">
      <c r="D17" s="265"/>
      <c r="E17" s="266"/>
      <c r="F17" s="266"/>
      <c r="G17" s="266"/>
      <c r="H17" s="266"/>
      <c r="I17" s="266"/>
      <c r="J17" s="266"/>
      <c r="K17" s="266"/>
      <c r="L17" s="267"/>
    </row>
    <row r="18" spans="4:12" ht="12.5" customHeight="1">
      <c r="D18" s="164" t="s">
        <v>170</v>
      </c>
      <c r="E18" s="165"/>
      <c r="F18" s="165"/>
      <c r="G18" s="165"/>
      <c r="H18" s="165"/>
      <c r="I18" s="165"/>
      <c r="J18" s="165"/>
      <c r="K18" s="165"/>
      <c r="L18" s="166"/>
    </row>
    <row r="19" spans="4:12">
      <c r="D19" s="164"/>
      <c r="E19" s="165"/>
      <c r="F19" s="165"/>
      <c r="G19" s="165"/>
      <c r="H19" s="165"/>
      <c r="I19" s="165"/>
      <c r="J19" s="165"/>
      <c r="K19" s="165"/>
      <c r="L19" s="166"/>
    </row>
    <row r="20" spans="4:12">
      <c r="D20" s="265" t="s">
        <v>202</v>
      </c>
      <c r="E20" s="266"/>
      <c r="F20" s="266"/>
      <c r="G20" s="266"/>
      <c r="H20" s="266"/>
      <c r="I20" s="266"/>
      <c r="J20" s="266"/>
      <c r="K20" s="266"/>
      <c r="L20" s="267"/>
    </row>
    <row r="21" spans="4:12">
      <c r="D21" s="265"/>
      <c r="E21" s="266"/>
      <c r="F21" s="266"/>
      <c r="G21" s="266"/>
      <c r="H21" s="266"/>
      <c r="I21" s="266"/>
      <c r="J21" s="266"/>
      <c r="K21" s="266"/>
      <c r="L21" s="267"/>
    </row>
    <row r="22" spans="4:12">
      <c r="D22" s="265"/>
      <c r="E22" s="266"/>
      <c r="F22" s="266"/>
      <c r="G22" s="266"/>
      <c r="H22" s="266"/>
      <c r="I22" s="266"/>
      <c r="J22" s="266"/>
      <c r="K22" s="266"/>
      <c r="L22" s="267"/>
    </row>
    <row r="23" spans="4:12">
      <c r="D23" s="265"/>
      <c r="E23" s="266"/>
      <c r="F23" s="266"/>
      <c r="G23" s="266"/>
      <c r="H23" s="266"/>
      <c r="I23" s="266"/>
      <c r="J23" s="266"/>
      <c r="K23" s="266"/>
      <c r="L23" s="267"/>
    </row>
    <row r="24" spans="4:12">
      <c r="D24" s="265"/>
      <c r="E24" s="266"/>
      <c r="F24" s="266"/>
      <c r="G24" s="266"/>
      <c r="H24" s="266"/>
      <c r="I24" s="266"/>
      <c r="J24" s="266"/>
      <c r="K24" s="266"/>
      <c r="L24" s="267"/>
    </row>
    <row r="25" spans="4:12">
      <c r="D25" s="265"/>
      <c r="E25" s="266"/>
      <c r="F25" s="266"/>
      <c r="G25" s="266"/>
      <c r="H25" s="266"/>
      <c r="I25" s="266"/>
      <c r="J25" s="266"/>
      <c r="K25" s="266"/>
      <c r="L25" s="267"/>
    </row>
    <row r="26" spans="4:12" ht="13" thickBot="1">
      <c r="D26" s="265"/>
      <c r="E26" s="266"/>
      <c r="F26" s="266"/>
      <c r="G26" s="266"/>
      <c r="H26" s="266"/>
      <c r="I26" s="266"/>
      <c r="J26" s="266"/>
      <c r="K26" s="266"/>
      <c r="L26" s="267"/>
    </row>
    <row r="27" spans="4:12" ht="12.5" customHeight="1">
      <c r="D27" s="161" t="s">
        <v>171</v>
      </c>
      <c r="E27" s="162"/>
      <c r="F27" s="162"/>
      <c r="G27" s="162"/>
      <c r="H27" s="162"/>
      <c r="I27" s="162"/>
      <c r="J27" s="162"/>
      <c r="K27" s="162"/>
      <c r="L27" s="163"/>
    </row>
    <row r="28" spans="4:12" ht="13" thickBot="1">
      <c r="D28" s="167"/>
      <c r="E28" s="168"/>
      <c r="F28" s="168"/>
      <c r="G28" s="168"/>
      <c r="H28" s="168"/>
      <c r="I28" s="168"/>
      <c r="J28" s="168"/>
      <c r="K28" s="168"/>
      <c r="L28" s="169"/>
    </row>
    <row r="29" spans="4:12" ht="13">
      <c r="D29" s="173"/>
      <c r="E29" s="174"/>
      <c r="F29" s="174"/>
      <c r="G29" s="127" t="s">
        <v>156</v>
      </c>
      <c r="H29" s="192" t="s">
        <v>172</v>
      </c>
      <c r="I29" s="192"/>
      <c r="J29" s="192"/>
      <c r="K29" s="192"/>
      <c r="L29" s="193"/>
    </row>
    <row r="30" spans="4:12" ht="13">
      <c r="D30" s="175" t="s">
        <v>173</v>
      </c>
      <c r="E30" s="176"/>
      <c r="F30" s="176"/>
      <c r="G30" s="123">
        <v>1</v>
      </c>
      <c r="H30" s="188">
        <v>390050160</v>
      </c>
      <c r="I30" s="188"/>
      <c r="J30" s="188"/>
      <c r="K30" s="188"/>
      <c r="L30" s="189"/>
    </row>
    <row r="31" spans="4:12" ht="13.5" thickBot="1">
      <c r="D31" s="177" t="s">
        <v>174</v>
      </c>
      <c r="E31" s="178"/>
      <c r="F31" s="178"/>
      <c r="G31" s="125">
        <v>0.21</v>
      </c>
      <c r="H31" s="194">
        <f>H30*G31</f>
        <v>81910533.599999994</v>
      </c>
      <c r="I31" s="194"/>
      <c r="J31" s="194"/>
      <c r="K31" s="194"/>
      <c r="L31" s="195"/>
    </row>
    <row r="32" spans="4:12" ht="12.5" customHeight="1">
      <c r="D32" s="179" t="s">
        <v>174</v>
      </c>
      <c r="E32" s="180"/>
      <c r="F32" s="180"/>
      <c r="G32" s="180"/>
      <c r="H32" s="180"/>
      <c r="I32" s="180"/>
      <c r="J32" s="180"/>
      <c r="K32" s="180"/>
      <c r="L32" s="181"/>
    </row>
    <row r="33" spans="4:18" ht="13" thickBot="1">
      <c r="D33" s="182"/>
      <c r="E33" s="183"/>
      <c r="F33" s="183"/>
      <c r="G33" s="183"/>
      <c r="H33" s="183"/>
      <c r="I33" s="183"/>
      <c r="J33" s="183"/>
      <c r="K33" s="183"/>
      <c r="L33" s="184"/>
    </row>
    <row r="34" spans="4:18" ht="13">
      <c r="D34" s="185" t="s">
        <v>175</v>
      </c>
      <c r="E34" s="174"/>
      <c r="F34" s="126">
        <v>0.54</v>
      </c>
      <c r="G34" s="186">
        <f>'Modelo de ingresos'!G10</f>
        <v>44231500</v>
      </c>
      <c r="H34" s="186"/>
      <c r="I34" s="186"/>
      <c r="J34" s="186"/>
      <c r="K34" s="186"/>
      <c r="L34" s="187"/>
      <c r="M34" s="268"/>
      <c r="N34" s="268"/>
    </row>
    <row r="35" spans="4:18" ht="13">
      <c r="D35" s="175" t="s">
        <v>176</v>
      </c>
      <c r="E35" s="176"/>
      <c r="F35" s="123">
        <v>0.85</v>
      </c>
      <c r="G35" s="188">
        <f>'Modelo de ingresos'!H10</f>
        <v>69624200</v>
      </c>
      <c r="H35" s="188"/>
      <c r="I35" s="188"/>
      <c r="J35" s="188"/>
      <c r="K35" s="188"/>
      <c r="L35" s="189"/>
      <c r="M35" s="268"/>
      <c r="N35" s="268"/>
      <c r="O35" s="137"/>
      <c r="P35" s="137"/>
      <c r="Q35" s="137"/>
      <c r="R35" s="137"/>
    </row>
    <row r="36" spans="4:18" ht="13.5" thickBot="1">
      <c r="D36" s="177" t="s">
        <v>177</v>
      </c>
      <c r="E36" s="178"/>
      <c r="F36" s="124">
        <v>1</v>
      </c>
      <c r="G36" s="190">
        <f>H31</f>
        <v>81910533.599999994</v>
      </c>
      <c r="H36" s="190"/>
      <c r="I36" s="190"/>
      <c r="J36" s="190"/>
      <c r="K36" s="190"/>
      <c r="L36" s="191"/>
      <c r="M36" s="137"/>
      <c r="N36" s="269"/>
    </row>
    <row r="37" spans="4:18" ht="12.5" customHeight="1">
      <c r="D37" s="179" t="s">
        <v>178</v>
      </c>
      <c r="E37" s="180"/>
      <c r="F37" s="180"/>
      <c r="G37" s="180"/>
      <c r="H37" s="180"/>
      <c r="I37" s="180"/>
      <c r="J37" s="180"/>
      <c r="K37" s="180"/>
      <c r="L37" s="181"/>
    </row>
    <row r="38" spans="4:18" ht="13" thickBot="1">
      <c r="D38" s="199"/>
      <c r="E38" s="200"/>
      <c r="F38" s="200"/>
      <c r="G38" s="200"/>
      <c r="H38" s="200"/>
      <c r="I38" s="200"/>
      <c r="J38" s="200"/>
      <c r="K38" s="200"/>
      <c r="L38" s="201"/>
    </row>
    <row r="39" spans="4:18" ht="13">
      <c r="D39" s="197" t="s">
        <v>160</v>
      </c>
      <c r="E39" s="198"/>
      <c r="F39" s="198"/>
      <c r="G39" s="206" t="s">
        <v>43</v>
      </c>
      <c r="H39" s="206"/>
      <c r="I39" s="206"/>
      <c r="J39" s="206"/>
      <c r="K39" s="206"/>
      <c r="L39" s="207"/>
    </row>
    <row r="40" spans="4:18">
      <c r="D40" s="196" t="s">
        <v>166</v>
      </c>
      <c r="E40" s="176"/>
      <c r="F40" s="176"/>
      <c r="G40" s="188">
        <v>80</v>
      </c>
      <c r="H40" s="188"/>
      <c r="I40" s="188"/>
      <c r="J40" s="188"/>
      <c r="K40" s="188"/>
      <c r="L40" s="189"/>
    </row>
    <row r="41" spans="4:18">
      <c r="D41" s="196" t="s">
        <v>167</v>
      </c>
      <c r="E41" s="176"/>
      <c r="F41" s="176"/>
      <c r="G41" s="188">
        <v>125</v>
      </c>
      <c r="H41" s="188"/>
      <c r="I41" s="188"/>
      <c r="J41" s="188"/>
      <c r="K41" s="188"/>
      <c r="L41" s="189"/>
    </row>
    <row r="42" spans="4:18">
      <c r="D42" s="196" t="s">
        <v>168</v>
      </c>
      <c r="E42" s="176"/>
      <c r="F42" s="176"/>
      <c r="G42" s="188">
        <v>195</v>
      </c>
      <c r="H42" s="188"/>
      <c r="I42" s="188"/>
      <c r="J42" s="188"/>
      <c r="K42" s="188"/>
      <c r="L42" s="189"/>
    </row>
    <row r="43" spans="4:18">
      <c r="D43" s="196" t="s">
        <v>179</v>
      </c>
      <c r="E43" s="176"/>
      <c r="F43" s="176"/>
      <c r="G43" s="188">
        <v>300</v>
      </c>
      <c r="H43" s="188"/>
      <c r="I43" s="188"/>
      <c r="J43" s="188"/>
      <c r="K43" s="188"/>
      <c r="L43" s="189"/>
    </row>
    <row r="44" spans="4:18">
      <c r="D44" s="196" t="s">
        <v>181</v>
      </c>
      <c r="E44" s="176"/>
      <c r="F44" s="176"/>
      <c r="G44" s="188">
        <v>160</v>
      </c>
      <c r="H44" s="188"/>
      <c r="I44" s="188"/>
      <c r="J44" s="188"/>
      <c r="K44" s="188"/>
      <c r="L44" s="189"/>
    </row>
    <row r="45" spans="4:18">
      <c r="D45" s="196" t="s">
        <v>180</v>
      </c>
      <c r="E45" s="176"/>
      <c r="F45" s="176"/>
      <c r="G45" s="188">
        <v>160</v>
      </c>
      <c r="H45" s="188"/>
      <c r="I45" s="188"/>
      <c r="J45" s="188"/>
      <c r="K45" s="188"/>
      <c r="L45" s="189"/>
    </row>
    <row r="46" spans="4:18">
      <c r="D46" s="196" t="s">
        <v>182</v>
      </c>
      <c r="E46" s="176"/>
      <c r="F46" s="176"/>
      <c r="G46" s="188">
        <v>360</v>
      </c>
      <c r="H46" s="188"/>
      <c r="I46" s="188"/>
      <c r="J46" s="188"/>
      <c r="K46" s="188"/>
      <c r="L46" s="189"/>
    </row>
    <row r="47" spans="4:18">
      <c r="D47" s="196" t="s">
        <v>183</v>
      </c>
      <c r="E47" s="176"/>
      <c r="F47" s="176"/>
      <c r="G47" s="188">
        <v>80</v>
      </c>
      <c r="H47" s="188"/>
      <c r="I47" s="188"/>
      <c r="J47" s="188"/>
      <c r="K47" s="188"/>
      <c r="L47" s="189"/>
    </row>
    <row r="48" spans="4:18" ht="13" thickBot="1">
      <c r="D48" s="202" t="s">
        <v>184</v>
      </c>
      <c r="E48" s="203"/>
      <c r="F48" s="203"/>
      <c r="G48" s="204">
        <v>80</v>
      </c>
      <c r="H48" s="204"/>
      <c r="I48" s="204"/>
      <c r="J48" s="204"/>
      <c r="K48" s="204"/>
      <c r="L48" s="205"/>
    </row>
  </sheetData>
  <mergeCells count="44">
    <mergeCell ref="D48:F48"/>
    <mergeCell ref="G48:L48"/>
    <mergeCell ref="D46:F46"/>
    <mergeCell ref="G46:L46"/>
    <mergeCell ref="G39:L39"/>
    <mergeCell ref="G40:L40"/>
    <mergeCell ref="D39:F39"/>
    <mergeCell ref="D40:F40"/>
    <mergeCell ref="D37:L38"/>
    <mergeCell ref="D47:F47"/>
    <mergeCell ref="G47:L47"/>
    <mergeCell ref="D44:F44"/>
    <mergeCell ref="D45:F45"/>
    <mergeCell ref="G44:L44"/>
    <mergeCell ref="G45:L45"/>
    <mergeCell ref="D41:F41"/>
    <mergeCell ref="D42:F42"/>
    <mergeCell ref="D43:F43"/>
    <mergeCell ref="G41:L41"/>
    <mergeCell ref="G42:L42"/>
    <mergeCell ref="G43:L43"/>
    <mergeCell ref="D34:E34"/>
    <mergeCell ref="D35:E35"/>
    <mergeCell ref="D36:E36"/>
    <mergeCell ref="G34:L34"/>
    <mergeCell ref="G35:L35"/>
    <mergeCell ref="G36:L36"/>
    <mergeCell ref="D29:F29"/>
    <mergeCell ref="D30:F30"/>
    <mergeCell ref="D31:F31"/>
    <mergeCell ref="D32:L33"/>
    <mergeCell ref="H29:L29"/>
    <mergeCell ref="H30:L30"/>
    <mergeCell ref="H31:L31"/>
    <mergeCell ref="D11:L17"/>
    <mergeCell ref="D9:L10"/>
    <mergeCell ref="D20:L26"/>
    <mergeCell ref="D18:L19"/>
    <mergeCell ref="D27:L28"/>
    <mergeCell ref="D1:G1"/>
    <mergeCell ref="D2:G2"/>
    <mergeCell ref="D3:G3"/>
    <mergeCell ref="D4:G4"/>
    <mergeCell ref="D5:G5"/>
  </mergeCells>
  <hyperlinks>
    <hyperlink ref="A5" location="Indice!A1" display="Indice" xr:uid="{1AD2116E-EDCF-4216-BD2C-77A6B82228F7}"/>
  </hyperlink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26508-01C3-4346-9F32-63D30E0CE385}">
  <dimension ref="A1:AF96"/>
  <sheetViews>
    <sheetView workbookViewId="0">
      <pane ySplit="6" topLeftCell="A7" activePane="bottomLeft" state="frozen"/>
      <selection pane="bottomLeft"/>
    </sheetView>
  </sheetViews>
  <sheetFormatPr defaultRowHeight="12.5"/>
  <cols>
    <col min="2" max="2" width="40.1796875" bestFit="1" customWidth="1"/>
    <col min="3" max="3" width="6.08984375" bestFit="1" customWidth="1"/>
    <col min="4" max="4" width="13.453125" bestFit="1" customWidth="1"/>
    <col min="5" max="5" width="17.08984375" bestFit="1" customWidth="1"/>
    <col min="6" max="6" width="10.453125" bestFit="1" customWidth="1"/>
    <col min="7" max="7" width="17.08984375" bestFit="1" customWidth="1"/>
    <col min="8" max="8" width="10.453125" bestFit="1" customWidth="1"/>
    <col min="9" max="9" width="17.08984375" bestFit="1" customWidth="1"/>
    <col min="10" max="10" width="10.453125" bestFit="1" customWidth="1"/>
    <col min="11" max="11" width="17.08984375" bestFit="1" customWidth="1"/>
    <col min="12" max="12" width="10.453125" bestFit="1" customWidth="1"/>
    <col min="13" max="13" width="17.08984375" bestFit="1" customWidth="1"/>
    <col min="14" max="14" width="10.453125" bestFit="1" customWidth="1"/>
    <col min="15" max="15" width="17.08984375" bestFit="1" customWidth="1"/>
    <col min="16" max="16" width="10.453125" bestFit="1" customWidth="1"/>
    <col min="17" max="17" width="17.08984375" bestFit="1" customWidth="1"/>
    <col min="18" max="18" width="10.453125" bestFit="1" customWidth="1"/>
    <col min="19" max="19" width="17.08984375" bestFit="1" customWidth="1"/>
    <col min="20" max="20" width="10.453125" bestFit="1" customWidth="1"/>
    <col min="21" max="21" width="17.08984375" bestFit="1" customWidth="1"/>
    <col min="22" max="22" width="10.453125" bestFit="1" customWidth="1"/>
    <col min="23" max="23" width="17.08984375" bestFit="1" customWidth="1"/>
    <col min="24" max="24" width="10.453125" bestFit="1" customWidth="1"/>
    <col min="25" max="25" width="17.08984375" bestFit="1" customWidth="1"/>
    <col min="26" max="26" width="10.453125" bestFit="1" customWidth="1"/>
    <col min="27" max="27" width="17.08984375" bestFit="1" customWidth="1"/>
    <col min="28" max="28" width="10.453125" bestFit="1" customWidth="1"/>
    <col min="29" max="29" width="11.453125" bestFit="1" customWidth="1"/>
    <col min="30" max="30" width="13.7265625" bestFit="1" customWidth="1"/>
  </cols>
  <sheetData>
    <row r="1" spans="1:17" s="64" customFormat="1" ht="14">
      <c r="D1" s="170" t="s">
        <v>0</v>
      </c>
      <c r="E1" s="170"/>
      <c r="F1" s="170"/>
      <c r="G1" s="170"/>
      <c r="H1" s="67"/>
    </row>
    <row r="2" spans="1:17" s="64" customFormat="1" ht="14.5">
      <c r="A2" s="68"/>
      <c r="D2" s="171" t="s">
        <v>147</v>
      </c>
      <c r="E2" s="172"/>
      <c r="F2" s="172"/>
      <c r="G2" s="172"/>
    </row>
    <row r="3" spans="1:17" s="64" customFormat="1" ht="13">
      <c r="A3" s="66"/>
      <c r="D3" s="171" t="s">
        <v>144</v>
      </c>
      <c r="E3" s="172"/>
      <c r="F3" s="172"/>
      <c r="G3" s="172"/>
    </row>
    <row r="4" spans="1:17" s="64" customFormat="1" ht="13">
      <c r="A4" s="69"/>
      <c r="D4" s="171" t="s">
        <v>145</v>
      </c>
      <c r="E4" s="172"/>
      <c r="F4" s="172"/>
      <c r="G4" s="172"/>
    </row>
    <row r="5" spans="1:17" s="64" customFormat="1" ht="13">
      <c r="A5" s="66" t="s">
        <v>1</v>
      </c>
      <c r="D5" s="171" t="s">
        <v>146</v>
      </c>
      <c r="E5" s="172"/>
      <c r="F5" s="172"/>
      <c r="G5" s="172"/>
    </row>
    <row r="6" spans="1:17" s="65" customFormat="1" ht="13.5" customHeight="1" thickBot="1">
      <c r="A6" s="70" t="s">
        <v>12</v>
      </c>
    </row>
    <row r="7" spans="1:17" s="64" customFormat="1" ht="14.5">
      <c r="A7" s="68"/>
      <c r="D7" s="72"/>
      <c r="E7" s="73"/>
      <c r="F7" s="73"/>
      <c r="G7" s="73"/>
    </row>
    <row r="8" spans="1:17" s="64" customFormat="1" ht="13" thickBot="1">
      <c r="A8" s="66"/>
      <c r="D8" s="72"/>
      <c r="E8" s="73"/>
      <c r="F8" s="73"/>
      <c r="G8" s="73"/>
    </row>
    <row r="9" spans="1:17" s="62" customFormat="1" ht="13" customHeight="1" thickBot="1">
      <c r="B9" s="142" t="s">
        <v>158</v>
      </c>
      <c r="C9" s="150"/>
      <c r="E9" s="337" t="s">
        <v>159</v>
      </c>
      <c r="F9" s="338"/>
      <c r="G9" s="338"/>
      <c r="H9" s="338"/>
      <c r="I9" s="338"/>
      <c r="J9" s="338"/>
      <c r="K9" s="338"/>
      <c r="L9" s="338"/>
      <c r="M9" s="338"/>
      <c r="N9" s="339"/>
      <c r="P9" s="2"/>
      <c r="Q9" s="99"/>
    </row>
    <row r="10" spans="1:17" s="62" customFormat="1" ht="12.5" customHeight="1">
      <c r="B10" s="153" t="s">
        <v>189</v>
      </c>
      <c r="C10" s="151">
        <v>1</v>
      </c>
      <c r="E10" s="229" t="s">
        <v>186</v>
      </c>
      <c r="F10" s="230"/>
      <c r="G10" s="230"/>
      <c r="H10" s="230"/>
      <c r="I10" s="230"/>
      <c r="J10" s="230"/>
      <c r="K10" s="230"/>
      <c r="L10" s="230"/>
      <c r="M10" s="230"/>
      <c r="N10" s="231"/>
      <c r="P10" s="2"/>
    </row>
    <row r="11" spans="1:17" s="75" customFormat="1" ht="12.5" customHeight="1">
      <c r="B11" s="153" t="s">
        <v>190</v>
      </c>
      <c r="C11" s="151">
        <v>1</v>
      </c>
      <c r="E11" s="229"/>
      <c r="F11" s="230"/>
      <c r="G11" s="230"/>
      <c r="H11" s="230"/>
      <c r="I11" s="230"/>
      <c r="J11" s="230"/>
      <c r="K11" s="230"/>
      <c r="L11" s="230"/>
      <c r="M11" s="230"/>
      <c r="N11" s="231"/>
      <c r="P11" s="2"/>
    </row>
    <row r="12" spans="1:17" s="62" customFormat="1">
      <c r="B12" s="153" t="s">
        <v>192</v>
      </c>
      <c r="C12" s="151">
        <v>1</v>
      </c>
      <c r="E12" s="229"/>
      <c r="F12" s="230"/>
      <c r="G12" s="230"/>
      <c r="H12" s="230"/>
      <c r="I12" s="230"/>
      <c r="J12" s="230"/>
      <c r="K12" s="230"/>
      <c r="L12" s="230"/>
      <c r="M12" s="230"/>
      <c r="N12" s="231"/>
      <c r="P12" s="2"/>
    </row>
    <row r="13" spans="1:17" s="62" customFormat="1">
      <c r="B13" s="153" t="s">
        <v>191</v>
      </c>
      <c r="C13" s="151">
        <v>1</v>
      </c>
      <c r="E13" s="229"/>
      <c r="F13" s="230"/>
      <c r="G13" s="230"/>
      <c r="H13" s="230"/>
      <c r="I13" s="230"/>
      <c r="J13" s="230"/>
      <c r="K13" s="230"/>
      <c r="L13" s="230"/>
      <c r="M13" s="230"/>
      <c r="N13" s="231"/>
      <c r="P13" s="2"/>
    </row>
    <row r="14" spans="1:17" s="62" customFormat="1">
      <c r="B14" s="145" t="s">
        <v>63</v>
      </c>
      <c r="C14" s="151">
        <v>1</v>
      </c>
      <c r="E14" s="229"/>
      <c r="F14" s="230"/>
      <c r="G14" s="230"/>
      <c r="H14" s="230"/>
      <c r="I14" s="230"/>
      <c r="J14" s="230"/>
      <c r="K14" s="230"/>
      <c r="L14" s="230"/>
      <c r="M14" s="230"/>
      <c r="N14" s="231"/>
      <c r="P14" s="2"/>
    </row>
    <row r="15" spans="1:17" s="62" customFormat="1">
      <c r="B15" s="145" t="s">
        <v>185</v>
      </c>
      <c r="C15" s="151">
        <v>1</v>
      </c>
      <c r="E15" s="229"/>
      <c r="F15" s="230"/>
      <c r="G15" s="230"/>
      <c r="H15" s="230"/>
      <c r="I15" s="230"/>
      <c r="J15" s="230"/>
      <c r="K15" s="230"/>
      <c r="L15" s="230"/>
      <c r="M15" s="230"/>
      <c r="N15" s="231"/>
      <c r="P15" s="2"/>
    </row>
    <row r="16" spans="1:17" s="62" customFormat="1">
      <c r="B16" s="146" t="s">
        <v>18</v>
      </c>
      <c r="C16" s="151">
        <v>1</v>
      </c>
      <c r="E16" s="229"/>
      <c r="F16" s="230"/>
      <c r="G16" s="230"/>
      <c r="H16" s="230"/>
      <c r="I16" s="230"/>
      <c r="J16" s="230"/>
      <c r="K16" s="230"/>
      <c r="L16" s="230"/>
      <c r="M16" s="230"/>
      <c r="N16" s="231"/>
      <c r="P16" s="2"/>
    </row>
    <row r="17" spans="2:32" s="62" customFormat="1">
      <c r="B17" s="146" t="s">
        <v>193</v>
      </c>
      <c r="C17" s="151">
        <v>1</v>
      </c>
      <c r="E17" s="229"/>
      <c r="F17" s="230"/>
      <c r="G17" s="230"/>
      <c r="H17" s="230"/>
      <c r="I17" s="230"/>
      <c r="J17" s="230"/>
      <c r="K17" s="230"/>
      <c r="L17" s="230"/>
      <c r="M17" s="230"/>
      <c r="N17" s="231"/>
    </row>
    <row r="18" spans="2:32" s="62" customFormat="1" ht="13" thickBot="1">
      <c r="B18" s="146" t="s">
        <v>20</v>
      </c>
      <c r="C18" s="151">
        <v>6</v>
      </c>
      <c r="E18" s="232"/>
      <c r="F18" s="233"/>
      <c r="G18" s="233"/>
      <c r="H18" s="233"/>
      <c r="I18" s="233"/>
      <c r="J18" s="233"/>
      <c r="K18" s="233"/>
      <c r="L18" s="233"/>
      <c r="M18" s="233"/>
      <c r="N18" s="234"/>
    </row>
    <row r="19" spans="2:32" s="62" customFormat="1">
      <c r="B19" s="146" t="s">
        <v>21</v>
      </c>
      <c r="C19" s="151">
        <v>2</v>
      </c>
      <c r="E19" s="4"/>
      <c r="F19" s="4"/>
      <c r="G19" s="4"/>
      <c r="H19" s="4"/>
      <c r="I19" s="4"/>
      <c r="J19" s="4"/>
      <c r="K19" s="4"/>
      <c r="L19" s="4"/>
    </row>
    <row r="20" spans="2:32" s="62" customFormat="1">
      <c r="B20" s="146" t="s">
        <v>22</v>
      </c>
      <c r="C20" s="151">
        <v>4</v>
      </c>
      <c r="G20" s="4"/>
      <c r="H20" s="4"/>
      <c r="I20" s="4"/>
      <c r="J20" s="4"/>
      <c r="K20" s="4"/>
      <c r="L20" s="4"/>
    </row>
    <row r="21" spans="2:32" s="62" customFormat="1">
      <c r="B21" s="146" t="s">
        <v>23</v>
      </c>
      <c r="C21" s="151">
        <v>1</v>
      </c>
      <c r="G21" s="4"/>
      <c r="H21" s="4"/>
      <c r="I21" s="4"/>
      <c r="J21" s="4"/>
      <c r="K21" s="4"/>
      <c r="L21" s="4"/>
    </row>
    <row r="22" spans="2:32" s="62" customFormat="1" ht="13" thickBot="1">
      <c r="B22" s="147" t="s">
        <v>24</v>
      </c>
      <c r="C22" s="152">
        <v>1</v>
      </c>
      <c r="G22" s="4"/>
      <c r="H22" s="4"/>
      <c r="I22" s="4"/>
      <c r="J22" s="4"/>
      <c r="K22" s="4"/>
      <c r="L22" s="4"/>
    </row>
    <row r="23" spans="2:32" s="62" customFormat="1" ht="15.75" customHeight="1" thickBot="1"/>
    <row r="24" spans="2:32" s="62" customFormat="1" ht="13.5" thickBot="1">
      <c r="E24" s="222" t="s">
        <v>25</v>
      </c>
      <c r="F24" s="223"/>
      <c r="G24" s="223"/>
      <c r="H24" s="223"/>
      <c r="I24" s="223"/>
      <c r="J24" s="223"/>
      <c r="K24" s="223"/>
      <c r="L24" s="223"/>
      <c r="M24" s="223"/>
      <c r="N24" s="223"/>
      <c r="O24" s="223"/>
      <c r="P24" s="223"/>
      <c r="Q24" s="223"/>
      <c r="R24" s="223"/>
      <c r="S24" s="223"/>
      <c r="T24" s="223"/>
      <c r="U24" s="223"/>
      <c r="V24" s="223"/>
      <c r="W24" s="223"/>
      <c r="X24" s="223"/>
      <c r="Y24" s="223"/>
      <c r="Z24" s="223"/>
      <c r="AA24" s="223"/>
      <c r="AB24" s="224"/>
    </row>
    <row r="25" spans="2:32" s="62" customFormat="1" ht="13.5" thickBot="1">
      <c r="E25" s="225" t="s">
        <v>26</v>
      </c>
      <c r="F25" s="226"/>
      <c r="G25" s="225" t="s">
        <v>27</v>
      </c>
      <c r="H25" s="226"/>
      <c r="I25" s="227" t="s">
        <v>28</v>
      </c>
      <c r="J25" s="228"/>
      <c r="K25" s="225" t="s">
        <v>29</v>
      </c>
      <c r="L25" s="226"/>
      <c r="M25" s="227" t="s">
        <v>30</v>
      </c>
      <c r="N25" s="228"/>
      <c r="O25" s="225" t="s">
        <v>31</v>
      </c>
      <c r="P25" s="226"/>
      <c r="Q25" s="225" t="s">
        <v>32</v>
      </c>
      <c r="R25" s="226"/>
      <c r="S25" s="225" t="s">
        <v>33</v>
      </c>
      <c r="T25" s="226"/>
      <c r="U25" s="227" t="s">
        <v>34</v>
      </c>
      <c r="V25" s="228"/>
      <c r="W25" s="225" t="s">
        <v>35</v>
      </c>
      <c r="X25" s="226"/>
      <c r="Y25" s="225" t="s">
        <v>36</v>
      </c>
      <c r="Z25" s="226"/>
      <c r="AA25" s="225" t="s">
        <v>37</v>
      </c>
      <c r="AB25" s="226"/>
      <c r="AC25" s="23"/>
      <c r="AD25" s="23"/>
      <c r="AE25" s="23"/>
      <c r="AF25" s="23"/>
    </row>
    <row r="26" spans="2:32" s="62" customFormat="1" ht="13.5" thickBot="1">
      <c r="B26" s="288" t="s">
        <v>205</v>
      </c>
      <c r="C26" s="105" t="s">
        <v>161</v>
      </c>
      <c r="D26" s="106" t="s">
        <v>162</v>
      </c>
      <c r="E26" s="289" t="s">
        <v>203</v>
      </c>
      <c r="F26" s="106" t="s">
        <v>38</v>
      </c>
      <c r="G26" s="289" t="s">
        <v>203</v>
      </c>
      <c r="H26" s="106" t="s">
        <v>38</v>
      </c>
      <c r="I26" s="289" t="s">
        <v>203</v>
      </c>
      <c r="J26" s="106" t="s">
        <v>38</v>
      </c>
      <c r="K26" s="289" t="s">
        <v>203</v>
      </c>
      <c r="L26" s="106" t="s">
        <v>38</v>
      </c>
      <c r="M26" s="289" t="s">
        <v>203</v>
      </c>
      <c r="N26" s="106" t="s">
        <v>38</v>
      </c>
      <c r="O26" s="289" t="s">
        <v>203</v>
      </c>
      <c r="P26" s="106" t="s">
        <v>38</v>
      </c>
      <c r="Q26" s="289" t="s">
        <v>203</v>
      </c>
      <c r="R26" s="106" t="s">
        <v>38</v>
      </c>
      <c r="S26" s="289" t="s">
        <v>203</v>
      </c>
      <c r="T26" s="106" t="s">
        <v>38</v>
      </c>
      <c r="U26" s="289" t="s">
        <v>203</v>
      </c>
      <c r="V26" s="106" t="s">
        <v>38</v>
      </c>
      <c r="W26" s="289" t="s">
        <v>203</v>
      </c>
      <c r="X26" s="106" t="s">
        <v>38</v>
      </c>
      <c r="Y26" s="289" t="s">
        <v>203</v>
      </c>
      <c r="Z26" s="143" t="s">
        <v>38</v>
      </c>
      <c r="AA26" s="289" t="s">
        <v>203</v>
      </c>
      <c r="AB26" s="143" t="s">
        <v>38</v>
      </c>
      <c r="AC26" s="104" t="s">
        <v>163</v>
      </c>
      <c r="AD26" s="106" t="s">
        <v>164</v>
      </c>
      <c r="AE26" s="2"/>
      <c r="AF26" s="2"/>
    </row>
    <row r="27" spans="2:32" s="62" customFormat="1">
      <c r="B27" s="144" t="s">
        <v>166</v>
      </c>
      <c r="C27" s="131">
        <v>53</v>
      </c>
      <c r="D27" s="122">
        <v>80</v>
      </c>
      <c r="E27" s="103">
        <v>12500</v>
      </c>
      <c r="F27" s="92">
        <f t="shared" ref="F27:F37" si="0">$D27*E27</f>
        <v>1000000</v>
      </c>
      <c r="G27" s="103">
        <v>15800</v>
      </c>
      <c r="H27" s="92">
        <f t="shared" ref="H27:H37" si="1">$D27*G27</f>
        <v>1264000</v>
      </c>
      <c r="I27" s="103">
        <v>17600</v>
      </c>
      <c r="J27" s="92">
        <f t="shared" ref="J27:J37" si="2">$D27*I27</f>
        <v>1408000</v>
      </c>
      <c r="K27" s="103">
        <v>16500</v>
      </c>
      <c r="L27" s="92">
        <f t="shared" ref="L27:L37" si="3">$D27*K27</f>
        <v>1320000</v>
      </c>
      <c r="M27" s="103">
        <v>18500</v>
      </c>
      <c r="N27" s="92">
        <f t="shared" ref="N27:N37" si="4">$D27*M27</f>
        <v>1480000</v>
      </c>
      <c r="O27" s="103">
        <v>17600</v>
      </c>
      <c r="P27" s="92">
        <f t="shared" ref="P27:P37" si="5">$D27*O27</f>
        <v>1408000</v>
      </c>
      <c r="Q27" s="103">
        <v>17000</v>
      </c>
      <c r="R27" s="92">
        <f t="shared" ref="R27:R37" si="6">$D27*Q27</f>
        <v>1360000</v>
      </c>
      <c r="S27" s="103">
        <v>16500</v>
      </c>
      <c r="T27" s="92">
        <f t="shared" ref="T27:T37" si="7">$D27*S27</f>
        <v>1320000</v>
      </c>
      <c r="U27" s="103">
        <v>19500</v>
      </c>
      <c r="V27" s="92">
        <f t="shared" ref="V27:V37" si="8">$D27*U27</f>
        <v>1560000</v>
      </c>
      <c r="W27" s="103">
        <v>18650</v>
      </c>
      <c r="X27" s="92">
        <f t="shared" ref="X27:X37" si="9">$D27*W27</f>
        <v>1492000</v>
      </c>
      <c r="Y27" s="103">
        <v>19700</v>
      </c>
      <c r="Z27" s="92">
        <f t="shared" ref="Z27:Z37" si="10">$D27*Y27</f>
        <v>1576000</v>
      </c>
      <c r="AA27" s="103">
        <v>20900</v>
      </c>
      <c r="AB27" s="92">
        <f t="shared" ref="AB27:AB37" si="11">$D27*AA27</f>
        <v>1672000</v>
      </c>
      <c r="AC27" s="95">
        <f t="shared" ref="AC27:AC37" si="12">AB27+Z27+X27+V27+T27+R27+P27+N27+L27+J27+H27+F27</f>
        <v>16860000</v>
      </c>
      <c r="AD27" s="118">
        <f t="shared" ref="AD27:AD37" si="13">AA27+Y27+W27+U27+S27+Q27+O27+M27+K27+I27+E27+G27</f>
        <v>210750</v>
      </c>
      <c r="AE27" s="2"/>
      <c r="AF27" s="2"/>
    </row>
    <row r="28" spans="2:32" s="62" customFormat="1">
      <c r="B28" s="144" t="s">
        <v>167</v>
      </c>
      <c r="C28" s="131">
        <v>31</v>
      </c>
      <c r="D28" s="122">
        <v>125</v>
      </c>
      <c r="E28" s="100">
        <v>8700</v>
      </c>
      <c r="F28" s="92">
        <f t="shared" si="0"/>
        <v>1087500</v>
      </c>
      <c r="G28" s="100">
        <v>9100</v>
      </c>
      <c r="H28" s="92">
        <f t="shared" si="1"/>
        <v>1137500</v>
      </c>
      <c r="I28" s="100">
        <v>10600</v>
      </c>
      <c r="J28" s="92">
        <f t="shared" si="2"/>
        <v>1325000</v>
      </c>
      <c r="K28" s="100">
        <v>9500</v>
      </c>
      <c r="L28" s="92">
        <f t="shared" si="3"/>
        <v>1187500</v>
      </c>
      <c r="M28" s="100">
        <v>11300</v>
      </c>
      <c r="N28" s="92">
        <f t="shared" si="4"/>
        <v>1412500</v>
      </c>
      <c r="O28" s="100">
        <v>10900</v>
      </c>
      <c r="P28" s="92">
        <f t="shared" si="5"/>
        <v>1362500</v>
      </c>
      <c r="Q28" s="100">
        <v>11000</v>
      </c>
      <c r="R28" s="92">
        <f t="shared" si="6"/>
        <v>1375000</v>
      </c>
      <c r="S28" s="100">
        <v>11500</v>
      </c>
      <c r="T28" s="92">
        <f t="shared" si="7"/>
        <v>1437500</v>
      </c>
      <c r="U28" s="100">
        <v>12700</v>
      </c>
      <c r="V28" s="92">
        <f t="shared" si="8"/>
        <v>1587500</v>
      </c>
      <c r="W28" s="100">
        <v>12500</v>
      </c>
      <c r="X28" s="92">
        <f t="shared" si="9"/>
        <v>1562500</v>
      </c>
      <c r="Y28" s="100">
        <v>1300</v>
      </c>
      <c r="Z28" s="92">
        <f t="shared" si="10"/>
        <v>162500</v>
      </c>
      <c r="AA28" s="100">
        <v>13500</v>
      </c>
      <c r="AB28" s="92">
        <f t="shared" si="11"/>
        <v>1687500</v>
      </c>
      <c r="AC28" s="95">
        <f t="shared" si="12"/>
        <v>15325000</v>
      </c>
      <c r="AD28" s="118">
        <f t="shared" si="13"/>
        <v>122600</v>
      </c>
      <c r="AE28" s="2"/>
      <c r="AF28" s="2"/>
    </row>
    <row r="29" spans="2:32" s="62" customFormat="1" ht="13" thickBot="1">
      <c r="B29" s="144" t="s">
        <v>168</v>
      </c>
      <c r="C29" s="131">
        <v>12</v>
      </c>
      <c r="D29" s="122">
        <v>195</v>
      </c>
      <c r="E29" s="100">
        <v>900</v>
      </c>
      <c r="F29" s="92">
        <f t="shared" si="0"/>
        <v>175500</v>
      </c>
      <c r="G29" s="100">
        <v>1900</v>
      </c>
      <c r="H29" s="92">
        <f t="shared" si="1"/>
        <v>370500</v>
      </c>
      <c r="I29" s="100">
        <v>3300</v>
      </c>
      <c r="J29" s="92">
        <f t="shared" si="2"/>
        <v>643500</v>
      </c>
      <c r="K29" s="100">
        <v>3000</v>
      </c>
      <c r="L29" s="92">
        <f t="shared" si="3"/>
        <v>585000</v>
      </c>
      <c r="M29" s="100">
        <v>3800</v>
      </c>
      <c r="N29" s="92">
        <f t="shared" si="4"/>
        <v>741000</v>
      </c>
      <c r="O29" s="100">
        <v>3600</v>
      </c>
      <c r="P29" s="92">
        <f t="shared" si="5"/>
        <v>702000</v>
      </c>
      <c r="Q29" s="100">
        <v>3700</v>
      </c>
      <c r="R29" s="92">
        <f t="shared" si="6"/>
        <v>721500</v>
      </c>
      <c r="S29" s="100">
        <v>3900</v>
      </c>
      <c r="T29" s="92">
        <f t="shared" si="7"/>
        <v>760500</v>
      </c>
      <c r="U29" s="100">
        <v>6100</v>
      </c>
      <c r="V29" s="92">
        <f t="shared" si="8"/>
        <v>1189500</v>
      </c>
      <c r="W29" s="100">
        <v>5000</v>
      </c>
      <c r="X29" s="92">
        <f t="shared" si="9"/>
        <v>975000</v>
      </c>
      <c r="Y29" s="100">
        <v>6500</v>
      </c>
      <c r="Z29" s="92">
        <f t="shared" si="10"/>
        <v>1267500</v>
      </c>
      <c r="AA29" s="100">
        <v>7300</v>
      </c>
      <c r="AB29" s="92">
        <f t="shared" si="11"/>
        <v>1423500</v>
      </c>
      <c r="AC29" s="95">
        <f t="shared" si="12"/>
        <v>9555000</v>
      </c>
      <c r="AD29" s="118">
        <f t="shared" si="13"/>
        <v>49000</v>
      </c>
      <c r="AE29" s="2"/>
      <c r="AF29" s="2"/>
    </row>
    <row r="30" spans="2:32" s="137" customFormat="1" ht="13" thickBot="1">
      <c r="B30" s="299"/>
      <c r="C30" s="300"/>
      <c r="D30" s="300"/>
      <c r="E30" s="300"/>
      <c r="F30" s="300"/>
      <c r="G30" s="300"/>
      <c r="H30" s="300"/>
      <c r="I30" s="300"/>
      <c r="J30" s="300"/>
      <c r="K30" s="300"/>
      <c r="L30" s="300"/>
      <c r="M30" s="300"/>
      <c r="N30" s="300"/>
      <c r="O30" s="300"/>
      <c r="P30" s="300"/>
      <c r="Q30" s="300"/>
      <c r="R30" s="300"/>
      <c r="S30" s="300"/>
      <c r="T30" s="300"/>
      <c r="U30" s="300"/>
      <c r="V30" s="300"/>
      <c r="W30" s="300"/>
      <c r="X30" s="300"/>
      <c r="Y30" s="300"/>
      <c r="Z30" s="300"/>
      <c r="AA30" s="300"/>
      <c r="AB30" s="300"/>
      <c r="AC30" s="300"/>
      <c r="AD30" s="301"/>
      <c r="AE30" s="2"/>
      <c r="AF30" s="2"/>
    </row>
    <row r="31" spans="2:32" s="137" customFormat="1" ht="13.5" thickBot="1">
      <c r="B31" s="302" t="s">
        <v>50</v>
      </c>
      <c r="C31" s="332"/>
      <c r="D31" s="303"/>
      <c r="E31" s="296" t="s">
        <v>204</v>
      </c>
      <c r="F31" s="297" t="s">
        <v>38</v>
      </c>
      <c r="G31" s="297" t="s">
        <v>204</v>
      </c>
      <c r="H31" s="297" t="s">
        <v>38</v>
      </c>
      <c r="I31" s="297" t="s">
        <v>204</v>
      </c>
      <c r="J31" s="297" t="s">
        <v>38</v>
      </c>
      <c r="K31" s="297" t="s">
        <v>204</v>
      </c>
      <c r="L31" s="297" t="s">
        <v>38</v>
      </c>
      <c r="M31" s="297" t="s">
        <v>204</v>
      </c>
      <c r="N31" s="297" t="s">
        <v>38</v>
      </c>
      <c r="O31" s="297" t="s">
        <v>204</v>
      </c>
      <c r="P31" s="297" t="s">
        <v>38</v>
      </c>
      <c r="Q31" s="297" t="s">
        <v>204</v>
      </c>
      <c r="R31" s="297" t="s">
        <v>38</v>
      </c>
      <c r="S31" s="297" t="s">
        <v>204</v>
      </c>
      <c r="T31" s="297" t="s">
        <v>38</v>
      </c>
      <c r="U31" s="297" t="s">
        <v>204</v>
      </c>
      <c r="V31" s="297" t="s">
        <v>38</v>
      </c>
      <c r="W31" s="297" t="s">
        <v>204</v>
      </c>
      <c r="X31" s="297" t="s">
        <v>38</v>
      </c>
      <c r="Y31" s="297" t="s">
        <v>204</v>
      </c>
      <c r="Z31" s="297" t="s">
        <v>38</v>
      </c>
      <c r="AA31" s="297" t="s">
        <v>204</v>
      </c>
      <c r="AB31" s="298" t="s">
        <v>38</v>
      </c>
      <c r="AC31" s="333"/>
      <c r="AD31" s="334"/>
      <c r="AE31" s="2"/>
      <c r="AF31" s="2"/>
    </row>
    <row r="32" spans="2:32" s="62" customFormat="1">
      <c r="B32" s="144" t="s">
        <v>179</v>
      </c>
      <c r="C32" s="131">
        <v>1</v>
      </c>
      <c r="D32" s="122">
        <v>300</v>
      </c>
      <c r="E32" s="100">
        <v>240</v>
      </c>
      <c r="F32" s="92">
        <f t="shared" si="0"/>
        <v>72000</v>
      </c>
      <c r="G32" s="101">
        <v>185</v>
      </c>
      <c r="H32" s="92">
        <f t="shared" si="1"/>
        <v>55500</v>
      </c>
      <c r="I32" s="101">
        <v>160</v>
      </c>
      <c r="J32" s="92">
        <f t="shared" si="2"/>
        <v>48000</v>
      </c>
      <c r="K32" s="101">
        <v>155</v>
      </c>
      <c r="L32" s="92">
        <f t="shared" si="3"/>
        <v>46500</v>
      </c>
      <c r="M32" s="101">
        <v>140</v>
      </c>
      <c r="N32" s="92">
        <f t="shared" si="4"/>
        <v>42000</v>
      </c>
      <c r="O32" s="101">
        <v>150</v>
      </c>
      <c r="P32" s="92">
        <f t="shared" si="5"/>
        <v>45000</v>
      </c>
      <c r="Q32" s="101">
        <v>170</v>
      </c>
      <c r="R32" s="92">
        <f t="shared" si="6"/>
        <v>51000</v>
      </c>
      <c r="S32" s="101">
        <v>160</v>
      </c>
      <c r="T32" s="92">
        <f t="shared" si="7"/>
        <v>48000</v>
      </c>
      <c r="U32" s="101">
        <v>170</v>
      </c>
      <c r="V32" s="92">
        <f t="shared" si="8"/>
        <v>51000</v>
      </c>
      <c r="W32" s="101">
        <v>370</v>
      </c>
      <c r="X32" s="92">
        <f t="shared" si="9"/>
        <v>111000</v>
      </c>
      <c r="Y32" s="102">
        <v>385</v>
      </c>
      <c r="Z32" s="92">
        <f t="shared" si="10"/>
        <v>115500</v>
      </c>
      <c r="AA32" s="102">
        <v>300</v>
      </c>
      <c r="AB32" s="92">
        <f t="shared" si="11"/>
        <v>90000</v>
      </c>
      <c r="AC32" s="95">
        <f t="shared" si="12"/>
        <v>775500</v>
      </c>
      <c r="AD32" s="118">
        <f t="shared" si="13"/>
        <v>2585</v>
      </c>
      <c r="AE32" s="2"/>
      <c r="AF32" s="2"/>
    </row>
    <row r="33" spans="2:32" s="62" customFormat="1">
      <c r="B33" s="144" t="s">
        <v>181</v>
      </c>
      <c r="C33" s="131">
        <v>1</v>
      </c>
      <c r="D33" s="122">
        <v>160</v>
      </c>
      <c r="E33" s="100">
        <v>200</v>
      </c>
      <c r="F33" s="92">
        <f t="shared" si="0"/>
        <v>32000</v>
      </c>
      <c r="G33" s="101">
        <v>185</v>
      </c>
      <c r="H33" s="92">
        <f t="shared" si="1"/>
        <v>29600</v>
      </c>
      <c r="I33" s="101">
        <v>150</v>
      </c>
      <c r="J33" s="92">
        <f t="shared" si="2"/>
        <v>24000</v>
      </c>
      <c r="K33" s="101">
        <v>170</v>
      </c>
      <c r="L33" s="92">
        <f t="shared" si="3"/>
        <v>27200</v>
      </c>
      <c r="M33" s="101">
        <v>190</v>
      </c>
      <c r="N33" s="92">
        <f t="shared" si="4"/>
        <v>30400</v>
      </c>
      <c r="O33" s="101">
        <v>160</v>
      </c>
      <c r="P33" s="92">
        <f t="shared" si="5"/>
        <v>25600</v>
      </c>
      <c r="Q33" s="101">
        <v>260</v>
      </c>
      <c r="R33" s="92">
        <f t="shared" si="6"/>
        <v>41600</v>
      </c>
      <c r="S33" s="101">
        <v>140</v>
      </c>
      <c r="T33" s="92">
        <f t="shared" si="7"/>
        <v>22400</v>
      </c>
      <c r="U33" s="101">
        <v>190</v>
      </c>
      <c r="V33" s="92">
        <f t="shared" si="8"/>
        <v>30400</v>
      </c>
      <c r="W33" s="101">
        <v>260</v>
      </c>
      <c r="X33" s="92">
        <f t="shared" si="9"/>
        <v>41600</v>
      </c>
      <c r="Y33" s="102">
        <v>300</v>
      </c>
      <c r="Z33" s="92">
        <f t="shared" si="10"/>
        <v>48000</v>
      </c>
      <c r="AA33" s="102">
        <v>380</v>
      </c>
      <c r="AB33" s="92">
        <f t="shared" si="11"/>
        <v>60800</v>
      </c>
      <c r="AC33" s="95">
        <f t="shared" si="12"/>
        <v>413600</v>
      </c>
      <c r="AD33" s="118">
        <f t="shared" si="13"/>
        <v>2585</v>
      </c>
      <c r="AE33" s="2"/>
      <c r="AF33" s="2"/>
    </row>
    <row r="34" spans="2:32" s="62" customFormat="1">
      <c r="B34" s="144" t="s">
        <v>180</v>
      </c>
      <c r="C34" s="131">
        <v>1</v>
      </c>
      <c r="D34" s="122">
        <v>160</v>
      </c>
      <c r="E34" s="100">
        <v>180</v>
      </c>
      <c r="F34" s="92">
        <f t="shared" si="0"/>
        <v>28800</v>
      </c>
      <c r="G34" s="101">
        <v>170</v>
      </c>
      <c r="H34" s="92">
        <f t="shared" si="1"/>
        <v>27200</v>
      </c>
      <c r="I34" s="101">
        <v>110</v>
      </c>
      <c r="J34" s="92">
        <f t="shared" si="2"/>
        <v>17600</v>
      </c>
      <c r="K34" s="101">
        <v>130</v>
      </c>
      <c r="L34" s="92">
        <f t="shared" si="3"/>
        <v>20800</v>
      </c>
      <c r="M34" s="101">
        <v>170</v>
      </c>
      <c r="N34" s="92">
        <f t="shared" si="4"/>
        <v>27200</v>
      </c>
      <c r="O34" s="101">
        <v>160</v>
      </c>
      <c r="P34" s="92">
        <f t="shared" si="5"/>
        <v>25600</v>
      </c>
      <c r="Q34" s="101">
        <v>180</v>
      </c>
      <c r="R34" s="92">
        <f t="shared" si="6"/>
        <v>28800</v>
      </c>
      <c r="S34" s="101">
        <v>170</v>
      </c>
      <c r="T34" s="92">
        <f t="shared" si="7"/>
        <v>27200</v>
      </c>
      <c r="U34" s="101">
        <v>170</v>
      </c>
      <c r="V34" s="92">
        <f t="shared" si="8"/>
        <v>27200</v>
      </c>
      <c r="W34" s="101">
        <v>220</v>
      </c>
      <c r="X34" s="92">
        <f t="shared" si="9"/>
        <v>35200</v>
      </c>
      <c r="Y34" s="102">
        <v>240</v>
      </c>
      <c r="Z34" s="92">
        <f t="shared" si="10"/>
        <v>38400</v>
      </c>
      <c r="AA34" s="102">
        <v>300</v>
      </c>
      <c r="AB34" s="92">
        <f t="shared" si="11"/>
        <v>48000</v>
      </c>
      <c r="AC34" s="95">
        <f t="shared" si="12"/>
        <v>352000</v>
      </c>
      <c r="AD34" s="118">
        <f t="shared" si="13"/>
        <v>2200</v>
      </c>
      <c r="AE34" s="2"/>
      <c r="AF34" s="2"/>
    </row>
    <row r="35" spans="2:32" s="62" customFormat="1">
      <c r="B35" s="144" t="s">
        <v>182</v>
      </c>
      <c r="C35" s="131">
        <v>0</v>
      </c>
      <c r="D35" s="122">
        <v>360</v>
      </c>
      <c r="E35" s="100">
        <v>90</v>
      </c>
      <c r="F35" s="92">
        <f t="shared" ref="F35:F36" si="14">$D35*E35</f>
        <v>32400</v>
      </c>
      <c r="G35" s="101">
        <v>100</v>
      </c>
      <c r="H35" s="92">
        <f t="shared" ref="H35:H36" si="15">$D35*G35</f>
        <v>36000</v>
      </c>
      <c r="I35" s="101">
        <v>110</v>
      </c>
      <c r="J35" s="92">
        <f t="shared" ref="J35:J36" si="16">$D35*I35</f>
        <v>39600</v>
      </c>
      <c r="K35" s="101">
        <v>100</v>
      </c>
      <c r="L35" s="92">
        <f t="shared" ref="L35:L36" si="17">$D35*K35</f>
        <v>36000</v>
      </c>
      <c r="M35" s="101">
        <v>150</v>
      </c>
      <c r="N35" s="92">
        <f t="shared" ref="N35:N36" si="18">$D35*M35</f>
        <v>54000</v>
      </c>
      <c r="O35" s="101">
        <v>160</v>
      </c>
      <c r="P35" s="92">
        <f t="shared" ref="P35:P36" si="19">$D35*O35</f>
        <v>57600</v>
      </c>
      <c r="Q35" s="101">
        <v>180</v>
      </c>
      <c r="R35" s="92">
        <f t="shared" ref="R35:R36" si="20">$D35*Q35</f>
        <v>64800</v>
      </c>
      <c r="S35" s="101">
        <v>170</v>
      </c>
      <c r="T35" s="92">
        <f t="shared" ref="T35:T36" si="21">$D35*S35</f>
        <v>61200</v>
      </c>
      <c r="U35" s="101">
        <v>170</v>
      </c>
      <c r="V35" s="92">
        <f t="shared" ref="V35:V36" si="22">$D35*U35</f>
        <v>61200</v>
      </c>
      <c r="W35" s="101">
        <v>190</v>
      </c>
      <c r="X35" s="92">
        <f t="shared" ref="X35:X36" si="23">$D35*W35</f>
        <v>68400</v>
      </c>
      <c r="Y35" s="102">
        <v>200</v>
      </c>
      <c r="Z35" s="92">
        <f t="shared" ref="Z35:Z36" si="24">$D35*Y35</f>
        <v>72000</v>
      </c>
      <c r="AA35" s="102">
        <v>250</v>
      </c>
      <c r="AB35" s="92">
        <f t="shared" ref="AB35:AB36" si="25">$D35*AA35</f>
        <v>90000</v>
      </c>
      <c r="AC35" s="95">
        <f t="shared" si="12"/>
        <v>673200</v>
      </c>
      <c r="AD35" s="118">
        <f t="shared" si="13"/>
        <v>1870</v>
      </c>
      <c r="AE35" s="2"/>
      <c r="AF35" s="2"/>
    </row>
    <row r="36" spans="2:32" s="62" customFormat="1">
      <c r="B36" s="144" t="s">
        <v>183</v>
      </c>
      <c r="C36" s="131">
        <v>0</v>
      </c>
      <c r="D36" s="122">
        <v>80</v>
      </c>
      <c r="E36" s="100">
        <v>50</v>
      </c>
      <c r="F36" s="92">
        <f t="shared" si="14"/>
        <v>4000</v>
      </c>
      <c r="G36" s="101">
        <v>70</v>
      </c>
      <c r="H36" s="92">
        <f t="shared" si="15"/>
        <v>5600</v>
      </c>
      <c r="I36" s="101">
        <v>110</v>
      </c>
      <c r="J36" s="92">
        <f t="shared" si="16"/>
        <v>8800</v>
      </c>
      <c r="K36" s="101">
        <v>90</v>
      </c>
      <c r="L36" s="92">
        <f t="shared" si="17"/>
        <v>7200</v>
      </c>
      <c r="M36" s="101">
        <v>135</v>
      </c>
      <c r="N36" s="92">
        <f t="shared" si="18"/>
        <v>10800</v>
      </c>
      <c r="O36" s="101">
        <v>110</v>
      </c>
      <c r="P36" s="92">
        <f t="shared" si="19"/>
        <v>8800</v>
      </c>
      <c r="Q36" s="101">
        <v>120</v>
      </c>
      <c r="R36" s="92">
        <f t="shared" si="20"/>
        <v>9600</v>
      </c>
      <c r="S36" s="101">
        <v>130</v>
      </c>
      <c r="T36" s="92">
        <f t="shared" si="21"/>
        <v>10400</v>
      </c>
      <c r="U36" s="101">
        <v>170</v>
      </c>
      <c r="V36" s="92">
        <f t="shared" si="22"/>
        <v>13600</v>
      </c>
      <c r="W36" s="101">
        <v>140</v>
      </c>
      <c r="X36" s="92">
        <f t="shared" si="23"/>
        <v>11200</v>
      </c>
      <c r="Y36" s="102">
        <v>150</v>
      </c>
      <c r="Z36" s="92">
        <f t="shared" si="24"/>
        <v>12000</v>
      </c>
      <c r="AA36" s="102">
        <v>180</v>
      </c>
      <c r="AB36" s="92">
        <f t="shared" si="25"/>
        <v>14400</v>
      </c>
      <c r="AC36" s="95">
        <f t="shared" si="12"/>
        <v>116400</v>
      </c>
      <c r="AD36" s="118">
        <f t="shared" si="13"/>
        <v>1455</v>
      </c>
      <c r="AE36" s="2"/>
      <c r="AF36" s="2"/>
    </row>
    <row r="37" spans="2:32" s="62" customFormat="1" ht="13" thickBot="1">
      <c r="B37" s="144" t="s">
        <v>184</v>
      </c>
      <c r="C37" s="131">
        <v>1</v>
      </c>
      <c r="D37" s="122">
        <v>80</v>
      </c>
      <c r="E37" s="108">
        <v>130</v>
      </c>
      <c r="F37" s="109">
        <f t="shared" si="0"/>
        <v>10400</v>
      </c>
      <c r="G37" s="107">
        <v>120</v>
      </c>
      <c r="H37" s="109">
        <f t="shared" si="1"/>
        <v>9600</v>
      </c>
      <c r="I37" s="107">
        <v>210</v>
      </c>
      <c r="J37" s="109">
        <f t="shared" si="2"/>
        <v>16800</v>
      </c>
      <c r="K37" s="107">
        <v>180</v>
      </c>
      <c r="L37" s="109">
        <f t="shared" si="3"/>
        <v>14400</v>
      </c>
      <c r="M37" s="107">
        <v>250</v>
      </c>
      <c r="N37" s="109">
        <f t="shared" si="4"/>
        <v>20000</v>
      </c>
      <c r="O37" s="107">
        <v>140</v>
      </c>
      <c r="P37" s="109">
        <f t="shared" si="5"/>
        <v>11200</v>
      </c>
      <c r="Q37" s="107">
        <v>150</v>
      </c>
      <c r="R37" s="109">
        <f t="shared" si="6"/>
        <v>12000</v>
      </c>
      <c r="S37" s="107">
        <v>160</v>
      </c>
      <c r="T37" s="109">
        <f t="shared" si="7"/>
        <v>12800</v>
      </c>
      <c r="U37" s="107">
        <v>190</v>
      </c>
      <c r="V37" s="109">
        <f t="shared" si="8"/>
        <v>15200</v>
      </c>
      <c r="W37" s="107">
        <v>150</v>
      </c>
      <c r="X37" s="109">
        <f t="shared" si="9"/>
        <v>12000</v>
      </c>
      <c r="Y37" s="110">
        <v>160</v>
      </c>
      <c r="Z37" s="109">
        <f t="shared" si="10"/>
        <v>12800</v>
      </c>
      <c r="AA37" s="110">
        <v>170</v>
      </c>
      <c r="AB37" s="109">
        <f t="shared" si="11"/>
        <v>13600</v>
      </c>
      <c r="AC37" s="119">
        <f t="shared" si="12"/>
        <v>160800</v>
      </c>
      <c r="AD37" s="120">
        <f t="shared" si="13"/>
        <v>2010</v>
      </c>
      <c r="AE37" s="2"/>
      <c r="AF37" s="2"/>
    </row>
    <row r="38" spans="2:32" s="62" customFormat="1" ht="13.5" thickBot="1">
      <c r="B38" s="111" t="s">
        <v>44</v>
      </c>
      <c r="C38" s="112">
        <f t="shared" ref="C38:AD38" si="26">SUM(C27:C37)</f>
        <v>100</v>
      </c>
      <c r="D38" s="113">
        <f t="shared" si="26"/>
        <v>1540</v>
      </c>
      <c r="E38" s="114">
        <f t="shared" si="26"/>
        <v>22990</v>
      </c>
      <c r="F38" s="115">
        <f t="shared" si="26"/>
        <v>2442600</v>
      </c>
      <c r="G38" s="116">
        <f t="shared" si="26"/>
        <v>27630</v>
      </c>
      <c r="H38" s="115">
        <f t="shared" si="26"/>
        <v>2935500</v>
      </c>
      <c r="I38" s="116">
        <f t="shared" si="26"/>
        <v>32350</v>
      </c>
      <c r="J38" s="115">
        <f t="shared" si="26"/>
        <v>3531300</v>
      </c>
      <c r="K38" s="116">
        <f t="shared" si="26"/>
        <v>29825</v>
      </c>
      <c r="L38" s="115">
        <f t="shared" si="26"/>
        <v>3244600</v>
      </c>
      <c r="M38" s="116">
        <f t="shared" si="26"/>
        <v>34635</v>
      </c>
      <c r="N38" s="115">
        <f t="shared" si="26"/>
        <v>3817900</v>
      </c>
      <c r="O38" s="116">
        <f t="shared" si="26"/>
        <v>32980</v>
      </c>
      <c r="P38" s="115">
        <f t="shared" si="26"/>
        <v>3646300</v>
      </c>
      <c r="Q38" s="116">
        <f t="shared" si="26"/>
        <v>32760</v>
      </c>
      <c r="R38" s="115">
        <f t="shared" si="26"/>
        <v>3664300</v>
      </c>
      <c r="S38" s="116">
        <f t="shared" si="26"/>
        <v>32830</v>
      </c>
      <c r="T38" s="115">
        <f t="shared" si="26"/>
        <v>3700000</v>
      </c>
      <c r="U38" s="116">
        <f t="shared" si="26"/>
        <v>39360</v>
      </c>
      <c r="V38" s="115">
        <f t="shared" si="26"/>
        <v>4535600</v>
      </c>
      <c r="W38" s="116">
        <f t="shared" si="26"/>
        <v>37480</v>
      </c>
      <c r="X38" s="115">
        <f t="shared" si="26"/>
        <v>4308900</v>
      </c>
      <c r="Y38" s="116">
        <f t="shared" si="26"/>
        <v>28935</v>
      </c>
      <c r="Z38" s="115">
        <f t="shared" si="26"/>
        <v>3304700</v>
      </c>
      <c r="AA38" s="116">
        <f t="shared" si="26"/>
        <v>43280</v>
      </c>
      <c r="AB38" s="115">
        <f t="shared" si="26"/>
        <v>5099800</v>
      </c>
      <c r="AC38" s="115">
        <f t="shared" si="26"/>
        <v>44231500</v>
      </c>
      <c r="AD38" s="117">
        <f t="shared" si="26"/>
        <v>395055</v>
      </c>
    </row>
    <row r="39" spans="2:32" s="62" customFormat="1" ht="13.5" thickBot="1">
      <c r="AC39" s="13"/>
    </row>
    <row r="40" spans="2:32" s="62" customFormat="1" ht="13.5" thickBot="1">
      <c r="B40" s="149" t="s">
        <v>165</v>
      </c>
      <c r="E40" s="221" t="s">
        <v>26</v>
      </c>
      <c r="F40" s="216"/>
      <c r="G40" s="217" t="s">
        <v>27</v>
      </c>
      <c r="H40" s="216"/>
      <c r="I40" s="215" t="s">
        <v>28</v>
      </c>
      <c r="J40" s="216"/>
      <c r="K40" s="217" t="s">
        <v>29</v>
      </c>
      <c r="L40" s="216"/>
      <c r="M40" s="215" t="s">
        <v>30</v>
      </c>
      <c r="N40" s="216"/>
      <c r="O40" s="215" t="s">
        <v>31</v>
      </c>
      <c r="P40" s="216"/>
      <c r="Q40" s="217" t="s">
        <v>32</v>
      </c>
      <c r="R40" s="216"/>
      <c r="S40" s="215" t="s">
        <v>33</v>
      </c>
      <c r="T40" s="216"/>
      <c r="U40" s="217" t="s">
        <v>34</v>
      </c>
      <c r="V40" s="216"/>
      <c r="W40" s="215" t="s">
        <v>35</v>
      </c>
      <c r="X40" s="216"/>
      <c r="Y40" s="215" t="s">
        <v>36</v>
      </c>
      <c r="Z40" s="216"/>
      <c r="AA40" s="217" t="s">
        <v>37</v>
      </c>
      <c r="AB40" s="216"/>
      <c r="AC40" s="138" t="s">
        <v>44</v>
      </c>
    </row>
    <row r="41" spans="2:32" s="62" customFormat="1">
      <c r="B41" s="148" t="s">
        <v>187</v>
      </c>
      <c r="E41" s="218"/>
      <c r="F41" s="219"/>
      <c r="G41" s="220"/>
      <c r="H41" s="219"/>
      <c r="I41" s="220"/>
      <c r="J41" s="219"/>
      <c r="K41" s="220">
        <v>1</v>
      </c>
      <c r="L41" s="219"/>
      <c r="M41" s="220"/>
      <c r="N41" s="219"/>
      <c r="O41" s="220"/>
      <c r="P41" s="219"/>
      <c r="Q41" s="220"/>
      <c r="R41" s="219"/>
      <c r="S41" s="220"/>
      <c r="T41" s="219"/>
      <c r="U41" s="220"/>
      <c r="V41" s="219"/>
      <c r="W41" s="220"/>
      <c r="X41" s="219"/>
      <c r="Y41" s="220"/>
      <c r="Z41" s="219"/>
      <c r="AA41" s="220"/>
      <c r="AB41" s="219"/>
      <c r="AC41" s="139">
        <f t="shared" ref="AC41:AC48" si="27">SUM(E41:AB41)</f>
        <v>1</v>
      </c>
    </row>
    <row r="42" spans="2:32" s="75" customFormat="1">
      <c r="B42" s="145" t="s">
        <v>188</v>
      </c>
      <c r="E42" s="214"/>
      <c r="F42" s="209"/>
      <c r="G42" s="208"/>
      <c r="H42" s="209"/>
      <c r="I42" s="208"/>
      <c r="J42" s="209"/>
      <c r="K42" s="208"/>
      <c r="L42" s="209"/>
      <c r="M42" s="208"/>
      <c r="N42" s="209"/>
      <c r="O42" s="208">
        <v>1</v>
      </c>
      <c r="P42" s="209"/>
      <c r="Q42" s="208"/>
      <c r="R42" s="209"/>
      <c r="S42" s="208"/>
      <c r="T42" s="209"/>
      <c r="U42" s="208"/>
      <c r="V42" s="209"/>
      <c r="W42" s="208"/>
      <c r="X42" s="209"/>
      <c r="Y42" s="208"/>
      <c r="Z42" s="209"/>
      <c r="AA42" s="208"/>
      <c r="AB42" s="209"/>
      <c r="AC42" s="140">
        <f t="shared" si="27"/>
        <v>1</v>
      </c>
    </row>
    <row r="43" spans="2:32" s="75" customFormat="1">
      <c r="B43" s="145" t="s">
        <v>194</v>
      </c>
      <c r="E43" s="214"/>
      <c r="F43" s="209"/>
      <c r="G43" s="208"/>
      <c r="H43" s="209"/>
      <c r="I43" s="208"/>
      <c r="J43" s="209"/>
      <c r="K43" s="208"/>
      <c r="L43" s="209"/>
      <c r="M43" s="208"/>
      <c r="N43" s="209"/>
      <c r="O43" s="208">
        <v>1</v>
      </c>
      <c r="P43" s="209"/>
      <c r="Q43" s="208"/>
      <c r="R43" s="209"/>
      <c r="S43" s="208"/>
      <c r="T43" s="209"/>
      <c r="U43" s="208"/>
      <c r="V43" s="209"/>
      <c r="W43" s="208"/>
      <c r="X43" s="209"/>
      <c r="Y43" s="208"/>
      <c r="Z43" s="209"/>
      <c r="AA43" s="208"/>
      <c r="AB43" s="209"/>
      <c r="AC43" s="140">
        <f t="shared" si="27"/>
        <v>1</v>
      </c>
    </row>
    <row r="44" spans="2:32" s="75" customFormat="1">
      <c r="B44" s="145" t="s">
        <v>64</v>
      </c>
      <c r="E44" s="214"/>
      <c r="F44" s="209"/>
      <c r="G44" s="208"/>
      <c r="H44" s="209"/>
      <c r="I44" s="208"/>
      <c r="J44" s="209"/>
      <c r="K44" s="208"/>
      <c r="L44" s="209"/>
      <c r="M44" s="208"/>
      <c r="N44" s="209"/>
      <c r="O44" s="208"/>
      <c r="P44" s="209"/>
      <c r="Q44" s="208"/>
      <c r="R44" s="209"/>
      <c r="S44" s="208"/>
      <c r="T44" s="209"/>
      <c r="U44" s="208"/>
      <c r="V44" s="209"/>
      <c r="W44" s="208"/>
      <c r="X44" s="209"/>
      <c r="Y44" s="208">
        <v>1</v>
      </c>
      <c r="Z44" s="209"/>
      <c r="AA44" s="208"/>
      <c r="AB44" s="209"/>
      <c r="AC44" s="140">
        <f t="shared" si="27"/>
        <v>1</v>
      </c>
    </row>
    <row r="45" spans="2:32" s="62" customFormat="1">
      <c r="B45" s="145" t="s">
        <v>195</v>
      </c>
      <c r="E45" s="214"/>
      <c r="F45" s="209"/>
      <c r="G45" s="208"/>
      <c r="H45" s="209"/>
      <c r="I45" s="208"/>
      <c r="J45" s="209"/>
      <c r="K45" s="208"/>
      <c r="L45" s="209"/>
      <c r="M45" s="208"/>
      <c r="N45" s="209"/>
      <c r="O45" s="208"/>
      <c r="P45" s="209"/>
      <c r="Q45" s="208"/>
      <c r="R45" s="209"/>
      <c r="S45" s="208"/>
      <c r="T45" s="209"/>
      <c r="U45" s="208"/>
      <c r="V45" s="209"/>
      <c r="W45" s="208"/>
      <c r="X45" s="209"/>
      <c r="Y45" s="208">
        <v>1</v>
      </c>
      <c r="Z45" s="209"/>
      <c r="AA45" s="208"/>
      <c r="AB45" s="209"/>
      <c r="AC45" s="140">
        <f t="shared" si="27"/>
        <v>1</v>
      </c>
    </row>
    <row r="46" spans="2:32" s="62" customFormat="1">
      <c r="B46" s="146" t="s">
        <v>18</v>
      </c>
      <c r="E46" s="213"/>
      <c r="F46" s="209"/>
      <c r="G46" s="209"/>
      <c r="H46" s="209"/>
      <c r="I46" s="209"/>
      <c r="J46" s="209"/>
      <c r="K46" s="208">
        <v>2</v>
      </c>
      <c r="L46" s="209"/>
      <c r="M46" s="209"/>
      <c r="N46" s="209"/>
      <c r="O46" s="208"/>
      <c r="P46" s="209"/>
      <c r="Q46" s="208"/>
      <c r="R46" s="209"/>
      <c r="S46" s="208"/>
      <c r="T46" s="209"/>
      <c r="U46" s="208"/>
      <c r="V46" s="209"/>
      <c r="W46" s="208"/>
      <c r="X46" s="209"/>
      <c r="Y46" s="208"/>
      <c r="Z46" s="209"/>
      <c r="AA46" s="208"/>
      <c r="AB46" s="209"/>
      <c r="AC46" s="140">
        <f t="shared" si="27"/>
        <v>2</v>
      </c>
    </row>
    <row r="47" spans="2:32" s="62" customFormat="1">
      <c r="B47" s="146" t="s">
        <v>20</v>
      </c>
      <c r="E47" s="213"/>
      <c r="F47" s="209"/>
      <c r="G47" s="209"/>
      <c r="H47" s="209"/>
      <c r="I47" s="209"/>
      <c r="J47" s="209"/>
      <c r="K47" s="208">
        <v>5</v>
      </c>
      <c r="L47" s="209"/>
      <c r="M47" s="209"/>
      <c r="N47" s="209"/>
      <c r="O47" s="208"/>
      <c r="P47" s="209"/>
      <c r="Q47" s="208"/>
      <c r="R47" s="209"/>
      <c r="S47" s="208"/>
      <c r="T47" s="209"/>
      <c r="U47" s="208"/>
      <c r="V47" s="209"/>
      <c r="W47" s="208"/>
      <c r="X47" s="209"/>
      <c r="Y47" s="208"/>
      <c r="Z47" s="209"/>
      <c r="AA47" s="208"/>
      <c r="AB47" s="209"/>
      <c r="AC47" s="140">
        <f t="shared" si="27"/>
        <v>5</v>
      </c>
    </row>
    <row r="48" spans="2:32" s="62" customFormat="1" ht="13" thickBot="1">
      <c r="B48" s="147" t="s">
        <v>22</v>
      </c>
      <c r="E48" s="210"/>
      <c r="F48" s="211"/>
      <c r="G48" s="211"/>
      <c r="H48" s="211"/>
      <c r="I48" s="211"/>
      <c r="J48" s="211"/>
      <c r="K48" s="212">
        <v>5</v>
      </c>
      <c r="L48" s="211"/>
      <c r="M48" s="211"/>
      <c r="N48" s="211"/>
      <c r="O48" s="212"/>
      <c r="P48" s="211"/>
      <c r="Q48" s="212"/>
      <c r="R48" s="211"/>
      <c r="S48" s="212"/>
      <c r="T48" s="211"/>
      <c r="U48" s="212"/>
      <c r="V48" s="211"/>
      <c r="W48" s="212"/>
      <c r="X48" s="211"/>
      <c r="Y48" s="212"/>
      <c r="Z48" s="211"/>
      <c r="AA48" s="212"/>
      <c r="AB48" s="211"/>
      <c r="AC48" s="141">
        <f t="shared" si="27"/>
        <v>5</v>
      </c>
    </row>
    <row r="49" spans="2:32" ht="13" thickBot="1"/>
    <row r="50" spans="2:32" s="75" customFormat="1" ht="13.5" thickBot="1">
      <c r="E50" s="222" t="s">
        <v>40</v>
      </c>
      <c r="F50" s="223"/>
      <c r="G50" s="223"/>
      <c r="H50" s="223"/>
      <c r="I50" s="223"/>
      <c r="J50" s="223"/>
      <c r="K50" s="223"/>
      <c r="L50" s="223"/>
      <c r="M50" s="223"/>
      <c r="N50" s="223"/>
      <c r="O50" s="223"/>
      <c r="P50" s="223"/>
      <c r="Q50" s="223"/>
      <c r="R50" s="223"/>
      <c r="S50" s="223"/>
      <c r="T50" s="223"/>
      <c r="U50" s="223"/>
      <c r="V50" s="223"/>
      <c r="W50" s="223"/>
      <c r="X50" s="223"/>
      <c r="Y50" s="223"/>
      <c r="Z50" s="223"/>
      <c r="AA50" s="223"/>
      <c r="AB50" s="224"/>
    </row>
    <row r="51" spans="2:32" s="75" customFormat="1" ht="13.5" thickBot="1">
      <c r="E51" s="225" t="s">
        <v>26</v>
      </c>
      <c r="F51" s="226"/>
      <c r="G51" s="225" t="s">
        <v>27</v>
      </c>
      <c r="H51" s="226"/>
      <c r="I51" s="227" t="s">
        <v>28</v>
      </c>
      <c r="J51" s="228"/>
      <c r="K51" s="225" t="s">
        <v>29</v>
      </c>
      <c r="L51" s="226"/>
      <c r="M51" s="227" t="s">
        <v>30</v>
      </c>
      <c r="N51" s="228"/>
      <c r="O51" s="225" t="s">
        <v>31</v>
      </c>
      <c r="P51" s="226"/>
      <c r="Q51" s="225" t="s">
        <v>32</v>
      </c>
      <c r="R51" s="226"/>
      <c r="S51" s="225" t="s">
        <v>33</v>
      </c>
      <c r="T51" s="226"/>
      <c r="U51" s="227" t="s">
        <v>34</v>
      </c>
      <c r="V51" s="228"/>
      <c r="W51" s="225" t="s">
        <v>35</v>
      </c>
      <c r="X51" s="226"/>
      <c r="Y51" s="225" t="s">
        <v>36</v>
      </c>
      <c r="Z51" s="226"/>
      <c r="AA51" s="225" t="s">
        <v>37</v>
      </c>
      <c r="AB51" s="226"/>
      <c r="AC51" s="23"/>
      <c r="AD51" s="23"/>
      <c r="AE51" s="23"/>
      <c r="AF51" s="23"/>
    </row>
    <row r="52" spans="2:32" s="75" customFormat="1" ht="13.5" thickBot="1">
      <c r="B52" s="288" t="s">
        <v>205</v>
      </c>
      <c r="C52" s="105" t="s">
        <v>161</v>
      </c>
      <c r="D52" s="106" t="s">
        <v>162</v>
      </c>
      <c r="E52" s="289" t="s">
        <v>203</v>
      </c>
      <c r="F52" s="106" t="s">
        <v>38</v>
      </c>
      <c r="G52" s="289" t="s">
        <v>203</v>
      </c>
      <c r="H52" s="106" t="s">
        <v>38</v>
      </c>
      <c r="I52" s="289" t="s">
        <v>203</v>
      </c>
      <c r="J52" s="106" t="s">
        <v>38</v>
      </c>
      <c r="K52" s="289" t="s">
        <v>203</v>
      </c>
      <c r="L52" s="106" t="s">
        <v>38</v>
      </c>
      <c r="M52" s="289" t="s">
        <v>203</v>
      </c>
      <c r="N52" s="106" t="s">
        <v>38</v>
      </c>
      <c r="O52" s="289" t="s">
        <v>203</v>
      </c>
      <c r="P52" s="106" t="s">
        <v>38</v>
      </c>
      <c r="Q52" s="289" t="s">
        <v>203</v>
      </c>
      <c r="R52" s="106" t="s">
        <v>38</v>
      </c>
      <c r="S52" s="289" t="s">
        <v>203</v>
      </c>
      <c r="T52" s="106" t="s">
        <v>38</v>
      </c>
      <c r="U52" s="289" t="s">
        <v>203</v>
      </c>
      <c r="V52" s="106" t="s">
        <v>38</v>
      </c>
      <c r="W52" s="289" t="s">
        <v>203</v>
      </c>
      <c r="X52" s="106" t="s">
        <v>38</v>
      </c>
      <c r="Y52" s="289" t="s">
        <v>203</v>
      </c>
      <c r="Z52" s="143" t="s">
        <v>38</v>
      </c>
      <c r="AA52" s="289" t="s">
        <v>203</v>
      </c>
      <c r="AB52" s="143" t="s">
        <v>38</v>
      </c>
      <c r="AC52" s="104" t="s">
        <v>163</v>
      </c>
      <c r="AD52" s="106" t="s">
        <v>164</v>
      </c>
      <c r="AE52" s="2"/>
      <c r="AF52" s="2"/>
    </row>
    <row r="53" spans="2:32" s="75" customFormat="1">
      <c r="B53" s="144" t="s">
        <v>166</v>
      </c>
      <c r="C53" s="131">
        <v>49</v>
      </c>
      <c r="D53" s="122">
        <v>80</v>
      </c>
      <c r="E53" s="103">
        <v>16500</v>
      </c>
      <c r="F53" s="92">
        <f t="shared" ref="F53:F63" si="28">$D53*E53</f>
        <v>1320000</v>
      </c>
      <c r="G53" s="103">
        <v>16800</v>
      </c>
      <c r="H53" s="92">
        <f t="shared" ref="H53:H63" si="29">$D53*G53</f>
        <v>1344000</v>
      </c>
      <c r="I53" s="103">
        <v>23500</v>
      </c>
      <c r="J53" s="92">
        <f t="shared" ref="J53:J63" si="30">$D53*I53</f>
        <v>1880000</v>
      </c>
      <c r="K53" s="103">
        <v>19500</v>
      </c>
      <c r="L53" s="92">
        <f t="shared" ref="L53:L63" si="31">$D53*K53</f>
        <v>1560000</v>
      </c>
      <c r="M53" s="103">
        <v>26700</v>
      </c>
      <c r="N53" s="92">
        <f t="shared" ref="N53:N63" si="32">$D53*M53</f>
        <v>2136000</v>
      </c>
      <c r="O53" s="103">
        <v>21700</v>
      </c>
      <c r="P53" s="92">
        <f t="shared" ref="P53:P63" si="33">$D53*O53</f>
        <v>1736000</v>
      </c>
      <c r="Q53" s="103">
        <v>23850</v>
      </c>
      <c r="R53" s="92">
        <f t="shared" ref="R53:R63" si="34">$D53*Q53</f>
        <v>1908000</v>
      </c>
      <c r="S53" s="103">
        <v>24550</v>
      </c>
      <c r="T53" s="92">
        <f t="shared" ref="T53:T63" si="35">$D53*S53</f>
        <v>1964000</v>
      </c>
      <c r="U53" s="103">
        <v>33400</v>
      </c>
      <c r="V53" s="92">
        <f t="shared" ref="V53:V63" si="36">$D53*U53</f>
        <v>2672000</v>
      </c>
      <c r="W53" s="103">
        <v>28500</v>
      </c>
      <c r="X53" s="92">
        <f t="shared" ref="X53:X63" si="37">$D53*W53</f>
        <v>2280000</v>
      </c>
      <c r="Y53" s="103">
        <v>29500</v>
      </c>
      <c r="Z53" s="92">
        <f t="shared" ref="Z53:Z63" si="38">$D53*Y53</f>
        <v>2360000</v>
      </c>
      <c r="AA53" s="103">
        <v>33500</v>
      </c>
      <c r="AB53" s="92">
        <f t="shared" ref="AB53:AB63" si="39">$D53*AA53</f>
        <v>2680000</v>
      </c>
      <c r="AC53" s="95">
        <f t="shared" ref="AC53:AC63" si="40">AB53+Z53+X53+V53+T53+R53+P53+N53+L53+J53+H53+F53</f>
        <v>23840000</v>
      </c>
      <c r="AD53" s="118">
        <f t="shared" ref="AD53:AD63" si="41">AA53+Y53+W53+U53+S53+Q53+O53+M53+K53+I53+E53+G53</f>
        <v>298000</v>
      </c>
      <c r="AE53" s="2"/>
      <c r="AF53" s="2"/>
    </row>
    <row r="54" spans="2:32" s="75" customFormat="1">
      <c r="B54" s="144" t="s">
        <v>167</v>
      </c>
      <c r="C54" s="131">
        <v>33</v>
      </c>
      <c r="D54" s="122">
        <v>125</v>
      </c>
      <c r="E54" s="100">
        <v>11700</v>
      </c>
      <c r="F54" s="92">
        <f t="shared" si="28"/>
        <v>1462500</v>
      </c>
      <c r="G54" s="100">
        <v>12500</v>
      </c>
      <c r="H54" s="92">
        <f t="shared" si="29"/>
        <v>1562500</v>
      </c>
      <c r="I54" s="100">
        <v>15500</v>
      </c>
      <c r="J54" s="92">
        <f t="shared" si="30"/>
        <v>1937500</v>
      </c>
      <c r="K54" s="100">
        <v>14500</v>
      </c>
      <c r="L54" s="92">
        <f t="shared" si="31"/>
        <v>1812500</v>
      </c>
      <c r="M54" s="100">
        <v>18500</v>
      </c>
      <c r="N54" s="92">
        <f t="shared" si="32"/>
        <v>2312500</v>
      </c>
      <c r="O54" s="100">
        <v>15500</v>
      </c>
      <c r="P54" s="92">
        <f t="shared" si="33"/>
        <v>1937500</v>
      </c>
      <c r="Q54" s="100">
        <v>16700</v>
      </c>
      <c r="R54" s="92">
        <f t="shared" si="34"/>
        <v>2087500</v>
      </c>
      <c r="S54" s="100">
        <v>17500</v>
      </c>
      <c r="T54" s="92">
        <f t="shared" si="35"/>
        <v>2187500</v>
      </c>
      <c r="U54" s="100">
        <v>19500</v>
      </c>
      <c r="V54" s="92">
        <f t="shared" si="36"/>
        <v>2437500</v>
      </c>
      <c r="W54" s="100">
        <v>18500</v>
      </c>
      <c r="X54" s="92">
        <f t="shared" si="37"/>
        <v>2312500</v>
      </c>
      <c r="Y54" s="100">
        <v>19100</v>
      </c>
      <c r="Z54" s="92">
        <f t="shared" si="38"/>
        <v>2387500</v>
      </c>
      <c r="AA54" s="100">
        <v>19900</v>
      </c>
      <c r="AB54" s="92">
        <f t="shared" si="39"/>
        <v>2487500</v>
      </c>
      <c r="AC54" s="95">
        <f t="shared" si="40"/>
        <v>24925000</v>
      </c>
      <c r="AD54" s="118">
        <f t="shared" si="41"/>
        <v>199400</v>
      </c>
      <c r="AE54" s="2"/>
      <c r="AF54" s="2"/>
    </row>
    <row r="55" spans="2:32" s="75" customFormat="1" ht="13" thickBot="1">
      <c r="B55" s="324" t="s">
        <v>168</v>
      </c>
      <c r="C55" s="326">
        <v>12</v>
      </c>
      <c r="D55" s="325">
        <v>195</v>
      </c>
      <c r="E55" s="108">
        <v>2700</v>
      </c>
      <c r="F55" s="109">
        <f t="shared" si="28"/>
        <v>526500</v>
      </c>
      <c r="G55" s="108">
        <v>2800</v>
      </c>
      <c r="H55" s="109">
        <f t="shared" si="29"/>
        <v>546000</v>
      </c>
      <c r="I55" s="108">
        <v>5400</v>
      </c>
      <c r="J55" s="109">
        <f t="shared" si="30"/>
        <v>1053000</v>
      </c>
      <c r="K55" s="108">
        <v>4600</v>
      </c>
      <c r="L55" s="109">
        <f t="shared" si="31"/>
        <v>897000</v>
      </c>
      <c r="M55" s="108">
        <v>6700</v>
      </c>
      <c r="N55" s="109">
        <f t="shared" si="32"/>
        <v>1306500</v>
      </c>
      <c r="O55" s="108">
        <v>5100</v>
      </c>
      <c r="P55" s="109">
        <f t="shared" si="33"/>
        <v>994500</v>
      </c>
      <c r="Q55" s="108">
        <v>5300</v>
      </c>
      <c r="R55" s="109">
        <f t="shared" si="34"/>
        <v>1033500</v>
      </c>
      <c r="S55" s="108">
        <v>5700</v>
      </c>
      <c r="T55" s="109">
        <f t="shared" si="35"/>
        <v>1111500</v>
      </c>
      <c r="U55" s="108">
        <v>7800</v>
      </c>
      <c r="V55" s="109">
        <f t="shared" si="36"/>
        <v>1521000</v>
      </c>
      <c r="W55" s="108">
        <v>7100</v>
      </c>
      <c r="X55" s="109">
        <f t="shared" si="37"/>
        <v>1384500</v>
      </c>
      <c r="Y55" s="108">
        <v>7700</v>
      </c>
      <c r="Z55" s="109">
        <f t="shared" si="38"/>
        <v>1501500</v>
      </c>
      <c r="AA55" s="108">
        <v>8500</v>
      </c>
      <c r="AB55" s="109">
        <f t="shared" si="39"/>
        <v>1657500</v>
      </c>
      <c r="AC55" s="330">
        <f t="shared" si="40"/>
        <v>13533000</v>
      </c>
      <c r="AD55" s="331">
        <f t="shared" si="41"/>
        <v>69400</v>
      </c>
      <c r="AE55" s="2"/>
      <c r="AF55" s="2"/>
    </row>
    <row r="56" spans="2:32" s="137" customFormat="1" ht="13" thickBot="1">
      <c r="B56" s="299"/>
      <c r="C56" s="300"/>
      <c r="D56" s="300"/>
      <c r="E56" s="300"/>
      <c r="F56" s="300"/>
      <c r="G56" s="300"/>
      <c r="H56" s="300"/>
      <c r="I56" s="300"/>
      <c r="J56" s="300"/>
      <c r="K56" s="300"/>
      <c r="L56" s="300"/>
      <c r="M56" s="300"/>
      <c r="N56" s="300"/>
      <c r="O56" s="300"/>
      <c r="P56" s="300"/>
      <c r="Q56" s="300"/>
      <c r="R56" s="300"/>
      <c r="S56" s="300"/>
      <c r="T56" s="300"/>
      <c r="U56" s="300"/>
      <c r="V56" s="300"/>
      <c r="W56" s="300"/>
      <c r="X56" s="300"/>
      <c r="Y56" s="300"/>
      <c r="Z56" s="300"/>
      <c r="AA56" s="300"/>
      <c r="AB56" s="300"/>
      <c r="AC56" s="300"/>
      <c r="AD56" s="301"/>
      <c r="AE56" s="2"/>
      <c r="AF56" s="2"/>
    </row>
    <row r="57" spans="2:32" s="137" customFormat="1" ht="13.5" thickBot="1">
      <c r="B57" s="302" t="s">
        <v>50</v>
      </c>
      <c r="C57" s="332"/>
      <c r="D57" s="303"/>
      <c r="E57" s="296" t="s">
        <v>204</v>
      </c>
      <c r="F57" s="297" t="s">
        <v>38</v>
      </c>
      <c r="G57" s="297" t="s">
        <v>204</v>
      </c>
      <c r="H57" s="297" t="s">
        <v>38</v>
      </c>
      <c r="I57" s="297" t="s">
        <v>204</v>
      </c>
      <c r="J57" s="297" t="s">
        <v>38</v>
      </c>
      <c r="K57" s="297" t="s">
        <v>204</v>
      </c>
      <c r="L57" s="297" t="s">
        <v>38</v>
      </c>
      <c r="M57" s="297" t="s">
        <v>204</v>
      </c>
      <c r="N57" s="297" t="s">
        <v>38</v>
      </c>
      <c r="O57" s="297" t="s">
        <v>204</v>
      </c>
      <c r="P57" s="297" t="s">
        <v>38</v>
      </c>
      <c r="Q57" s="297" t="s">
        <v>204</v>
      </c>
      <c r="R57" s="297" t="s">
        <v>38</v>
      </c>
      <c r="S57" s="297" t="s">
        <v>204</v>
      </c>
      <c r="T57" s="297" t="s">
        <v>38</v>
      </c>
      <c r="U57" s="297" t="s">
        <v>204</v>
      </c>
      <c r="V57" s="297" t="s">
        <v>38</v>
      </c>
      <c r="W57" s="297" t="s">
        <v>204</v>
      </c>
      <c r="X57" s="297" t="s">
        <v>38</v>
      </c>
      <c r="Y57" s="297" t="s">
        <v>204</v>
      </c>
      <c r="Z57" s="297" t="s">
        <v>38</v>
      </c>
      <c r="AA57" s="297" t="s">
        <v>204</v>
      </c>
      <c r="AB57" s="298" t="s">
        <v>38</v>
      </c>
      <c r="AC57" s="333"/>
      <c r="AD57" s="334"/>
      <c r="AE57" s="2"/>
      <c r="AF57" s="2"/>
    </row>
    <row r="58" spans="2:32" s="75" customFormat="1">
      <c r="B58" s="144" t="s">
        <v>179</v>
      </c>
      <c r="C58" s="131">
        <v>1</v>
      </c>
      <c r="D58" s="122">
        <v>300</v>
      </c>
      <c r="E58" s="100">
        <v>630</v>
      </c>
      <c r="F58" s="92">
        <f t="shared" si="28"/>
        <v>189000</v>
      </c>
      <c r="G58" s="101">
        <v>580</v>
      </c>
      <c r="H58" s="92">
        <f t="shared" si="29"/>
        <v>174000</v>
      </c>
      <c r="I58" s="101">
        <v>560</v>
      </c>
      <c r="J58" s="92">
        <f t="shared" si="30"/>
        <v>168000</v>
      </c>
      <c r="K58" s="101">
        <v>600</v>
      </c>
      <c r="L58" s="92">
        <f t="shared" si="31"/>
        <v>180000</v>
      </c>
      <c r="M58" s="101">
        <v>750</v>
      </c>
      <c r="N58" s="92">
        <f t="shared" si="32"/>
        <v>225000</v>
      </c>
      <c r="O58" s="101">
        <v>640</v>
      </c>
      <c r="P58" s="92">
        <f t="shared" si="33"/>
        <v>192000</v>
      </c>
      <c r="Q58" s="101">
        <v>670</v>
      </c>
      <c r="R58" s="92">
        <f t="shared" si="34"/>
        <v>201000</v>
      </c>
      <c r="S58" s="101">
        <v>690</v>
      </c>
      <c r="T58" s="92">
        <f t="shared" si="35"/>
        <v>207000</v>
      </c>
      <c r="U58" s="101">
        <v>810</v>
      </c>
      <c r="V58" s="92">
        <f t="shared" si="36"/>
        <v>243000</v>
      </c>
      <c r="W58" s="101">
        <v>780</v>
      </c>
      <c r="X58" s="92">
        <f t="shared" si="37"/>
        <v>234000</v>
      </c>
      <c r="Y58" s="102">
        <v>850</v>
      </c>
      <c r="Z58" s="92">
        <f t="shared" si="38"/>
        <v>255000</v>
      </c>
      <c r="AA58" s="102">
        <v>910</v>
      </c>
      <c r="AB58" s="92">
        <f t="shared" si="39"/>
        <v>273000</v>
      </c>
      <c r="AC58" s="95">
        <f t="shared" si="40"/>
        <v>2541000</v>
      </c>
      <c r="AD58" s="118">
        <f t="shared" si="41"/>
        <v>8470</v>
      </c>
      <c r="AE58" s="2"/>
      <c r="AF58" s="2"/>
    </row>
    <row r="59" spans="2:32" s="75" customFormat="1">
      <c r="B59" s="144" t="s">
        <v>181</v>
      </c>
      <c r="C59" s="131">
        <v>1</v>
      </c>
      <c r="D59" s="122">
        <v>160</v>
      </c>
      <c r="E59" s="100">
        <v>580</v>
      </c>
      <c r="F59" s="92">
        <f t="shared" si="28"/>
        <v>92800</v>
      </c>
      <c r="G59" s="101">
        <v>580</v>
      </c>
      <c r="H59" s="92">
        <f t="shared" si="29"/>
        <v>92800</v>
      </c>
      <c r="I59" s="101">
        <v>540</v>
      </c>
      <c r="J59" s="92">
        <f t="shared" si="30"/>
        <v>86400</v>
      </c>
      <c r="K59" s="101">
        <v>590</v>
      </c>
      <c r="L59" s="92">
        <f t="shared" si="31"/>
        <v>94400</v>
      </c>
      <c r="M59" s="101">
        <v>640</v>
      </c>
      <c r="N59" s="92">
        <f t="shared" si="32"/>
        <v>102400</v>
      </c>
      <c r="O59" s="101">
        <v>530</v>
      </c>
      <c r="P59" s="92">
        <f t="shared" si="33"/>
        <v>84800</v>
      </c>
      <c r="Q59" s="101">
        <v>640</v>
      </c>
      <c r="R59" s="92">
        <f t="shared" si="34"/>
        <v>102400</v>
      </c>
      <c r="S59" s="101">
        <v>520</v>
      </c>
      <c r="T59" s="92">
        <f t="shared" si="35"/>
        <v>83200</v>
      </c>
      <c r="U59" s="101">
        <v>650</v>
      </c>
      <c r="V59" s="92">
        <f t="shared" si="36"/>
        <v>104000</v>
      </c>
      <c r="W59" s="101">
        <v>570</v>
      </c>
      <c r="X59" s="92">
        <f t="shared" si="37"/>
        <v>91200</v>
      </c>
      <c r="Y59" s="102">
        <v>680</v>
      </c>
      <c r="Z59" s="92">
        <f t="shared" si="38"/>
        <v>108800</v>
      </c>
      <c r="AA59" s="102">
        <v>770</v>
      </c>
      <c r="AB59" s="92">
        <f t="shared" si="39"/>
        <v>123200</v>
      </c>
      <c r="AC59" s="95">
        <f t="shared" si="40"/>
        <v>1166400</v>
      </c>
      <c r="AD59" s="118">
        <f t="shared" si="41"/>
        <v>7290</v>
      </c>
      <c r="AE59" s="2"/>
      <c r="AF59" s="2"/>
    </row>
    <row r="60" spans="2:32" s="75" customFormat="1">
      <c r="B60" s="144" t="s">
        <v>180</v>
      </c>
      <c r="C60" s="131">
        <v>1</v>
      </c>
      <c r="D60" s="122">
        <v>160</v>
      </c>
      <c r="E60" s="100">
        <v>510</v>
      </c>
      <c r="F60" s="92">
        <f t="shared" si="28"/>
        <v>81600</v>
      </c>
      <c r="G60" s="101">
        <v>500</v>
      </c>
      <c r="H60" s="92">
        <f t="shared" si="29"/>
        <v>80000</v>
      </c>
      <c r="I60" s="101">
        <v>440</v>
      </c>
      <c r="J60" s="92">
        <f t="shared" si="30"/>
        <v>70400</v>
      </c>
      <c r="K60" s="101">
        <v>470</v>
      </c>
      <c r="L60" s="92">
        <f t="shared" si="31"/>
        <v>75200</v>
      </c>
      <c r="M60" s="101">
        <v>500</v>
      </c>
      <c r="N60" s="92">
        <f t="shared" si="32"/>
        <v>80000</v>
      </c>
      <c r="O60" s="101">
        <v>490</v>
      </c>
      <c r="P60" s="92">
        <f t="shared" si="33"/>
        <v>78400</v>
      </c>
      <c r="Q60" s="101">
        <v>510</v>
      </c>
      <c r="R60" s="92">
        <f t="shared" si="34"/>
        <v>81600</v>
      </c>
      <c r="S60" s="101">
        <v>500</v>
      </c>
      <c r="T60" s="92">
        <f t="shared" si="35"/>
        <v>80000</v>
      </c>
      <c r="U60" s="101">
        <v>600</v>
      </c>
      <c r="V60" s="92">
        <f t="shared" si="36"/>
        <v>96000</v>
      </c>
      <c r="W60" s="101">
        <v>550</v>
      </c>
      <c r="X60" s="92">
        <f t="shared" si="37"/>
        <v>88000</v>
      </c>
      <c r="Y60" s="102">
        <v>570</v>
      </c>
      <c r="Z60" s="92">
        <f t="shared" si="38"/>
        <v>91200</v>
      </c>
      <c r="AA60" s="102">
        <v>630</v>
      </c>
      <c r="AB60" s="92">
        <f t="shared" si="39"/>
        <v>100800</v>
      </c>
      <c r="AC60" s="95">
        <f t="shared" si="40"/>
        <v>1003200</v>
      </c>
      <c r="AD60" s="118">
        <f t="shared" si="41"/>
        <v>6270</v>
      </c>
      <c r="AE60" s="2"/>
      <c r="AF60" s="2"/>
    </row>
    <row r="61" spans="2:32" s="75" customFormat="1">
      <c r="B61" s="144" t="s">
        <v>182</v>
      </c>
      <c r="C61" s="131">
        <v>1</v>
      </c>
      <c r="D61" s="122">
        <v>360</v>
      </c>
      <c r="E61" s="100">
        <v>370</v>
      </c>
      <c r="F61" s="92">
        <f t="shared" si="28"/>
        <v>133200</v>
      </c>
      <c r="G61" s="101">
        <v>380</v>
      </c>
      <c r="H61" s="92">
        <f t="shared" si="29"/>
        <v>136800</v>
      </c>
      <c r="I61" s="101">
        <v>390</v>
      </c>
      <c r="J61" s="92">
        <f t="shared" si="30"/>
        <v>140400</v>
      </c>
      <c r="K61" s="101">
        <v>380</v>
      </c>
      <c r="L61" s="92">
        <f t="shared" si="31"/>
        <v>136800</v>
      </c>
      <c r="M61" s="101">
        <v>430</v>
      </c>
      <c r="N61" s="92">
        <f t="shared" si="32"/>
        <v>154800</v>
      </c>
      <c r="O61" s="101">
        <v>440</v>
      </c>
      <c r="P61" s="92">
        <f t="shared" si="33"/>
        <v>158400</v>
      </c>
      <c r="Q61" s="101">
        <v>460</v>
      </c>
      <c r="R61" s="92">
        <f t="shared" si="34"/>
        <v>165600</v>
      </c>
      <c r="S61" s="101">
        <v>450</v>
      </c>
      <c r="T61" s="92">
        <f t="shared" si="35"/>
        <v>162000</v>
      </c>
      <c r="U61" s="101">
        <v>450</v>
      </c>
      <c r="V61" s="92">
        <f t="shared" si="36"/>
        <v>162000</v>
      </c>
      <c r="W61" s="101">
        <v>490</v>
      </c>
      <c r="X61" s="92">
        <f t="shared" si="37"/>
        <v>176400</v>
      </c>
      <c r="Y61" s="102">
        <v>480</v>
      </c>
      <c r="Z61" s="92">
        <f t="shared" si="38"/>
        <v>172800</v>
      </c>
      <c r="AA61" s="102">
        <v>530</v>
      </c>
      <c r="AB61" s="92">
        <f t="shared" si="39"/>
        <v>190800</v>
      </c>
      <c r="AC61" s="95">
        <f t="shared" si="40"/>
        <v>1890000</v>
      </c>
      <c r="AD61" s="118">
        <f t="shared" si="41"/>
        <v>5250</v>
      </c>
      <c r="AE61" s="2"/>
      <c r="AF61" s="2"/>
    </row>
    <row r="62" spans="2:32" s="75" customFormat="1">
      <c r="B62" s="144" t="s">
        <v>183</v>
      </c>
      <c r="C62" s="131">
        <v>1</v>
      </c>
      <c r="D62" s="122">
        <v>80</v>
      </c>
      <c r="E62" s="100">
        <v>270</v>
      </c>
      <c r="F62" s="92">
        <f t="shared" si="28"/>
        <v>21600</v>
      </c>
      <c r="G62" s="101">
        <v>290</v>
      </c>
      <c r="H62" s="92">
        <f t="shared" si="29"/>
        <v>23200</v>
      </c>
      <c r="I62" s="101">
        <v>310</v>
      </c>
      <c r="J62" s="92">
        <f t="shared" si="30"/>
        <v>24800</v>
      </c>
      <c r="K62" s="101">
        <v>300</v>
      </c>
      <c r="L62" s="92">
        <f t="shared" si="31"/>
        <v>24000</v>
      </c>
      <c r="M62" s="101">
        <v>540</v>
      </c>
      <c r="N62" s="92">
        <f t="shared" si="32"/>
        <v>43200</v>
      </c>
      <c r="O62" s="101">
        <v>330</v>
      </c>
      <c r="P62" s="92">
        <f t="shared" si="33"/>
        <v>26400</v>
      </c>
      <c r="Q62" s="101">
        <v>340</v>
      </c>
      <c r="R62" s="92">
        <f t="shared" si="34"/>
        <v>27200</v>
      </c>
      <c r="S62" s="101">
        <v>350</v>
      </c>
      <c r="T62" s="92">
        <f t="shared" si="35"/>
        <v>28000</v>
      </c>
      <c r="U62" s="101">
        <v>380</v>
      </c>
      <c r="V62" s="92">
        <f t="shared" si="36"/>
        <v>30400</v>
      </c>
      <c r="W62" s="101">
        <v>360</v>
      </c>
      <c r="X62" s="92">
        <f t="shared" si="37"/>
        <v>28800</v>
      </c>
      <c r="Y62" s="102">
        <v>380</v>
      </c>
      <c r="Z62" s="92">
        <f t="shared" si="38"/>
        <v>30400</v>
      </c>
      <c r="AA62" s="102">
        <v>400</v>
      </c>
      <c r="AB62" s="92">
        <f t="shared" si="39"/>
        <v>32000</v>
      </c>
      <c r="AC62" s="95">
        <f t="shared" si="40"/>
        <v>340000</v>
      </c>
      <c r="AD62" s="118">
        <f t="shared" si="41"/>
        <v>4250</v>
      </c>
      <c r="AE62" s="2"/>
      <c r="AF62" s="2"/>
    </row>
    <row r="63" spans="2:32" s="75" customFormat="1" ht="13" thickBot="1">
      <c r="B63" s="144" t="s">
        <v>184</v>
      </c>
      <c r="C63" s="131">
        <v>1</v>
      </c>
      <c r="D63" s="122">
        <v>80</v>
      </c>
      <c r="E63" s="108">
        <v>330</v>
      </c>
      <c r="F63" s="109">
        <f t="shared" si="28"/>
        <v>26400</v>
      </c>
      <c r="G63" s="107">
        <v>320</v>
      </c>
      <c r="H63" s="109">
        <f t="shared" si="29"/>
        <v>25600</v>
      </c>
      <c r="I63" s="107">
        <v>520</v>
      </c>
      <c r="J63" s="109">
        <f t="shared" si="30"/>
        <v>41600</v>
      </c>
      <c r="K63" s="107">
        <v>480</v>
      </c>
      <c r="L63" s="109">
        <f t="shared" si="31"/>
        <v>38400</v>
      </c>
      <c r="M63" s="107">
        <v>550</v>
      </c>
      <c r="N63" s="109">
        <f t="shared" si="32"/>
        <v>44000</v>
      </c>
      <c r="O63" s="107">
        <v>140</v>
      </c>
      <c r="P63" s="109">
        <f t="shared" si="33"/>
        <v>11200</v>
      </c>
      <c r="Q63" s="107">
        <v>150</v>
      </c>
      <c r="R63" s="109">
        <f t="shared" si="34"/>
        <v>12000</v>
      </c>
      <c r="S63" s="107">
        <v>460</v>
      </c>
      <c r="T63" s="109">
        <f t="shared" si="35"/>
        <v>36800</v>
      </c>
      <c r="U63" s="107">
        <v>490</v>
      </c>
      <c r="V63" s="109">
        <f t="shared" si="36"/>
        <v>39200</v>
      </c>
      <c r="W63" s="107">
        <v>450</v>
      </c>
      <c r="X63" s="109">
        <f t="shared" si="37"/>
        <v>36000</v>
      </c>
      <c r="Y63" s="110">
        <v>460</v>
      </c>
      <c r="Z63" s="109">
        <f t="shared" si="38"/>
        <v>36800</v>
      </c>
      <c r="AA63" s="110">
        <v>470</v>
      </c>
      <c r="AB63" s="109">
        <f t="shared" si="39"/>
        <v>37600</v>
      </c>
      <c r="AC63" s="119">
        <f t="shared" si="40"/>
        <v>385600</v>
      </c>
      <c r="AD63" s="120">
        <f t="shared" si="41"/>
        <v>4820</v>
      </c>
      <c r="AE63" s="2"/>
      <c r="AF63" s="2"/>
    </row>
    <row r="64" spans="2:32" s="75" customFormat="1" ht="13.5" thickBot="1">
      <c r="B64" s="111" t="s">
        <v>44</v>
      </c>
      <c r="C64" s="112">
        <f t="shared" ref="C64:AD64" si="42">SUM(C53:C63)</f>
        <v>100</v>
      </c>
      <c r="D64" s="113">
        <f t="shared" si="42"/>
        <v>1540</v>
      </c>
      <c r="E64" s="114">
        <f t="shared" si="42"/>
        <v>33590</v>
      </c>
      <c r="F64" s="115">
        <f t="shared" si="42"/>
        <v>3853600</v>
      </c>
      <c r="G64" s="116">
        <f t="shared" si="42"/>
        <v>34750</v>
      </c>
      <c r="H64" s="115">
        <f t="shared" si="42"/>
        <v>3984900</v>
      </c>
      <c r="I64" s="116">
        <f t="shared" si="42"/>
        <v>47160</v>
      </c>
      <c r="J64" s="115">
        <f t="shared" si="42"/>
        <v>5402100</v>
      </c>
      <c r="K64" s="116">
        <f t="shared" si="42"/>
        <v>41420</v>
      </c>
      <c r="L64" s="115">
        <f t="shared" si="42"/>
        <v>4818300</v>
      </c>
      <c r="M64" s="116">
        <f t="shared" si="42"/>
        <v>55310</v>
      </c>
      <c r="N64" s="115">
        <f t="shared" si="42"/>
        <v>6404400</v>
      </c>
      <c r="O64" s="116">
        <f t="shared" si="42"/>
        <v>44870</v>
      </c>
      <c r="P64" s="115">
        <f t="shared" si="42"/>
        <v>5219200</v>
      </c>
      <c r="Q64" s="116">
        <f t="shared" si="42"/>
        <v>48620</v>
      </c>
      <c r="R64" s="115">
        <f t="shared" si="42"/>
        <v>5618800</v>
      </c>
      <c r="S64" s="116">
        <f t="shared" si="42"/>
        <v>50720</v>
      </c>
      <c r="T64" s="115">
        <f t="shared" si="42"/>
        <v>5860000</v>
      </c>
      <c r="U64" s="116">
        <f t="shared" si="42"/>
        <v>64080</v>
      </c>
      <c r="V64" s="115">
        <f t="shared" si="42"/>
        <v>7305100</v>
      </c>
      <c r="W64" s="116">
        <f t="shared" si="42"/>
        <v>57300</v>
      </c>
      <c r="X64" s="115">
        <f t="shared" si="42"/>
        <v>6631400</v>
      </c>
      <c r="Y64" s="116">
        <f t="shared" si="42"/>
        <v>59720</v>
      </c>
      <c r="Z64" s="115">
        <f t="shared" si="42"/>
        <v>6944000</v>
      </c>
      <c r="AA64" s="116">
        <f t="shared" si="42"/>
        <v>65610</v>
      </c>
      <c r="AB64" s="115">
        <f t="shared" si="42"/>
        <v>7582400</v>
      </c>
      <c r="AC64" s="115">
        <f t="shared" si="42"/>
        <v>69624200</v>
      </c>
      <c r="AD64" s="117">
        <f t="shared" si="42"/>
        <v>603150</v>
      </c>
    </row>
    <row r="65" spans="2:32" s="75" customFormat="1" ht="13.5" thickBot="1">
      <c r="AC65" s="13"/>
    </row>
    <row r="66" spans="2:32" s="75" customFormat="1" ht="13.5" thickBot="1">
      <c r="B66" s="149" t="s">
        <v>165</v>
      </c>
      <c r="E66" s="221" t="s">
        <v>26</v>
      </c>
      <c r="F66" s="216"/>
      <c r="G66" s="217" t="s">
        <v>27</v>
      </c>
      <c r="H66" s="216"/>
      <c r="I66" s="215" t="s">
        <v>28</v>
      </c>
      <c r="J66" s="216"/>
      <c r="K66" s="217" t="s">
        <v>29</v>
      </c>
      <c r="L66" s="216"/>
      <c r="M66" s="215" t="s">
        <v>30</v>
      </c>
      <c r="N66" s="216"/>
      <c r="O66" s="215" t="s">
        <v>31</v>
      </c>
      <c r="P66" s="216"/>
      <c r="Q66" s="217" t="s">
        <v>32</v>
      </c>
      <c r="R66" s="216"/>
      <c r="S66" s="215" t="s">
        <v>33</v>
      </c>
      <c r="T66" s="216"/>
      <c r="U66" s="217" t="s">
        <v>34</v>
      </c>
      <c r="V66" s="216"/>
      <c r="W66" s="215" t="s">
        <v>35</v>
      </c>
      <c r="X66" s="216"/>
      <c r="Y66" s="215" t="s">
        <v>36</v>
      </c>
      <c r="Z66" s="216"/>
      <c r="AA66" s="217" t="s">
        <v>37</v>
      </c>
      <c r="AB66" s="216"/>
      <c r="AC66" s="138" t="s">
        <v>44</v>
      </c>
    </row>
    <row r="67" spans="2:32" s="75" customFormat="1">
      <c r="B67" s="148" t="s">
        <v>196</v>
      </c>
      <c r="E67" s="218"/>
      <c r="F67" s="219"/>
      <c r="G67" s="220"/>
      <c r="H67" s="219"/>
      <c r="I67" s="220"/>
      <c r="J67" s="219"/>
      <c r="K67" s="220">
        <v>1</v>
      </c>
      <c r="L67" s="219"/>
      <c r="M67" s="220"/>
      <c r="N67" s="219"/>
      <c r="O67" s="220"/>
      <c r="P67" s="219"/>
      <c r="Q67" s="220"/>
      <c r="R67" s="219"/>
      <c r="S67" s="220"/>
      <c r="T67" s="219"/>
      <c r="U67" s="220"/>
      <c r="V67" s="219"/>
      <c r="W67" s="220"/>
      <c r="X67" s="219"/>
      <c r="Y67" s="220"/>
      <c r="Z67" s="219"/>
      <c r="AA67" s="220"/>
      <c r="AB67" s="219"/>
      <c r="AC67" s="139">
        <f t="shared" ref="AC67:AC73" si="43">SUM(E67:AB67)</f>
        <v>1</v>
      </c>
    </row>
    <row r="68" spans="2:32" s="75" customFormat="1">
      <c r="B68" s="145" t="s">
        <v>197</v>
      </c>
      <c r="E68" s="214"/>
      <c r="F68" s="209"/>
      <c r="G68" s="208"/>
      <c r="H68" s="209"/>
      <c r="I68" s="208"/>
      <c r="J68" s="209"/>
      <c r="K68" s="208"/>
      <c r="L68" s="209"/>
      <c r="M68" s="208"/>
      <c r="N68" s="209"/>
      <c r="O68" s="208">
        <v>1</v>
      </c>
      <c r="P68" s="209"/>
      <c r="Q68" s="208"/>
      <c r="R68" s="209"/>
      <c r="S68" s="208"/>
      <c r="T68" s="209"/>
      <c r="U68" s="208"/>
      <c r="V68" s="209"/>
      <c r="W68" s="208"/>
      <c r="X68" s="209"/>
      <c r="Y68" s="208"/>
      <c r="Z68" s="209"/>
      <c r="AA68" s="208"/>
      <c r="AB68" s="209"/>
      <c r="AC68" s="140">
        <f t="shared" si="43"/>
        <v>1</v>
      </c>
    </row>
    <row r="69" spans="2:32" s="75" customFormat="1">
      <c r="B69" s="145" t="s">
        <v>198</v>
      </c>
      <c r="E69" s="214"/>
      <c r="F69" s="209"/>
      <c r="G69" s="208"/>
      <c r="H69" s="209"/>
      <c r="I69" s="208"/>
      <c r="J69" s="209"/>
      <c r="K69" s="208"/>
      <c r="L69" s="209"/>
      <c r="M69" s="208"/>
      <c r="N69" s="209"/>
      <c r="O69" s="208">
        <v>1</v>
      </c>
      <c r="P69" s="209"/>
      <c r="Q69" s="208"/>
      <c r="R69" s="209"/>
      <c r="S69" s="208"/>
      <c r="T69" s="209"/>
      <c r="U69" s="208"/>
      <c r="V69" s="209"/>
      <c r="W69" s="208"/>
      <c r="X69" s="209"/>
      <c r="Y69" s="208"/>
      <c r="Z69" s="209"/>
      <c r="AA69" s="208"/>
      <c r="AB69" s="209"/>
      <c r="AC69" s="140">
        <f t="shared" si="43"/>
        <v>1</v>
      </c>
    </row>
    <row r="70" spans="2:32" s="75" customFormat="1">
      <c r="B70" s="145" t="s">
        <v>199</v>
      </c>
      <c r="E70" s="214"/>
      <c r="F70" s="209"/>
      <c r="G70" s="208"/>
      <c r="H70" s="209"/>
      <c r="I70" s="208"/>
      <c r="J70" s="209"/>
      <c r="K70" s="208"/>
      <c r="L70" s="209"/>
      <c r="M70" s="208"/>
      <c r="N70" s="209"/>
      <c r="O70" s="208">
        <v>1</v>
      </c>
      <c r="P70" s="209"/>
      <c r="Q70" s="208"/>
      <c r="R70" s="209"/>
      <c r="S70" s="208"/>
      <c r="T70" s="209"/>
      <c r="U70" s="208"/>
      <c r="V70" s="209"/>
      <c r="W70" s="208"/>
      <c r="X70" s="209"/>
      <c r="Y70" s="208"/>
      <c r="Z70" s="209"/>
      <c r="AA70" s="208"/>
      <c r="AB70" s="209"/>
      <c r="AC70" s="140">
        <f t="shared" si="43"/>
        <v>1</v>
      </c>
    </row>
    <row r="71" spans="2:32" s="75" customFormat="1">
      <c r="B71" s="146" t="s">
        <v>18</v>
      </c>
      <c r="E71" s="213"/>
      <c r="F71" s="209"/>
      <c r="G71" s="209"/>
      <c r="H71" s="209"/>
      <c r="I71" s="209"/>
      <c r="J71" s="209"/>
      <c r="K71" s="208">
        <v>1</v>
      </c>
      <c r="L71" s="209"/>
      <c r="M71" s="209"/>
      <c r="N71" s="209"/>
      <c r="O71" s="208"/>
      <c r="P71" s="209"/>
      <c r="Q71" s="208"/>
      <c r="R71" s="209"/>
      <c r="S71" s="208"/>
      <c r="T71" s="209"/>
      <c r="U71" s="208"/>
      <c r="V71" s="209"/>
      <c r="W71" s="208"/>
      <c r="X71" s="209"/>
      <c r="Y71" s="208"/>
      <c r="Z71" s="209"/>
      <c r="AA71" s="208"/>
      <c r="AB71" s="209"/>
      <c r="AC71" s="140">
        <f t="shared" si="43"/>
        <v>1</v>
      </c>
    </row>
    <row r="72" spans="2:32" s="75" customFormat="1">
      <c r="B72" s="146" t="s">
        <v>20</v>
      </c>
      <c r="E72" s="213"/>
      <c r="F72" s="209"/>
      <c r="G72" s="209"/>
      <c r="H72" s="209"/>
      <c r="I72" s="209"/>
      <c r="J72" s="209"/>
      <c r="K72" s="208">
        <v>4</v>
      </c>
      <c r="L72" s="209"/>
      <c r="M72" s="209"/>
      <c r="N72" s="209"/>
      <c r="O72" s="208"/>
      <c r="P72" s="209"/>
      <c r="Q72" s="208"/>
      <c r="R72" s="209"/>
      <c r="S72" s="208"/>
      <c r="T72" s="209"/>
      <c r="U72" s="208"/>
      <c r="V72" s="209"/>
      <c r="W72" s="208"/>
      <c r="X72" s="209"/>
      <c r="Y72" s="208"/>
      <c r="Z72" s="209"/>
      <c r="AA72" s="208"/>
      <c r="AB72" s="209"/>
      <c r="AC72" s="140">
        <f t="shared" si="43"/>
        <v>4</v>
      </c>
    </row>
    <row r="73" spans="2:32" s="75" customFormat="1" ht="13" thickBot="1">
      <c r="B73" s="147" t="s">
        <v>22</v>
      </c>
      <c r="E73" s="210"/>
      <c r="F73" s="211"/>
      <c r="G73" s="211"/>
      <c r="H73" s="211"/>
      <c r="I73" s="211"/>
      <c r="J73" s="211"/>
      <c r="K73" s="212">
        <v>5</v>
      </c>
      <c r="L73" s="211"/>
      <c r="M73" s="211"/>
      <c r="N73" s="211"/>
      <c r="O73" s="212"/>
      <c r="P73" s="211"/>
      <c r="Q73" s="212"/>
      <c r="R73" s="211"/>
      <c r="S73" s="212"/>
      <c r="T73" s="211"/>
      <c r="U73" s="212"/>
      <c r="V73" s="211"/>
      <c r="W73" s="212"/>
      <c r="X73" s="211"/>
      <c r="Y73" s="212"/>
      <c r="Z73" s="211"/>
      <c r="AA73" s="212"/>
      <c r="AB73" s="211"/>
      <c r="AC73" s="141">
        <f t="shared" si="43"/>
        <v>5</v>
      </c>
    </row>
    <row r="74" spans="2:32" ht="13" thickBot="1"/>
    <row r="75" spans="2:32" s="75" customFormat="1" ht="13.5" thickBot="1">
      <c r="E75" s="222" t="s">
        <v>41</v>
      </c>
      <c r="F75" s="223"/>
      <c r="G75" s="223"/>
      <c r="H75" s="223"/>
      <c r="I75" s="223"/>
      <c r="J75" s="223"/>
      <c r="K75" s="223"/>
      <c r="L75" s="223"/>
      <c r="M75" s="223"/>
      <c r="N75" s="223"/>
      <c r="O75" s="223"/>
      <c r="P75" s="223"/>
      <c r="Q75" s="223"/>
      <c r="R75" s="223"/>
      <c r="S75" s="223"/>
      <c r="T75" s="223"/>
      <c r="U75" s="223"/>
      <c r="V75" s="223"/>
      <c r="W75" s="223"/>
      <c r="X75" s="223"/>
      <c r="Y75" s="223"/>
      <c r="Z75" s="223"/>
      <c r="AA75" s="223"/>
      <c r="AB75" s="224"/>
    </row>
    <row r="76" spans="2:32" s="75" customFormat="1" ht="13.5" thickBot="1">
      <c r="E76" s="225" t="s">
        <v>26</v>
      </c>
      <c r="F76" s="226"/>
      <c r="G76" s="225" t="s">
        <v>27</v>
      </c>
      <c r="H76" s="226"/>
      <c r="I76" s="227" t="s">
        <v>28</v>
      </c>
      <c r="J76" s="228"/>
      <c r="K76" s="225" t="s">
        <v>29</v>
      </c>
      <c r="L76" s="226"/>
      <c r="M76" s="227" t="s">
        <v>30</v>
      </c>
      <c r="N76" s="228"/>
      <c r="O76" s="225" t="s">
        <v>31</v>
      </c>
      <c r="P76" s="226"/>
      <c r="Q76" s="225" t="s">
        <v>32</v>
      </c>
      <c r="R76" s="226"/>
      <c r="S76" s="225" t="s">
        <v>33</v>
      </c>
      <c r="T76" s="226"/>
      <c r="U76" s="227" t="s">
        <v>34</v>
      </c>
      <c r="V76" s="228"/>
      <c r="W76" s="225" t="s">
        <v>35</v>
      </c>
      <c r="X76" s="226"/>
      <c r="Y76" s="225" t="s">
        <v>36</v>
      </c>
      <c r="Z76" s="226"/>
      <c r="AA76" s="225" t="s">
        <v>37</v>
      </c>
      <c r="AB76" s="226"/>
      <c r="AC76" s="23"/>
      <c r="AD76" s="23"/>
      <c r="AE76" s="23"/>
      <c r="AF76" s="23"/>
    </row>
    <row r="77" spans="2:32" s="75" customFormat="1" ht="13.5" thickBot="1">
      <c r="B77" s="288" t="s">
        <v>205</v>
      </c>
      <c r="C77" s="289" t="s">
        <v>161</v>
      </c>
      <c r="D77" s="289" t="s">
        <v>162</v>
      </c>
      <c r="E77" s="289" t="s">
        <v>203</v>
      </c>
      <c r="F77" s="289" t="s">
        <v>38</v>
      </c>
      <c r="G77" s="289" t="s">
        <v>203</v>
      </c>
      <c r="H77" s="289" t="s">
        <v>38</v>
      </c>
      <c r="I77" s="289" t="s">
        <v>203</v>
      </c>
      <c r="J77" s="289" t="s">
        <v>38</v>
      </c>
      <c r="K77" s="289" t="s">
        <v>203</v>
      </c>
      <c r="L77" s="289" t="s">
        <v>38</v>
      </c>
      <c r="M77" s="289" t="s">
        <v>203</v>
      </c>
      <c r="N77" s="289" t="s">
        <v>38</v>
      </c>
      <c r="O77" s="289" t="s">
        <v>203</v>
      </c>
      <c r="P77" s="289" t="s">
        <v>38</v>
      </c>
      <c r="Q77" s="289" t="s">
        <v>203</v>
      </c>
      <c r="R77" s="289" t="s">
        <v>38</v>
      </c>
      <c r="S77" s="289" t="s">
        <v>203</v>
      </c>
      <c r="T77" s="289" t="s">
        <v>38</v>
      </c>
      <c r="U77" s="289" t="s">
        <v>203</v>
      </c>
      <c r="V77" s="289" t="s">
        <v>38</v>
      </c>
      <c r="W77" s="289" t="s">
        <v>203</v>
      </c>
      <c r="X77" s="289" t="s">
        <v>38</v>
      </c>
      <c r="Y77" s="289" t="s">
        <v>203</v>
      </c>
      <c r="Z77" s="289" t="s">
        <v>38</v>
      </c>
      <c r="AA77" s="289" t="s">
        <v>203</v>
      </c>
      <c r="AB77" s="289" t="s">
        <v>38</v>
      </c>
      <c r="AC77" s="289" t="s">
        <v>163</v>
      </c>
      <c r="AD77" s="290" t="s">
        <v>164</v>
      </c>
      <c r="AE77" s="2"/>
      <c r="AF77" s="2"/>
    </row>
    <row r="78" spans="2:32" s="75" customFormat="1">
      <c r="B78" s="281" t="s">
        <v>166</v>
      </c>
      <c r="C78" s="282">
        <v>54</v>
      </c>
      <c r="D78" s="283">
        <v>80</v>
      </c>
      <c r="E78" s="284">
        <v>17100</v>
      </c>
      <c r="F78" s="285">
        <f t="shared" ref="F78:F88" si="44">$D78*E78</f>
        <v>1368000</v>
      </c>
      <c r="G78" s="284">
        <v>17800</v>
      </c>
      <c r="H78" s="285">
        <f t="shared" ref="H78:H88" si="45">$D78*G78</f>
        <v>1424000</v>
      </c>
      <c r="I78" s="284">
        <v>24100</v>
      </c>
      <c r="J78" s="285">
        <f t="shared" ref="J78:J88" si="46">$D78*I78</f>
        <v>1928000</v>
      </c>
      <c r="K78" s="284">
        <v>26500</v>
      </c>
      <c r="L78" s="285">
        <f t="shared" ref="L78:L88" si="47">$D78*K78</f>
        <v>2120000</v>
      </c>
      <c r="M78" s="284">
        <v>33600</v>
      </c>
      <c r="N78" s="285">
        <f t="shared" ref="N78:N88" si="48">$D78*M78</f>
        <v>2688000</v>
      </c>
      <c r="O78" s="284">
        <v>31500</v>
      </c>
      <c r="P78" s="285">
        <f t="shared" ref="P78:P88" si="49">$D78*O78</f>
        <v>2520000</v>
      </c>
      <c r="Q78" s="284">
        <v>34500</v>
      </c>
      <c r="R78" s="285">
        <f t="shared" ref="R78:R88" si="50">$D78*Q78</f>
        <v>2760000</v>
      </c>
      <c r="S78" s="284">
        <v>37600</v>
      </c>
      <c r="T78" s="285">
        <f t="shared" ref="T78:T88" si="51">$D78*S78</f>
        <v>3008000</v>
      </c>
      <c r="U78" s="284">
        <v>41500</v>
      </c>
      <c r="V78" s="285">
        <f t="shared" ref="V78:V88" si="52">$D78*U78</f>
        <v>3320000</v>
      </c>
      <c r="W78" s="284">
        <v>39500</v>
      </c>
      <c r="X78" s="285">
        <f t="shared" ref="X78:X88" si="53">$D78*W78</f>
        <v>3160000</v>
      </c>
      <c r="Y78" s="284">
        <v>43500</v>
      </c>
      <c r="Z78" s="285">
        <f t="shared" ref="Z78:Z88" si="54">$D78*Y78</f>
        <v>3480000</v>
      </c>
      <c r="AA78" s="284">
        <v>46700</v>
      </c>
      <c r="AB78" s="285">
        <f t="shared" ref="AB78:AB88" si="55">$D78*AA78</f>
        <v>3736000</v>
      </c>
      <c r="AC78" s="286">
        <f t="shared" ref="AC78:AC88" si="56">AB78+Z78+X78+V78+T78+R78+P78+N78+L78+J78+H78+F78</f>
        <v>31512000</v>
      </c>
      <c r="AD78" s="287">
        <f t="shared" ref="AD78:AD88" si="57">AA78+Y78+W78+U78+S78+Q78+O78+M78+K78+I78+E78+G78</f>
        <v>393900</v>
      </c>
      <c r="AE78" s="2"/>
      <c r="AF78" s="2"/>
    </row>
    <row r="79" spans="2:32" s="75" customFormat="1">
      <c r="B79" s="135" t="s">
        <v>167</v>
      </c>
      <c r="C79" s="270">
        <v>26</v>
      </c>
      <c r="D79" s="271">
        <v>125</v>
      </c>
      <c r="E79" s="272">
        <v>13500</v>
      </c>
      <c r="F79" s="273">
        <f t="shared" si="44"/>
        <v>1687500</v>
      </c>
      <c r="G79" s="272">
        <v>14100</v>
      </c>
      <c r="H79" s="273">
        <f t="shared" si="45"/>
        <v>1762500</v>
      </c>
      <c r="I79" s="272">
        <v>15500</v>
      </c>
      <c r="J79" s="273">
        <f t="shared" si="46"/>
        <v>1937500</v>
      </c>
      <c r="K79" s="272">
        <v>14500</v>
      </c>
      <c r="L79" s="273">
        <f t="shared" si="47"/>
        <v>1812500</v>
      </c>
      <c r="M79" s="272">
        <v>17500</v>
      </c>
      <c r="N79" s="273">
        <f t="shared" si="48"/>
        <v>2187500</v>
      </c>
      <c r="O79" s="272">
        <v>16500</v>
      </c>
      <c r="P79" s="273">
        <f t="shared" si="49"/>
        <v>2062500</v>
      </c>
      <c r="Q79" s="272">
        <v>17500</v>
      </c>
      <c r="R79" s="273">
        <f t="shared" si="50"/>
        <v>2187500</v>
      </c>
      <c r="S79" s="272">
        <v>18600</v>
      </c>
      <c r="T79" s="273">
        <f t="shared" si="51"/>
        <v>2325000</v>
      </c>
      <c r="U79" s="272">
        <v>21500</v>
      </c>
      <c r="V79" s="273">
        <f t="shared" si="52"/>
        <v>2687500</v>
      </c>
      <c r="W79" s="272">
        <v>19500</v>
      </c>
      <c r="X79" s="273">
        <f t="shared" si="53"/>
        <v>2437500</v>
      </c>
      <c r="Y79" s="272">
        <v>21500</v>
      </c>
      <c r="Z79" s="273">
        <f t="shared" si="54"/>
        <v>2687500</v>
      </c>
      <c r="AA79" s="272">
        <v>24500</v>
      </c>
      <c r="AB79" s="273">
        <f t="shared" si="55"/>
        <v>3062500</v>
      </c>
      <c r="AC79" s="274">
        <f t="shared" si="56"/>
        <v>26837500</v>
      </c>
      <c r="AD79" s="275">
        <f t="shared" si="57"/>
        <v>214700</v>
      </c>
      <c r="AE79" s="2"/>
      <c r="AF79" s="2"/>
    </row>
    <row r="80" spans="2:32" s="75" customFormat="1" ht="13" thickBot="1">
      <c r="B80" s="291" t="s">
        <v>168</v>
      </c>
      <c r="C80" s="292">
        <v>14</v>
      </c>
      <c r="D80" s="293">
        <v>195</v>
      </c>
      <c r="E80" s="294">
        <v>4400</v>
      </c>
      <c r="F80" s="295">
        <f t="shared" si="44"/>
        <v>858000</v>
      </c>
      <c r="G80" s="294">
        <v>5500</v>
      </c>
      <c r="H80" s="295">
        <f t="shared" si="45"/>
        <v>1072500</v>
      </c>
      <c r="I80" s="294">
        <v>9100</v>
      </c>
      <c r="J80" s="295">
        <f t="shared" si="46"/>
        <v>1774500</v>
      </c>
      <c r="K80" s="294">
        <v>6900</v>
      </c>
      <c r="L80" s="295">
        <f t="shared" si="47"/>
        <v>1345500</v>
      </c>
      <c r="M80" s="294">
        <v>7900</v>
      </c>
      <c r="N80" s="295">
        <f t="shared" si="48"/>
        <v>1540500</v>
      </c>
      <c r="O80" s="294">
        <v>7900</v>
      </c>
      <c r="P80" s="295">
        <f t="shared" si="49"/>
        <v>1540500</v>
      </c>
      <c r="Q80" s="294">
        <v>8300</v>
      </c>
      <c r="R80" s="295">
        <f t="shared" si="50"/>
        <v>1618500</v>
      </c>
      <c r="S80" s="294">
        <v>9100</v>
      </c>
      <c r="T80" s="295">
        <f t="shared" si="51"/>
        <v>1774500</v>
      </c>
      <c r="U80" s="294">
        <v>11500</v>
      </c>
      <c r="V80" s="295">
        <f t="shared" si="52"/>
        <v>2242500</v>
      </c>
      <c r="W80" s="294">
        <v>9700</v>
      </c>
      <c r="X80" s="295">
        <f t="shared" si="53"/>
        <v>1891500</v>
      </c>
      <c r="Y80" s="294">
        <v>10500</v>
      </c>
      <c r="Z80" s="295">
        <f t="shared" si="54"/>
        <v>2047500</v>
      </c>
      <c r="AA80" s="294">
        <v>11600</v>
      </c>
      <c r="AB80" s="295">
        <f t="shared" si="55"/>
        <v>2262000</v>
      </c>
      <c r="AC80" s="335">
        <f t="shared" si="56"/>
        <v>19968000</v>
      </c>
      <c r="AD80" s="336">
        <f t="shared" si="57"/>
        <v>102400</v>
      </c>
      <c r="AE80" s="2"/>
      <c r="AF80" s="2"/>
    </row>
    <row r="81" spans="2:32" s="137" customFormat="1" ht="13" thickBot="1">
      <c r="B81" s="299"/>
      <c r="C81" s="300"/>
      <c r="D81" s="300"/>
      <c r="E81" s="300"/>
      <c r="F81" s="300"/>
      <c r="G81" s="300"/>
      <c r="H81" s="300"/>
      <c r="I81" s="300"/>
      <c r="J81" s="300"/>
      <c r="K81" s="300"/>
      <c r="L81" s="300"/>
      <c r="M81" s="300"/>
      <c r="N81" s="300"/>
      <c r="O81" s="300"/>
      <c r="P81" s="300"/>
      <c r="Q81" s="300"/>
      <c r="R81" s="300"/>
      <c r="S81" s="300"/>
      <c r="T81" s="300"/>
      <c r="U81" s="300"/>
      <c r="V81" s="300"/>
      <c r="W81" s="300"/>
      <c r="X81" s="300"/>
      <c r="Y81" s="300"/>
      <c r="Z81" s="300"/>
      <c r="AA81" s="300"/>
      <c r="AB81" s="300"/>
      <c r="AC81" s="300"/>
      <c r="AD81" s="301"/>
      <c r="AE81" s="2"/>
      <c r="AF81" s="2"/>
    </row>
    <row r="82" spans="2:32" s="137" customFormat="1" ht="13.5" thickBot="1">
      <c r="B82" s="302" t="s">
        <v>50</v>
      </c>
      <c r="C82" s="332"/>
      <c r="D82" s="303"/>
      <c r="E82" s="296" t="s">
        <v>204</v>
      </c>
      <c r="F82" s="297" t="s">
        <v>38</v>
      </c>
      <c r="G82" s="297" t="s">
        <v>204</v>
      </c>
      <c r="H82" s="297" t="s">
        <v>38</v>
      </c>
      <c r="I82" s="297" t="s">
        <v>204</v>
      </c>
      <c r="J82" s="297" t="s">
        <v>38</v>
      </c>
      <c r="K82" s="297" t="s">
        <v>204</v>
      </c>
      <c r="L82" s="297" t="s">
        <v>38</v>
      </c>
      <c r="M82" s="297" t="s">
        <v>204</v>
      </c>
      <c r="N82" s="297" t="s">
        <v>38</v>
      </c>
      <c r="O82" s="297" t="s">
        <v>204</v>
      </c>
      <c r="P82" s="297" t="s">
        <v>38</v>
      </c>
      <c r="Q82" s="297" t="s">
        <v>204</v>
      </c>
      <c r="R82" s="297" t="s">
        <v>38</v>
      </c>
      <c r="S82" s="297" t="s">
        <v>204</v>
      </c>
      <c r="T82" s="297" t="s">
        <v>38</v>
      </c>
      <c r="U82" s="297" t="s">
        <v>204</v>
      </c>
      <c r="V82" s="297" t="s">
        <v>38</v>
      </c>
      <c r="W82" s="297" t="s">
        <v>204</v>
      </c>
      <c r="X82" s="297" t="s">
        <v>38</v>
      </c>
      <c r="Y82" s="297" t="s">
        <v>204</v>
      </c>
      <c r="Z82" s="297" t="s">
        <v>38</v>
      </c>
      <c r="AA82" s="297" t="s">
        <v>204</v>
      </c>
      <c r="AB82" s="298" t="s">
        <v>38</v>
      </c>
      <c r="AC82" s="333"/>
      <c r="AD82" s="334"/>
      <c r="AE82" s="2"/>
      <c r="AF82" s="2"/>
    </row>
    <row r="83" spans="2:32" s="75" customFormat="1">
      <c r="B83" s="281" t="s">
        <v>179</v>
      </c>
      <c r="C83" s="282">
        <v>1</v>
      </c>
      <c r="D83" s="283">
        <v>300</v>
      </c>
      <c r="E83" s="284">
        <v>850</v>
      </c>
      <c r="F83" s="285">
        <f t="shared" si="44"/>
        <v>255000</v>
      </c>
      <c r="G83" s="284">
        <v>890</v>
      </c>
      <c r="H83" s="285">
        <f t="shared" si="45"/>
        <v>267000</v>
      </c>
      <c r="I83" s="284">
        <v>910</v>
      </c>
      <c r="J83" s="285">
        <f t="shared" si="46"/>
        <v>273000</v>
      </c>
      <c r="K83" s="284">
        <v>950</v>
      </c>
      <c r="L83" s="285">
        <f t="shared" si="47"/>
        <v>285000</v>
      </c>
      <c r="M83" s="284">
        <v>960</v>
      </c>
      <c r="N83" s="285">
        <f t="shared" si="48"/>
        <v>288000</v>
      </c>
      <c r="O83" s="284">
        <v>990</v>
      </c>
      <c r="P83" s="285">
        <f t="shared" si="49"/>
        <v>297000</v>
      </c>
      <c r="Q83" s="284">
        <v>170</v>
      </c>
      <c r="R83" s="285">
        <f t="shared" si="50"/>
        <v>51000</v>
      </c>
      <c r="S83" s="284">
        <v>160</v>
      </c>
      <c r="T83" s="285">
        <f t="shared" si="51"/>
        <v>48000</v>
      </c>
      <c r="U83" s="284">
        <v>170</v>
      </c>
      <c r="V83" s="285">
        <f t="shared" si="52"/>
        <v>51000</v>
      </c>
      <c r="W83" s="284">
        <v>370</v>
      </c>
      <c r="X83" s="285">
        <f t="shared" si="53"/>
        <v>111000</v>
      </c>
      <c r="Y83" s="284">
        <v>385</v>
      </c>
      <c r="Z83" s="285">
        <f t="shared" si="54"/>
        <v>115500</v>
      </c>
      <c r="AA83" s="284">
        <v>300</v>
      </c>
      <c r="AB83" s="285">
        <f t="shared" si="55"/>
        <v>90000</v>
      </c>
      <c r="AC83" s="274">
        <f t="shared" si="56"/>
        <v>2131500</v>
      </c>
      <c r="AD83" s="275">
        <f t="shared" si="57"/>
        <v>7105</v>
      </c>
      <c r="AE83" s="2"/>
      <c r="AF83" s="2"/>
    </row>
    <row r="84" spans="2:32" s="75" customFormat="1">
      <c r="B84" s="135" t="s">
        <v>181</v>
      </c>
      <c r="C84" s="270">
        <v>1</v>
      </c>
      <c r="D84" s="271">
        <v>160</v>
      </c>
      <c r="E84" s="272">
        <v>750</v>
      </c>
      <c r="F84" s="273">
        <f t="shared" si="44"/>
        <v>120000</v>
      </c>
      <c r="G84" s="272">
        <v>185</v>
      </c>
      <c r="H84" s="273">
        <f t="shared" si="45"/>
        <v>29600</v>
      </c>
      <c r="I84" s="272">
        <v>150</v>
      </c>
      <c r="J84" s="273">
        <f t="shared" si="46"/>
        <v>24000</v>
      </c>
      <c r="K84" s="272">
        <v>170</v>
      </c>
      <c r="L84" s="273">
        <f t="shared" si="47"/>
        <v>27200</v>
      </c>
      <c r="M84" s="272">
        <v>190</v>
      </c>
      <c r="N84" s="273">
        <f t="shared" si="48"/>
        <v>30400</v>
      </c>
      <c r="O84" s="272">
        <v>160</v>
      </c>
      <c r="P84" s="273">
        <f t="shared" si="49"/>
        <v>25600</v>
      </c>
      <c r="Q84" s="272">
        <v>260</v>
      </c>
      <c r="R84" s="273">
        <f t="shared" si="50"/>
        <v>41600</v>
      </c>
      <c r="S84" s="272">
        <v>140</v>
      </c>
      <c r="T84" s="273">
        <f t="shared" si="51"/>
        <v>22400</v>
      </c>
      <c r="U84" s="272">
        <v>190</v>
      </c>
      <c r="V84" s="273">
        <f t="shared" si="52"/>
        <v>30400</v>
      </c>
      <c r="W84" s="272">
        <v>260</v>
      </c>
      <c r="X84" s="273">
        <f t="shared" si="53"/>
        <v>41600</v>
      </c>
      <c r="Y84" s="272">
        <v>300</v>
      </c>
      <c r="Z84" s="273">
        <f t="shared" si="54"/>
        <v>48000</v>
      </c>
      <c r="AA84" s="272">
        <v>380</v>
      </c>
      <c r="AB84" s="273">
        <f t="shared" si="55"/>
        <v>60800</v>
      </c>
      <c r="AC84" s="274">
        <f t="shared" si="56"/>
        <v>501600</v>
      </c>
      <c r="AD84" s="275">
        <f t="shared" si="57"/>
        <v>3135</v>
      </c>
      <c r="AE84" s="2"/>
      <c r="AF84" s="2"/>
    </row>
    <row r="85" spans="2:32" s="75" customFormat="1">
      <c r="B85" s="135" t="s">
        <v>180</v>
      </c>
      <c r="C85" s="270">
        <v>1</v>
      </c>
      <c r="D85" s="271">
        <v>160</v>
      </c>
      <c r="E85" s="272">
        <v>850</v>
      </c>
      <c r="F85" s="273">
        <f t="shared" si="44"/>
        <v>136000</v>
      </c>
      <c r="G85" s="272">
        <v>170</v>
      </c>
      <c r="H85" s="273">
        <f t="shared" si="45"/>
        <v>27200</v>
      </c>
      <c r="I85" s="272">
        <v>110</v>
      </c>
      <c r="J85" s="273">
        <f t="shared" si="46"/>
        <v>17600</v>
      </c>
      <c r="K85" s="272">
        <v>130</v>
      </c>
      <c r="L85" s="273">
        <f t="shared" si="47"/>
        <v>20800</v>
      </c>
      <c r="M85" s="272">
        <v>170</v>
      </c>
      <c r="N85" s="273">
        <f t="shared" si="48"/>
        <v>27200</v>
      </c>
      <c r="O85" s="272">
        <v>160</v>
      </c>
      <c r="P85" s="273">
        <f t="shared" si="49"/>
        <v>25600</v>
      </c>
      <c r="Q85" s="272">
        <v>180</v>
      </c>
      <c r="R85" s="273">
        <f t="shared" si="50"/>
        <v>28800</v>
      </c>
      <c r="S85" s="272">
        <v>170</v>
      </c>
      <c r="T85" s="273">
        <f t="shared" si="51"/>
        <v>27200</v>
      </c>
      <c r="U85" s="272">
        <v>170</v>
      </c>
      <c r="V85" s="273">
        <f t="shared" si="52"/>
        <v>27200</v>
      </c>
      <c r="W85" s="272">
        <v>220</v>
      </c>
      <c r="X85" s="273">
        <f t="shared" si="53"/>
        <v>35200</v>
      </c>
      <c r="Y85" s="272">
        <v>240</v>
      </c>
      <c r="Z85" s="273">
        <f t="shared" si="54"/>
        <v>38400</v>
      </c>
      <c r="AA85" s="272">
        <v>300</v>
      </c>
      <c r="AB85" s="273">
        <f t="shared" si="55"/>
        <v>48000</v>
      </c>
      <c r="AC85" s="274">
        <f t="shared" si="56"/>
        <v>459200</v>
      </c>
      <c r="AD85" s="275">
        <f t="shared" si="57"/>
        <v>2870</v>
      </c>
      <c r="AE85" s="2"/>
      <c r="AF85" s="2"/>
    </row>
    <row r="86" spans="2:32" s="75" customFormat="1">
      <c r="B86" s="135" t="s">
        <v>182</v>
      </c>
      <c r="C86" s="270">
        <v>1</v>
      </c>
      <c r="D86" s="271">
        <v>360</v>
      </c>
      <c r="E86" s="272">
        <v>430</v>
      </c>
      <c r="F86" s="273">
        <f t="shared" si="44"/>
        <v>154800</v>
      </c>
      <c r="G86" s="272">
        <v>100</v>
      </c>
      <c r="H86" s="273">
        <f t="shared" si="45"/>
        <v>36000</v>
      </c>
      <c r="I86" s="272">
        <v>110</v>
      </c>
      <c r="J86" s="273">
        <f t="shared" si="46"/>
        <v>39600</v>
      </c>
      <c r="K86" s="272">
        <v>100</v>
      </c>
      <c r="L86" s="273">
        <f t="shared" si="47"/>
        <v>36000</v>
      </c>
      <c r="M86" s="272">
        <v>150</v>
      </c>
      <c r="N86" s="273">
        <f t="shared" si="48"/>
        <v>54000</v>
      </c>
      <c r="O86" s="272">
        <v>160</v>
      </c>
      <c r="P86" s="273">
        <f t="shared" si="49"/>
        <v>57600</v>
      </c>
      <c r="Q86" s="272">
        <v>180</v>
      </c>
      <c r="R86" s="273">
        <f t="shared" si="50"/>
        <v>64800</v>
      </c>
      <c r="S86" s="272">
        <v>170</v>
      </c>
      <c r="T86" s="273">
        <f t="shared" si="51"/>
        <v>61200</v>
      </c>
      <c r="U86" s="272">
        <v>170</v>
      </c>
      <c r="V86" s="273">
        <f t="shared" si="52"/>
        <v>61200</v>
      </c>
      <c r="W86" s="272">
        <v>190</v>
      </c>
      <c r="X86" s="273">
        <f t="shared" si="53"/>
        <v>68400</v>
      </c>
      <c r="Y86" s="272">
        <v>200</v>
      </c>
      <c r="Z86" s="273">
        <f t="shared" si="54"/>
        <v>72000</v>
      </c>
      <c r="AA86" s="272">
        <v>250</v>
      </c>
      <c r="AB86" s="273">
        <f t="shared" si="55"/>
        <v>90000</v>
      </c>
      <c r="AC86" s="274">
        <f t="shared" si="56"/>
        <v>795600</v>
      </c>
      <c r="AD86" s="275">
        <f t="shared" si="57"/>
        <v>2210</v>
      </c>
      <c r="AE86" s="2"/>
      <c r="AF86" s="2"/>
    </row>
    <row r="87" spans="2:32" s="75" customFormat="1">
      <c r="B87" s="135" t="s">
        <v>183</v>
      </c>
      <c r="C87" s="270">
        <v>1</v>
      </c>
      <c r="D87" s="271">
        <v>80</v>
      </c>
      <c r="E87" s="272">
        <v>450</v>
      </c>
      <c r="F87" s="273">
        <f t="shared" si="44"/>
        <v>36000</v>
      </c>
      <c r="G87" s="272">
        <v>70</v>
      </c>
      <c r="H87" s="273">
        <f t="shared" si="45"/>
        <v>5600</v>
      </c>
      <c r="I87" s="272">
        <v>110</v>
      </c>
      <c r="J87" s="273">
        <f t="shared" si="46"/>
        <v>8800</v>
      </c>
      <c r="K87" s="272">
        <v>90</v>
      </c>
      <c r="L87" s="273">
        <f t="shared" si="47"/>
        <v>7200</v>
      </c>
      <c r="M87" s="272">
        <v>135</v>
      </c>
      <c r="N87" s="273">
        <f t="shared" si="48"/>
        <v>10800</v>
      </c>
      <c r="O87" s="272">
        <v>110</v>
      </c>
      <c r="P87" s="273">
        <f t="shared" si="49"/>
        <v>8800</v>
      </c>
      <c r="Q87" s="272">
        <v>120</v>
      </c>
      <c r="R87" s="273">
        <f t="shared" si="50"/>
        <v>9600</v>
      </c>
      <c r="S87" s="272">
        <v>130</v>
      </c>
      <c r="T87" s="273">
        <f t="shared" si="51"/>
        <v>10400</v>
      </c>
      <c r="U87" s="272">
        <v>170</v>
      </c>
      <c r="V87" s="273">
        <f t="shared" si="52"/>
        <v>13600</v>
      </c>
      <c r="W87" s="272">
        <v>140</v>
      </c>
      <c r="X87" s="273">
        <f t="shared" si="53"/>
        <v>11200</v>
      </c>
      <c r="Y87" s="272">
        <v>150</v>
      </c>
      <c r="Z87" s="273">
        <f t="shared" si="54"/>
        <v>12000</v>
      </c>
      <c r="AA87" s="272">
        <v>180</v>
      </c>
      <c r="AB87" s="273">
        <f t="shared" si="55"/>
        <v>14400</v>
      </c>
      <c r="AC87" s="274">
        <f t="shared" si="56"/>
        <v>148400</v>
      </c>
      <c r="AD87" s="275">
        <f t="shared" si="57"/>
        <v>1855</v>
      </c>
      <c r="AE87" s="2"/>
      <c r="AF87" s="2"/>
    </row>
    <row r="88" spans="2:32" s="75" customFormat="1">
      <c r="B88" s="135" t="s">
        <v>184</v>
      </c>
      <c r="C88" s="270">
        <v>1</v>
      </c>
      <c r="D88" s="271">
        <v>80</v>
      </c>
      <c r="E88" s="272">
        <v>500</v>
      </c>
      <c r="F88" s="273">
        <f t="shared" si="44"/>
        <v>40000</v>
      </c>
      <c r="G88" s="272">
        <v>120</v>
      </c>
      <c r="H88" s="273">
        <f t="shared" si="45"/>
        <v>9600</v>
      </c>
      <c r="I88" s="272">
        <v>210</v>
      </c>
      <c r="J88" s="273">
        <f t="shared" si="46"/>
        <v>16800</v>
      </c>
      <c r="K88" s="272">
        <v>180</v>
      </c>
      <c r="L88" s="273">
        <f t="shared" si="47"/>
        <v>14400</v>
      </c>
      <c r="M88" s="272">
        <v>250</v>
      </c>
      <c r="N88" s="273">
        <f t="shared" si="48"/>
        <v>20000</v>
      </c>
      <c r="O88" s="272">
        <v>140</v>
      </c>
      <c r="P88" s="273">
        <f t="shared" si="49"/>
        <v>11200</v>
      </c>
      <c r="Q88" s="272">
        <v>150</v>
      </c>
      <c r="R88" s="273">
        <f t="shared" si="50"/>
        <v>12000</v>
      </c>
      <c r="S88" s="272">
        <v>160</v>
      </c>
      <c r="T88" s="273">
        <f t="shared" si="51"/>
        <v>12800</v>
      </c>
      <c r="U88" s="272">
        <v>190</v>
      </c>
      <c r="V88" s="273">
        <f t="shared" si="52"/>
        <v>15200</v>
      </c>
      <c r="W88" s="272">
        <v>150</v>
      </c>
      <c r="X88" s="273">
        <f t="shared" si="53"/>
        <v>12000</v>
      </c>
      <c r="Y88" s="272">
        <v>160</v>
      </c>
      <c r="Z88" s="273">
        <f t="shared" si="54"/>
        <v>12800</v>
      </c>
      <c r="AA88" s="272">
        <v>170</v>
      </c>
      <c r="AB88" s="273">
        <f t="shared" si="55"/>
        <v>13600</v>
      </c>
      <c r="AC88" s="274">
        <f t="shared" si="56"/>
        <v>190400</v>
      </c>
      <c r="AD88" s="275">
        <f t="shared" si="57"/>
        <v>2380</v>
      </c>
      <c r="AE88" s="2"/>
      <c r="AF88" s="2"/>
    </row>
    <row r="89" spans="2:32" s="75" customFormat="1" ht="13.5" thickBot="1">
      <c r="B89" s="276" t="s">
        <v>44</v>
      </c>
      <c r="C89" s="277">
        <f>SUM(C78:C88)</f>
        <v>100</v>
      </c>
      <c r="D89" s="278">
        <f>SUM(D78:D88)</f>
        <v>1540</v>
      </c>
      <c r="E89" s="279">
        <f>SUM(E78:E88)</f>
        <v>38830</v>
      </c>
      <c r="F89" s="278">
        <f>SUM(F78:F88)</f>
        <v>4655300</v>
      </c>
      <c r="G89" s="279">
        <f>SUM(G78:G88)</f>
        <v>38935</v>
      </c>
      <c r="H89" s="278">
        <f>SUM(H78:H88)</f>
        <v>4634000</v>
      </c>
      <c r="I89" s="279">
        <f>SUM(I78:I88)</f>
        <v>50300</v>
      </c>
      <c r="J89" s="278">
        <f>SUM(J78:J88)</f>
        <v>6019800</v>
      </c>
      <c r="K89" s="279">
        <f>SUM(K78:K88)</f>
        <v>49520</v>
      </c>
      <c r="L89" s="278">
        <f>SUM(L78:L88)</f>
        <v>5668600</v>
      </c>
      <c r="M89" s="279">
        <f>SUM(M78:M88)</f>
        <v>60855</v>
      </c>
      <c r="N89" s="278">
        <f>SUM(N78:N88)</f>
        <v>6846400</v>
      </c>
      <c r="O89" s="279">
        <f>SUM(O78:O88)</f>
        <v>57620</v>
      </c>
      <c r="P89" s="278">
        <f>SUM(P78:P88)</f>
        <v>6548800</v>
      </c>
      <c r="Q89" s="279">
        <f>SUM(Q78:Q88)</f>
        <v>61360</v>
      </c>
      <c r="R89" s="278">
        <f>SUM(R78:R88)</f>
        <v>6773800</v>
      </c>
      <c r="S89" s="279">
        <f>SUM(S78:S88)</f>
        <v>66230</v>
      </c>
      <c r="T89" s="278">
        <f>SUM(T78:T88)</f>
        <v>7289500</v>
      </c>
      <c r="U89" s="279">
        <f>SUM(U78:U88)</f>
        <v>75560</v>
      </c>
      <c r="V89" s="278">
        <f>SUM(V78:V88)</f>
        <v>8448600</v>
      </c>
      <c r="W89" s="279">
        <f>SUM(W78:W88)</f>
        <v>70030</v>
      </c>
      <c r="X89" s="278">
        <f>SUM(X78:X88)</f>
        <v>7768400</v>
      </c>
      <c r="Y89" s="279">
        <f>SUM(Y78:Y88)</f>
        <v>76935</v>
      </c>
      <c r="Z89" s="278">
        <f>SUM(Z78:Z88)</f>
        <v>8513700</v>
      </c>
      <c r="AA89" s="279">
        <f>SUM(AA78:AA88)</f>
        <v>84380</v>
      </c>
      <c r="AB89" s="278">
        <f>SUM(AB78:AB88)</f>
        <v>9377300</v>
      </c>
      <c r="AC89" s="278">
        <f>SUM(AC78:AC88)</f>
        <v>82544200</v>
      </c>
      <c r="AD89" s="280">
        <f>SUM(AD78:AD88)</f>
        <v>730555</v>
      </c>
    </row>
    <row r="90" spans="2:32" ht="13" thickBot="1"/>
    <row r="91" spans="2:32" s="75" customFormat="1" ht="13.5" thickBot="1">
      <c r="B91" s="149" t="s">
        <v>165</v>
      </c>
      <c r="E91" s="221" t="s">
        <v>26</v>
      </c>
      <c r="F91" s="216"/>
      <c r="G91" s="217" t="s">
        <v>27</v>
      </c>
      <c r="H91" s="216"/>
      <c r="I91" s="215" t="s">
        <v>28</v>
      </c>
      <c r="J91" s="216"/>
      <c r="K91" s="217" t="s">
        <v>29</v>
      </c>
      <c r="L91" s="216"/>
      <c r="M91" s="215" t="s">
        <v>30</v>
      </c>
      <c r="N91" s="216"/>
      <c r="O91" s="215" t="s">
        <v>31</v>
      </c>
      <c r="P91" s="216"/>
      <c r="Q91" s="217" t="s">
        <v>32</v>
      </c>
      <c r="R91" s="216"/>
      <c r="S91" s="215" t="s">
        <v>33</v>
      </c>
      <c r="T91" s="216"/>
      <c r="U91" s="217" t="s">
        <v>34</v>
      </c>
      <c r="V91" s="216"/>
      <c r="W91" s="215" t="s">
        <v>35</v>
      </c>
      <c r="X91" s="216"/>
      <c r="Y91" s="215" t="s">
        <v>36</v>
      </c>
      <c r="Z91" s="216"/>
      <c r="AA91" s="217" t="s">
        <v>37</v>
      </c>
      <c r="AB91" s="216"/>
      <c r="AC91" s="138" t="s">
        <v>44</v>
      </c>
    </row>
    <row r="92" spans="2:32" s="75" customFormat="1">
      <c r="B92" s="148" t="s">
        <v>200</v>
      </c>
      <c r="E92" s="218"/>
      <c r="F92" s="219"/>
      <c r="G92" s="220"/>
      <c r="H92" s="219"/>
      <c r="I92" s="220"/>
      <c r="J92" s="219"/>
      <c r="K92" s="220">
        <v>1</v>
      </c>
      <c r="L92" s="219"/>
      <c r="M92" s="220"/>
      <c r="N92" s="219"/>
      <c r="O92" s="220"/>
      <c r="P92" s="219"/>
      <c r="Q92" s="220"/>
      <c r="R92" s="219"/>
      <c r="S92" s="220"/>
      <c r="T92" s="219"/>
      <c r="U92" s="220"/>
      <c r="V92" s="219"/>
      <c r="W92" s="220"/>
      <c r="X92" s="219"/>
      <c r="Y92" s="220"/>
      <c r="Z92" s="219"/>
      <c r="AA92" s="220"/>
      <c r="AB92" s="219"/>
      <c r="AC92" s="139">
        <f t="shared" ref="AC92:AC96" si="58">SUM(E92:AB92)</f>
        <v>1</v>
      </c>
    </row>
    <row r="93" spans="2:32" s="75" customFormat="1">
      <c r="B93" s="145" t="s">
        <v>201</v>
      </c>
      <c r="E93" s="214"/>
      <c r="F93" s="209"/>
      <c r="G93" s="208"/>
      <c r="H93" s="209"/>
      <c r="I93" s="208"/>
      <c r="J93" s="209"/>
      <c r="K93" s="208"/>
      <c r="L93" s="209"/>
      <c r="M93" s="208"/>
      <c r="N93" s="209"/>
      <c r="O93" s="208">
        <v>1</v>
      </c>
      <c r="P93" s="209"/>
      <c r="Q93" s="208"/>
      <c r="R93" s="209"/>
      <c r="S93" s="208"/>
      <c r="T93" s="209"/>
      <c r="U93" s="208"/>
      <c r="V93" s="209"/>
      <c r="W93" s="208"/>
      <c r="X93" s="209"/>
      <c r="Y93" s="208"/>
      <c r="Z93" s="209"/>
      <c r="AA93" s="208"/>
      <c r="AB93" s="209"/>
      <c r="AC93" s="140">
        <f t="shared" si="58"/>
        <v>1</v>
      </c>
    </row>
    <row r="94" spans="2:32" s="75" customFormat="1">
      <c r="B94" s="145" t="s">
        <v>199</v>
      </c>
      <c r="E94" s="214"/>
      <c r="F94" s="209"/>
      <c r="G94" s="208"/>
      <c r="H94" s="209"/>
      <c r="I94" s="208"/>
      <c r="J94" s="209"/>
      <c r="K94" s="208"/>
      <c r="L94" s="209"/>
      <c r="M94" s="208"/>
      <c r="N94" s="209"/>
      <c r="O94" s="208">
        <v>1</v>
      </c>
      <c r="P94" s="209"/>
      <c r="Q94" s="208"/>
      <c r="R94" s="209"/>
      <c r="S94" s="208"/>
      <c r="T94" s="209"/>
      <c r="U94" s="208"/>
      <c r="V94" s="209"/>
      <c r="W94" s="208"/>
      <c r="X94" s="209"/>
      <c r="Y94" s="208"/>
      <c r="Z94" s="209"/>
      <c r="AA94" s="208"/>
      <c r="AB94" s="209"/>
      <c r="AC94" s="140">
        <f t="shared" si="58"/>
        <v>1</v>
      </c>
    </row>
    <row r="95" spans="2:32" s="75" customFormat="1">
      <c r="B95" s="146" t="s">
        <v>20</v>
      </c>
      <c r="E95" s="213"/>
      <c r="F95" s="209"/>
      <c r="G95" s="209"/>
      <c r="H95" s="209"/>
      <c r="I95" s="209"/>
      <c r="J95" s="209"/>
      <c r="K95" s="208">
        <v>3</v>
      </c>
      <c r="L95" s="209"/>
      <c r="M95" s="209"/>
      <c r="N95" s="209"/>
      <c r="O95" s="208"/>
      <c r="P95" s="209"/>
      <c r="Q95" s="208"/>
      <c r="R95" s="209"/>
      <c r="S95" s="208"/>
      <c r="T95" s="209"/>
      <c r="U95" s="208"/>
      <c r="V95" s="209"/>
      <c r="W95" s="208"/>
      <c r="X95" s="209"/>
      <c r="Y95" s="208"/>
      <c r="Z95" s="209"/>
      <c r="AA95" s="208"/>
      <c r="AB95" s="209"/>
      <c r="AC95" s="140">
        <f t="shared" si="58"/>
        <v>3</v>
      </c>
    </row>
    <row r="96" spans="2:32" s="75" customFormat="1" ht="13" thickBot="1">
      <c r="B96" s="147" t="s">
        <v>22</v>
      </c>
      <c r="E96" s="210"/>
      <c r="F96" s="211"/>
      <c r="G96" s="211"/>
      <c r="H96" s="211"/>
      <c r="I96" s="211"/>
      <c r="J96" s="211"/>
      <c r="K96" s="212">
        <v>3</v>
      </c>
      <c r="L96" s="211"/>
      <c r="M96" s="211"/>
      <c r="N96" s="211"/>
      <c r="O96" s="212"/>
      <c r="P96" s="211"/>
      <c r="Q96" s="212"/>
      <c r="R96" s="211"/>
      <c r="S96" s="212"/>
      <c r="T96" s="211"/>
      <c r="U96" s="212"/>
      <c r="V96" s="211"/>
      <c r="W96" s="212"/>
      <c r="X96" s="211"/>
      <c r="Y96" s="212"/>
      <c r="Z96" s="211"/>
      <c r="AA96" s="212"/>
      <c r="AB96" s="211"/>
      <c r="AC96" s="141">
        <f t="shared" si="58"/>
        <v>3</v>
      </c>
    </row>
  </sheetData>
  <mergeCells count="331">
    <mergeCell ref="AC57:AD57"/>
    <mergeCell ref="B56:AD56"/>
    <mergeCell ref="B57:D57"/>
    <mergeCell ref="B81:AD81"/>
    <mergeCell ref="B82:D82"/>
    <mergeCell ref="B30:AD30"/>
    <mergeCell ref="B31:D31"/>
    <mergeCell ref="AC31:AD31"/>
    <mergeCell ref="AC82:AD82"/>
    <mergeCell ref="AA47:AB47"/>
    <mergeCell ref="E48:F48"/>
    <mergeCell ref="G48:H48"/>
    <mergeCell ref="I48:J48"/>
    <mergeCell ref="K48:L48"/>
    <mergeCell ref="M48:N48"/>
    <mergeCell ref="O48:P48"/>
    <mergeCell ref="Q48:R48"/>
    <mergeCell ref="S48:T48"/>
    <mergeCell ref="U48:V48"/>
    <mergeCell ref="W48:X48"/>
    <mergeCell ref="Y48:Z48"/>
    <mergeCell ref="AA48:AB48"/>
    <mergeCell ref="O47:P47"/>
    <mergeCell ref="Q47:R47"/>
    <mergeCell ref="S47:T47"/>
    <mergeCell ref="U47:V47"/>
    <mergeCell ref="W47:X47"/>
    <mergeCell ref="E47:F47"/>
    <mergeCell ref="G47:H47"/>
    <mergeCell ref="I47:J47"/>
    <mergeCell ref="K47:L47"/>
    <mergeCell ref="M47:N47"/>
    <mergeCell ref="Y47:Z47"/>
    <mergeCell ref="AA45:AB45"/>
    <mergeCell ref="E46:F46"/>
    <mergeCell ref="G46:H46"/>
    <mergeCell ref="I46:J46"/>
    <mergeCell ref="K46:L46"/>
    <mergeCell ref="M46:N46"/>
    <mergeCell ref="O46:P46"/>
    <mergeCell ref="Q46:R46"/>
    <mergeCell ref="S46:T46"/>
    <mergeCell ref="U46:V46"/>
    <mergeCell ref="W46:X46"/>
    <mergeCell ref="Y46:Z46"/>
    <mergeCell ref="AA46:AB46"/>
    <mergeCell ref="O45:P45"/>
    <mergeCell ref="Q45:R45"/>
    <mergeCell ref="S45:T45"/>
    <mergeCell ref="U45:V45"/>
    <mergeCell ref="W45:X45"/>
    <mergeCell ref="E45:F45"/>
    <mergeCell ref="G45:H45"/>
    <mergeCell ref="I45:J45"/>
    <mergeCell ref="K45:L45"/>
    <mergeCell ref="M45:N45"/>
    <mergeCell ref="Y45:Z45"/>
    <mergeCell ref="AA40:AB40"/>
    <mergeCell ref="E41:F41"/>
    <mergeCell ref="G41:H41"/>
    <mergeCell ref="I41:J41"/>
    <mergeCell ref="K41:L41"/>
    <mergeCell ref="M41:N41"/>
    <mergeCell ref="O41:P41"/>
    <mergeCell ref="Q41:R41"/>
    <mergeCell ref="S41:T41"/>
    <mergeCell ref="U41:V41"/>
    <mergeCell ref="W41:X41"/>
    <mergeCell ref="Y41:Z41"/>
    <mergeCell ref="AA41:AB41"/>
    <mergeCell ref="O40:P40"/>
    <mergeCell ref="Q40:R40"/>
    <mergeCell ref="S40:T40"/>
    <mergeCell ref="U40:V40"/>
    <mergeCell ref="W40:X40"/>
    <mergeCell ref="E40:F40"/>
    <mergeCell ref="G40:H40"/>
    <mergeCell ref="I40:J40"/>
    <mergeCell ref="K40:L40"/>
    <mergeCell ref="M40:N40"/>
    <mergeCell ref="Y40:Z40"/>
    <mergeCell ref="E10:N18"/>
    <mergeCell ref="E9:N9"/>
    <mergeCell ref="D1:G1"/>
    <mergeCell ref="D2:G2"/>
    <mergeCell ref="D3:G3"/>
    <mergeCell ref="D4:G4"/>
    <mergeCell ref="D5:G5"/>
    <mergeCell ref="E24:AB24"/>
    <mergeCell ref="E25:F25"/>
    <mergeCell ref="G25:H25"/>
    <mergeCell ref="I25:J25"/>
    <mergeCell ref="K25:L25"/>
    <mergeCell ref="M25:N25"/>
    <mergeCell ref="O25:P25"/>
    <mergeCell ref="Q25:R25"/>
    <mergeCell ref="S25:T25"/>
    <mergeCell ref="U25:V25"/>
    <mergeCell ref="W25:X25"/>
    <mergeCell ref="Y25:Z25"/>
    <mergeCell ref="AA25:AB25"/>
    <mergeCell ref="I42:J42"/>
    <mergeCell ref="I43:J43"/>
    <mergeCell ref="I44:J44"/>
    <mergeCell ref="K42:L42"/>
    <mergeCell ref="K43:L43"/>
    <mergeCell ref="K44:L44"/>
    <mergeCell ref="E42:F42"/>
    <mergeCell ref="E43:F43"/>
    <mergeCell ref="E44:F44"/>
    <mergeCell ref="G42:H42"/>
    <mergeCell ref="G43:H43"/>
    <mergeCell ref="G44:H44"/>
    <mergeCell ref="W44:X44"/>
    <mergeCell ref="Y42:Z42"/>
    <mergeCell ref="Y43:Z43"/>
    <mergeCell ref="Y44:Z44"/>
    <mergeCell ref="AA42:AB42"/>
    <mergeCell ref="AA43:AB43"/>
    <mergeCell ref="AA44:AB44"/>
    <mergeCell ref="M44:N44"/>
    <mergeCell ref="O44:P44"/>
    <mergeCell ref="Q44:R44"/>
    <mergeCell ref="S44:T44"/>
    <mergeCell ref="U44:V44"/>
    <mergeCell ref="W42:X42"/>
    <mergeCell ref="M43:N43"/>
    <mergeCell ref="O43:P43"/>
    <mergeCell ref="Q43:R43"/>
    <mergeCell ref="S43:T43"/>
    <mergeCell ref="U43:V43"/>
    <mergeCell ref="W43:X43"/>
    <mergeCell ref="M42:N42"/>
    <mergeCell ref="O42:P42"/>
    <mergeCell ref="Q42:R42"/>
    <mergeCell ref="S42:T42"/>
    <mergeCell ref="U42:V42"/>
    <mergeCell ref="E50:AB50"/>
    <mergeCell ref="E51:F51"/>
    <mergeCell ref="G51:H51"/>
    <mergeCell ref="I51:J51"/>
    <mergeCell ref="K51:L51"/>
    <mergeCell ref="M51:N51"/>
    <mergeCell ref="O51:P51"/>
    <mergeCell ref="Q51:R51"/>
    <mergeCell ref="S51:T51"/>
    <mergeCell ref="U51:V51"/>
    <mergeCell ref="W51:X51"/>
    <mergeCell ref="Y51:Z51"/>
    <mergeCell ref="AA51:AB51"/>
    <mergeCell ref="Y66:Z66"/>
    <mergeCell ref="AA66:AB66"/>
    <mergeCell ref="E67:F67"/>
    <mergeCell ref="G67:H67"/>
    <mergeCell ref="I67:J67"/>
    <mergeCell ref="K67:L67"/>
    <mergeCell ref="M67:N67"/>
    <mergeCell ref="O67:P67"/>
    <mergeCell ref="Q67:R67"/>
    <mergeCell ref="S67:T67"/>
    <mergeCell ref="U67:V67"/>
    <mergeCell ref="W67:X67"/>
    <mergeCell ref="Y67:Z67"/>
    <mergeCell ref="AA67:AB67"/>
    <mergeCell ref="O66:P66"/>
    <mergeCell ref="Q66:R66"/>
    <mergeCell ref="S66:T66"/>
    <mergeCell ref="U66:V66"/>
    <mergeCell ref="W66:X66"/>
    <mergeCell ref="E66:F66"/>
    <mergeCell ref="G66:H66"/>
    <mergeCell ref="I66:J66"/>
    <mergeCell ref="K66:L66"/>
    <mergeCell ref="M66:N66"/>
    <mergeCell ref="Y68:Z68"/>
    <mergeCell ref="AA68:AB68"/>
    <mergeCell ref="E69:F69"/>
    <mergeCell ref="G69:H69"/>
    <mergeCell ref="I69:J69"/>
    <mergeCell ref="K69:L69"/>
    <mergeCell ref="M69:N69"/>
    <mergeCell ref="O69:P69"/>
    <mergeCell ref="Q69:R69"/>
    <mergeCell ref="S69:T69"/>
    <mergeCell ref="U69:V69"/>
    <mergeCell ref="W69:X69"/>
    <mergeCell ref="Y69:Z69"/>
    <mergeCell ref="AA69:AB69"/>
    <mergeCell ref="O68:P68"/>
    <mergeCell ref="Q68:R68"/>
    <mergeCell ref="S68:T68"/>
    <mergeCell ref="U68:V68"/>
    <mergeCell ref="W68:X68"/>
    <mergeCell ref="E68:F68"/>
    <mergeCell ref="G68:H68"/>
    <mergeCell ref="I68:J68"/>
    <mergeCell ref="K68:L68"/>
    <mergeCell ref="M68:N68"/>
    <mergeCell ref="M71:N71"/>
    <mergeCell ref="Y70:Z70"/>
    <mergeCell ref="AA70:AB70"/>
    <mergeCell ref="O70:P70"/>
    <mergeCell ref="Q70:R70"/>
    <mergeCell ref="S70:T70"/>
    <mergeCell ref="U70:V70"/>
    <mergeCell ref="W70:X70"/>
    <mergeCell ref="E70:F70"/>
    <mergeCell ref="G70:H70"/>
    <mergeCell ref="I70:J70"/>
    <mergeCell ref="K70:L70"/>
    <mergeCell ref="M70:N70"/>
    <mergeCell ref="M73:N73"/>
    <mergeCell ref="Y71:Z71"/>
    <mergeCell ref="AA71:AB71"/>
    <mergeCell ref="E72:F72"/>
    <mergeCell ref="G72:H72"/>
    <mergeCell ref="I72:J72"/>
    <mergeCell ref="K72:L72"/>
    <mergeCell ref="M72:N72"/>
    <mergeCell ref="O72:P72"/>
    <mergeCell ref="Q72:R72"/>
    <mergeCell ref="S72:T72"/>
    <mergeCell ref="U72:V72"/>
    <mergeCell ref="W72:X72"/>
    <mergeCell ref="Y72:Z72"/>
    <mergeCell ref="AA72:AB72"/>
    <mergeCell ref="O71:P71"/>
    <mergeCell ref="Q71:R71"/>
    <mergeCell ref="S71:T71"/>
    <mergeCell ref="U71:V71"/>
    <mergeCell ref="W71:X71"/>
    <mergeCell ref="E71:F71"/>
    <mergeCell ref="G71:H71"/>
    <mergeCell ref="I71:J71"/>
    <mergeCell ref="K71:L71"/>
    <mergeCell ref="Y73:Z73"/>
    <mergeCell ref="AA73:AB73"/>
    <mergeCell ref="E75:AB75"/>
    <mergeCell ref="E76:F76"/>
    <mergeCell ref="G76:H76"/>
    <mergeCell ref="I76:J76"/>
    <mergeCell ref="K76:L76"/>
    <mergeCell ref="M76:N76"/>
    <mergeCell ref="O76:P76"/>
    <mergeCell ref="Q76:R76"/>
    <mergeCell ref="S76:T76"/>
    <mergeCell ref="U76:V76"/>
    <mergeCell ref="W76:X76"/>
    <mergeCell ref="Y76:Z76"/>
    <mergeCell ref="AA76:AB76"/>
    <mergeCell ref="O73:P73"/>
    <mergeCell ref="Q73:R73"/>
    <mergeCell ref="S73:T73"/>
    <mergeCell ref="U73:V73"/>
    <mergeCell ref="W73:X73"/>
    <mergeCell ref="E73:F73"/>
    <mergeCell ref="G73:H73"/>
    <mergeCell ref="I73:J73"/>
    <mergeCell ref="K73:L73"/>
    <mergeCell ref="Y91:Z91"/>
    <mergeCell ref="AA91:AB91"/>
    <mergeCell ref="E92:F92"/>
    <mergeCell ref="G92:H92"/>
    <mergeCell ref="I92:J92"/>
    <mergeCell ref="K92:L92"/>
    <mergeCell ref="M92:N92"/>
    <mergeCell ref="O92:P92"/>
    <mergeCell ref="Q92:R92"/>
    <mergeCell ref="S92:T92"/>
    <mergeCell ref="U92:V92"/>
    <mergeCell ref="W92:X92"/>
    <mergeCell ref="Y92:Z92"/>
    <mergeCell ref="AA92:AB92"/>
    <mergeCell ref="O91:P91"/>
    <mergeCell ref="Q91:R91"/>
    <mergeCell ref="S91:T91"/>
    <mergeCell ref="U91:V91"/>
    <mergeCell ref="W91:X91"/>
    <mergeCell ref="E91:F91"/>
    <mergeCell ref="G91:H91"/>
    <mergeCell ref="I91:J91"/>
    <mergeCell ref="K91:L91"/>
    <mergeCell ref="M91:N91"/>
    <mergeCell ref="Y93:Z93"/>
    <mergeCell ref="AA93:AB93"/>
    <mergeCell ref="O93:P93"/>
    <mergeCell ref="Q93:R93"/>
    <mergeCell ref="S93:T93"/>
    <mergeCell ref="U93:V93"/>
    <mergeCell ref="W93:X93"/>
    <mergeCell ref="E93:F93"/>
    <mergeCell ref="G93:H93"/>
    <mergeCell ref="I93:J93"/>
    <mergeCell ref="K93:L93"/>
    <mergeCell ref="M93:N93"/>
    <mergeCell ref="Y94:Z94"/>
    <mergeCell ref="AA94:AB94"/>
    <mergeCell ref="O94:P94"/>
    <mergeCell ref="Q94:R94"/>
    <mergeCell ref="S94:T94"/>
    <mergeCell ref="U94:V94"/>
    <mergeCell ref="W94:X94"/>
    <mergeCell ref="E94:F94"/>
    <mergeCell ref="G94:H94"/>
    <mergeCell ref="I94:J94"/>
    <mergeCell ref="K94:L94"/>
    <mergeCell ref="M94:N94"/>
    <mergeCell ref="Y95:Z95"/>
    <mergeCell ref="AA95:AB95"/>
    <mergeCell ref="E96:F96"/>
    <mergeCell ref="G96:H96"/>
    <mergeCell ref="I96:J96"/>
    <mergeCell ref="K96:L96"/>
    <mergeCell ref="M96:N96"/>
    <mergeCell ref="O96:P96"/>
    <mergeCell ref="Q96:R96"/>
    <mergeCell ref="S96:T96"/>
    <mergeCell ref="U96:V96"/>
    <mergeCell ref="W96:X96"/>
    <mergeCell ref="Y96:Z96"/>
    <mergeCell ref="AA96:AB96"/>
    <mergeCell ref="O95:P95"/>
    <mergeCell ref="Q95:R95"/>
    <mergeCell ref="S95:T95"/>
    <mergeCell ref="U95:V95"/>
    <mergeCell ref="W95:X95"/>
    <mergeCell ref="E95:F95"/>
    <mergeCell ref="G95:H95"/>
    <mergeCell ref="I95:J95"/>
    <mergeCell ref="K95:L95"/>
    <mergeCell ref="M95:N95"/>
  </mergeCells>
  <hyperlinks>
    <hyperlink ref="A5" location="Indice!A1" display="Indice" xr:uid="{93576240-8C4B-4090-89BF-225F690526F4}"/>
  </hyperlinks>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M25"/>
  <sheetViews>
    <sheetView workbookViewId="0">
      <pane ySplit="6" topLeftCell="A13" activePane="bottomLeft" state="frozen"/>
      <selection pane="bottomLeft" activeCell="A5" sqref="A5"/>
    </sheetView>
  </sheetViews>
  <sheetFormatPr defaultColWidth="14.453125" defaultRowHeight="15.75" customHeight="1"/>
  <cols>
    <col min="2" max="2" width="5.08984375" customWidth="1"/>
    <col min="3" max="3" width="40.1796875" bestFit="1" customWidth="1"/>
    <col min="4" max="5" width="6.90625" bestFit="1" customWidth="1"/>
    <col min="6" max="6" width="12" customWidth="1"/>
    <col min="7" max="7" width="16.54296875" customWidth="1"/>
    <col min="8" max="10" width="12" customWidth="1"/>
    <col min="11" max="11" width="9.08984375" customWidth="1"/>
    <col min="12" max="12" width="12" customWidth="1"/>
  </cols>
  <sheetData>
    <row r="1" spans="1:13" s="64" customFormat="1" ht="14">
      <c r="D1" s="170" t="s">
        <v>0</v>
      </c>
      <c r="E1" s="170"/>
      <c r="F1" s="170"/>
      <c r="G1" s="170"/>
      <c r="H1" s="67"/>
    </row>
    <row r="2" spans="1:13" s="64" customFormat="1" ht="14.5">
      <c r="A2" s="68"/>
      <c r="D2" s="171" t="s">
        <v>147</v>
      </c>
      <c r="E2" s="172"/>
      <c r="F2" s="172"/>
      <c r="G2" s="172"/>
    </row>
    <row r="3" spans="1:13" s="64" customFormat="1" ht="13">
      <c r="A3" s="66"/>
      <c r="D3" s="171" t="s">
        <v>144</v>
      </c>
      <c r="E3" s="172"/>
      <c r="F3" s="172"/>
      <c r="G3" s="172"/>
    </row>
    <row r="4" spans="1:13" s="64" customFormat="1" ht="13">
      <c r="A4" s="69"/>
      <c r="D4" s="171" t="s">
        <v>145</v>
      </c>
      <c r="E4" s="172"/>
      <c r="F4" s="172"/>
      <c r="G4" s="172"/>
    </row>
    <row r="5" spans="1:13" s="64" customFormat="1" ht="13">
      <c r="A5" s="66" t="s">
        <v>1</v>
      </c>
      <c r="D5" s="171" t="s">
        <v>146</v>
      </c>
      <c r="E5" s="172"/>
      <c r="F5" s="172"/>
      <c r="G5" s="172"/>
    </row>
    <row r="6" spans="1:13" s="65" customFormat="1" ht="15.75" customHeight="1" thickBot="1">
      <c r="A6" s="235" t="s">
        <v>39</v>
      </c>
      <c r="B6" s="236"/>
    </row>
    <row r="9" spans="1:13" ht="15.75" customHeight="1">
      <c r="C9" s="62"/>
      <c r="D9" s="62"/>
      <c r="E9" s="62"/>
      <c r="F9" s="62"/>
      <c r="G9" s="128" t="s">
        <v>155</v>
      </c>
      <c r="H9" s="128" t="s">
        <v>40</v>
      </c>
      <c r="I9" s="128" t="s">
        <v>41</v>
      </c>
      <c r="J9" s="62"/>
      <c r="K9" s="62"/>
      <c r="L9" s="62"/>
      <c r="M9" s="62"/>
    </row>
    <row r="10" spans="1:13" ht="15.75" customHeight="1">
      <c r="C10" s="62"/>
      <c r="D10" s="62"/>
      <c r="E10" s="62"/>
      <c r="F10" s="62"/>
      <c r="G10" s="129">
        <f>G25</f>
        <v>44231500</v>
      </c>
      <c r="H10" s="129">
        <f>J25</f>
        <v>69624200</v>
      </c>
      <c r="I10" s="129">
        <f>M25</f>
        <v>82544200</v>
      </c>
      <c r="J10" s="62"/>
      <c r="K10" s="62"/>
      <c r="L10" s="62"/>
      <c r="M10" s="62"/>
    </row>
    <row r="11" spans="1:13" ht="15.75" customHeight="1" thickBot="1">
      <c r="C11" s="62"/>
      <c r="D11" s="62"/>
      <c r="E11" s="62"/>
      <c r="F11" s="62"/>
      <c r="G11" s="62"/>
      <c r="H11" s="62"/>
      <c r="I11" s="62"/>
      <c r="J11" s="62"/>
      <c r="K11" s="62"/>
      <c r="L11" s="62"/>
      <c r="M11" s="62"/>
    </row>
    <row r="12" spans="1:13" ht="15.75" customHeight="1" thickBot="1">
      <c r="C12" s="130"/>
      <c r="D12" s="62"/>
      <c r="E12" s="304" t="s">
        <v>25</v>
      </c>
      <c r="F12" s="305"/>
      <c r="G12" s="305"/>
      <c r="H12" s="306" t="s">
        <v>40</v>
      </c>
      <c r="I12" s="305"/>
      <c r="J12" s="307"/>
      <c r="K12" s="306" t="s">
        <v>41</v>
      </c>
      <c r="L12" s="305"/>
      <c r="M12" s="308"/>
    </row>
    <row r="13" spans="1:13" ht="15.75" customHeight="1" thickBot="1">
      <c r="C13" s="321" t="s">
        <v>206</v>
      </c>
      <c r="D13" s="322" t="s">
        <v>43</v>
      </c>
      <c r="E13" s="322" t="s">
        <v>156</v>
      </c>
      <c r="F13" s="322" t="s">
        <v>207</v>
      </c>
      <c r="G13" s="322" t="s">
        <v>38</v>
      </c>
      <c r="H13" s="322" t="s">
        <v>156</v>
      </c>
      <c r="I13" s="322" t="s">
        <v>207</v>
      </c>
      <c r="J13" s="322" t="s">
        <v>38</v>
      </c>
      <c r="K13" s="322" t="s">
        <v>156</v>
      </c>
      <c r="L13" s="322" t="s">
        <v>207</v>
      </c>
      <c r="M13" s="323" t="s">
        <v>38</v>
      </c>
    </row>
    <row r="14" spans="1:13" ht="15.75" customHeight="1">
      <c r="C14" s="315" t="s">
        <v>166</v>
      </c>
      <c r="D14" s="316">
        <v>80</v>
      </c>
      <c r="E14" s="317">
        <f>(F14*100)/$F$25</f>
        <v>53.347002316133199</v>
      </c>
      <c r="F14" s="317">
        <f>'Proyección de Ingresos'!AD27</f>
        <v>210750</v>
      </c>
      <c r="G14" s="318">
        <f t="shared" ref="G14:G24" si="0">D14*F14</f>
        <v>16860000</v>
      </c>
      <c r="H14" s="319">
        <f>(I14*100)/$I$25</f>
        <v>49.407278454779075</v>
      </c>
      <c r="I14" s="317">
        <f>'Proyección de Ingresos'!AD53</f>
        <v>298000</v>
      </c>
      <c r="J14" s="318">
        <f t="shared" ref="J14:J24" si="1">I14*D14</f>
        <v>23840000</v>
      </c>
      <c r="K14" s="319">
        <f>(L14*100)/$L$25</f>
        <v>53.917911724647702</v>
      </c>
      <c r="L14" s="317">
        <f>'Proyección de Ingresos'!AD78</f>
        <v>393900</v>
      </c>
      <c r="M14" s="320">
        <f t="shared" ref="M14:M24" si="2">L14*D14</f>
        <v>31512000</v>
      </c>
    </row>
    <row r="15" spans="1:13" ht="15.75" customHeight="1">
      <c r="C15" s="144" t="s">
        <v>167</v>
      </c>
      <c r="D15" s="122">
        <v>125</v>
      </c>
      <c r="E15" s="131">
        <f>(F15*100)/$F$25</f>
        <v>31.033653541911885</v>
      </c>
      <c r="F15" s="131">
        <f>'Proyección de Ingresos'!AD28</f>
        <v>122600</v>
      </c>
      <c r="G15" s="121">
        <f t="shared" si="0"/>
        <v>15325000</v>
      </c>
      <c r="H15" s="132">
        <f>(I15*100)/$I$25</f>
        <v>33.059769543231369</v>
      </c>
      <c r="I15" s="131">
        <f>'Proyección de Ingresos'!AD54</f>
        <v>199400</v>
      </c>
      <c r="J15" s="121">
        <f t="shared" si="1"/>
        <v>24925000</v>
      </c>
      <c r="K15" s="132">
        <f>(L15*100)/$L$25</f>
        <v>29.388615504650573</v>
      </c>
      <c r="L15" s="131">
        <f>'Proyección de Ingresos'!AD79</f>
        <v>214700</v>
      </c>
      <c r="M15" s="309">
        <f t="shared" si="2"/>
        <v>26837500</v>
      </c>
    </row>
    <row r="16" spans="1:13" ht="15.75" customHeight="1" thickBot="1">
      <c r="C16" s="324" t="s">
        <v>168</v>
      </c>
      <c r="D16" s="325">
        <v>195</v>
      </c>
      <c r="E16" s="326">
        <f>(F16*100)/$F$25</f>
        <v>12.40333624432041</v>
      </c>
      <c r="F16" s="326">
        <f>'Proyección de Ingresos'!AD29</f>
        <v>49000</v>
      </c>
      <c r="G16" s="327">
        <f t="shared" si="0"/>
        <v>9555000</v>
      </c>
      <c r="H16" s="328">
        <f>(I16*100)/$I$25</f>
        <v>11.506258807925061</v>
      </c>
      <c r="I16" s="326">
        <f>'Proyección de Ingresos'!AD55</f>
        <v>69400</v>
      </c>
      <c r="J16" s="327">
        <f t="shared" si="1"/>
        <v>13533000</v>
      </c>
      <c r="K16" s="328">
        <f>(L16*100)/$L$25</f>
        <v>14.016740697141215</v>
      </c>
      <c r="L16" s="326">
        <f>'Proyección de Ingresos'!AD80</f>
        <v>102400</v>
      </c>
      <c r="M16" s="329">
        <f t="shared" si="2"/>
        <v>19968000</v>
      </c>
    </row>
    <row r="17" spans="3:13" s="137" customFormat="1" ht="15.75" customHeight="1" thickBot="1">
      <c r="C17" s="299"/>
      <c r="D17" s="300"/>
      <c r="E17" s="300"/>
      <c r="F17" s="300"/>
      <c r="G17" s="300"/>
      <c r="H17" s="300"/>
      <c r="I17" s="300"/>
      <c r="J17" s="300"/>
      <c r="K17" s="300"/>
      <c r="L17" s="300"/>
      <c r="M17" s="301"/>
    </row>
    <row r="18" spans="3:13" s="137" customFormat="1" ht="15.75" customHeight="1" thickBot="1">
      <c r="C18" s="345" t="s">
        <v>50</v>
      </c>
      <c r="D18" s="341"/>
      <c r="E18" s="342"/>
      <c r="F18" s="343" t="s">
        <v>208</v>
      </c>
      <c r="G18" s="343" t="s">
        <v>38</v>
      </c>
      <c r="H18" s="340"/>
      <c r="I18" s="343" t="s">
        <v>208</v>
      </c>
      <c r="J18" s="343" t="s">
        <v>38</v>
      </c>
      <c r="K18" s="340"/>
      <c r="L18" s="343" t="s">
        <v>208</v>
      </c>
      <c r="M18" s="344" t="s">
        <v>38</v>
      </c>
    </row>
    <row r="19" spans="3:13" ht="15.75" customHeight="1">
      <c r="C19" s="315" t="s">
        <v>179</v>
      </c>
      <c r="D19" s="316">
        <v>300</v>
      </c>
      <c r="E19" s="317">
        <f>(F19*100)/$F$25</f>
        <v>0.65433926921567886</v>
      </c>
      <c r="F19" s="317">
        <f>'Proyección de Ingresos'!AD32</f>
        <v>2585</v>
      </c>
      <c r="G19" s="318">
        <f t="shared" si="0"/>
        <v>775500</v>
      </c>
      <c r="H19" s="319">
        <f>(I19*100)/$I$25</f>
        <v>1.4042941225234187</v>
      </c>
      <c r="I19" s="317">
        <f>'Proyección de Ingresos'!AD58</f>
        <v>8470</v>
      </c>
      <c r="J19" s="318">
        <f t="shared" si="1"/>
        <v>2541000</v>
      </c>
      <c r="K19" s="319">
        <f>(L19*100)/$L$25</f>
        <v>0.97254826809754225</v>
      </c>
      <c r="L19" s="317">
        <f>'Proyección de Ingresos'!AD83</f>
        <v>7105</v>
      </c>
      <c r="M19" s="320">
        <f t="shared" si="2"/>
        <v>2131500</v>
      </c>
    </row>
    <row r="20" spans="3:13" ht="15.75" customHeight="1">
      <c r="C20" s="144" t="s">
        <v>181</v>
      </c>
      <c r="D20" s="122">
        <v>160</v>
      </c>
      <c r="E20" s="131">
        <f>(F20*100)/$F$25</f>
        <v>0.65433926921567886</v>
      </c>
      <c r="F20" s="131">
        <f>'Proyección de Ingresos'!AD33</f>
        <v>2585</v>
      </c>
      <c r="G20" s="121">
        <f t="shared" si="0"/>
        <v>413600</v>
      </c>
      <c r="H20" s="132">
        <f>(I20*100)/$I$25</f>
        <v>1.2086545635414077</v>
      </c>
      <c r="I20" s="131">
        <f>'Proyección de Ingresos'!AD59</f>
        <v>7290</v>
      </c>
      <c r="J20" s="121">
        <f t="shared" si="1"/>
        <v>1166400</v>
      </c>
      <c r="K20" s="132">
        <f>(L20*100)/$L$25</f>
        <v>0.42912580161657915</v>
      </c>
      <c r="L20" s="131">
        <f>'Proyección de Ingresos'!AD84</f>
        <v>3135</v>
      </c>
      <c r="M20" s="309">
        <f t="shared" si="2"/>
        <v>501600</v>
      </c>
    </row>
    <row r="21" spans="3:13" ht="15.75" customHeight="1">
      <c r="C21" s="144" t="s">
        <v>180</v>
      </c>
      <c r="D21" s="122">
        <v>160</v>
      </c>
      <c r="E21" s="131">
        <f>(F21*100)/$F$25</f>
        <v>0.55688448443887562</v>
      </c>
      <c r="F21" s="131">
        <f>'Proyección de Ingresos'!AD34</f>
        <v>2200</v>
      </c>
      <c r="G21" s="121">
        <f t="shared" si="0"/>
        <v>352000</v>
      </c>
      <c r="H21" s="132">
        <f>(I21*100)/$I$25</f>
        <v>1.0395424023874658</v>
      </c>
      <c r="I21" s="131">
        <f>'Proyección de Ingresos'!AD60</f>
        <v>6270</v>
      </c>
      <c r="J21" s="121">
        <f t="shared" si="1"/>
        <v>1003200</v>
      </c>
      <c r="K21" s="132">
        <f>(L21*100)/$L$25</f>
        <v>0.39285200977339146</v>
      </c>
      <c r="L21" s="131">
        <f>'Proyección de Ingresos'!AD85</f>
        <v>2870</v>
      </c>
      <c r="M21" s="309">
        <f t="shared" si="2"/>
        <v>459200</v>
      </c>
    </row>
    <row r="22" spans="3:13" s="62" customFormat="1" ht="15.75" customHeight="1">
      <c r="C22" s="144" t="s">
        <v>182</v>
      </c>
      <c r="D22" s="122">
        <v>360</v>
      </c>
      <c r="E22" s="131">
        <f>(F22*100)/$F$25</f>
        <v>0.47335181177304425</v>
      </c>
      <c r="F22" s="131">
        <f>'Proyección de Ingresos'!AD35</f>
        <v>1870</v>
      </c>
      <c r="G22" s="121">
        <f t="shared" si="0"/>
        <v>673200</v>
      </c>
      <c r="H22" s="132">
        <f>(I22*100)/$I$25</f>
        <v>0.87043024123352397</v>
      </c>
      <c r="I22" s="131">
        <f>'Proyección de Ingresos'!AD61</f>
        <v>5250</v>
      </c>
      <c r="J22" s="121">
        <f t="shared" si="1"/>
        <v>1890000</v>
      </c>
      <c r="K22" s="132">
        <f>(L22*100)/$L$25</f>
        <v>0.30250973574884849</v>
      </c>
      <c r="L22" s="131">
        <f>'Proyección de Ingresos'!AD86</f>
        <v>2210</v>
      </c>
      <c r="M22" s="309">
        <f t="shared" si="2"/>
        <v>795600</v>
      </c>
    </row>
    <row r="23" spans="3:13" s="62" customFormat="1" ht="15.75" customHeight="1">
      <c r="C23" s="144" t="s">
        <v>183</v>
      </c>
      <c r="D23" s="122">
        <v>80</v>
      </c>
      <c r="E23" s="131">
        <f>(F23*100)/$F$25</f>
        <v>0.36830314766298361</v>
      </c>
      <c r="F23" s="131">
        <f>'Proyección de Ingresos'!AD36</f>
        <v>1455</v>
      </c>
      <c r="G23" s="121">
        <f t="shared" si="0"/>
        <v>116400</v>
      </c>
      <c r="H23" s="132">
        <f>(I23*100)/$I$25</f>
        <v>0.70463400480809091</v>
      </c>
      <c r="I23" s="131">
        <f>'Proyección de Ingresos'!AD62</f>
        <v>4250</v>
      </c>
      <c r="J23" s="121">
        <f t="shared" si="1"/>
        <v>340000</v>
      </c>
      <c r="K23" s="132">
        <f>(L23*100)/$L$25</f>
        <v>0.25391654290231397</v>
      </c>
      <c r="L23" s="131">
        <f>'Proyección de Ingresos'!AD87</f>
        <v>1855</v>
      </c>
      <c r="M23" s="309">
        <f t="shared" si="2"/>
        <v>148400</v>
      </c>
    </row>
    <row r="24" spans="3:13" ht="15.75" customHeight="1">
      <c r="C24" s="144" t="s">
        <v>184</v>
      </c>
      <c r="D24" s="122">
        <v>80</v>
      </c>
      <c r="E24" s="131">
        <f>(F24*100)/$F$25</f>
        <v>0.50878991532824547</v>
      </c>
      <c r="F24" s="131">
        <f>'Proyección de Ingresos'!AD37</f>
        <v>2010</v>
      </c>
      <c r="G24" s="121">
        <f t="shared" si="0"/>
        <v>160800</v>
      </c>
      <c r="H24" s="132">
        <f>(I24*100)/$I$25</f>
        <v>0.79913785957058769</v>
      </c>
      <c r="I24" s="131">
        <f>'Proyección de Ingresos'!AD63</f>
        <v>4820</v>
      </c>
      <c r="J24" s="121">
        <f t="shared" si="1"/>
        <v>385600</v>
      </c>
      <c r="K24" s="132">
        <f>(L24*100)/$L$25</f>
        <v>0.32577971542183681</v>
      </c>
      <c r="L24" s="131">
        <f>'Proyección de Ingresos'!AD88</f>
        <v>2380</v>
      </c>
      <c r="M24" s="309">
        <f t="shared" si="2"/>
        <v>190400</v>
      </c>
    </row>
    <row r="25" spans="3:13" ht="15.75" customHeight="1" thickBot="1">
      <c r="C25" s="310" t="s">
        <v>157</v>
      </c>
      <c r="D25" s="311">
        <f t="shared" ref="D25:M25" si="3">SUM(D14:D24)</f>
        <v>1540</v>
      </c>
      <c r="E25" s="312">
        <f t="shared" si="3"/>
        <v>100.00000000000003</v>
      </c>
      <c r="F25" s="312">
        <f t="shared" si="3"/>
        <v>395055</v>
      </c>
      <c r="G25" s="311">
        <f t="shared" si="3"/>
        <v>44231500</v>
      </c>
      <c r="H25" s="313">
        <f t="shared" si="3"/>
        <v>100</v>
      </c>
      <c r="I25" s="312">
        <f t="shared" si="3"/>
        <v>603150</v>
      </c>
      <c r="J25" s="311">
        <f t="shared" si="3"/>
        <v>69624200</v>
      </c>
      <c r="K25" s="313">
        <f t="shared" si="3"/>
        <v>99.999999999999986</v>
      </c>
      <c r="L25" s="312">
        <f t="shared" si="3"/>
        <v>730555</v>
      </c>
      <c r="M25" s="314">
        <f t="shared" si="3"/>
        <v>82544200</v>
      </c>
    </row>
  </sheetData>
  <mergeCells count="11">
    <mergeCell ref="D18:E18"/>
    <mergeCell ref="C17:M17"/>
    <mergeCell ref="A6:B6"/>
    <mergeCell ref="E12:G12"/>
    <mergeCell ref="H12:J12"/>
    <mergeCell ref="K12:M12"/>
    <mergeCell ref="D1:G1"/>
    <mergeCell ref="D2:G2"/>
    <mergeCell ref="D3:G3"/>
    <mergeCell ref="D4:G4"/>
    <mergeCell ref="D5:G5"/>
  </mergeCells>
  <hyperlinks>
    <hyperlink ref="A5" location="Indice!A1" display="Indice" xr:uid="{7FB209D4-6FCD-4CD8-9EDE-B62E0375389C}"/>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13"/>
  <sheetViews>
    <sheetView workbookViewId="0">
      <pane ySplit="6" topLeftCell="A7" activePane="bottomLeft" state="frozen"/>
      <selection pane="bottomLeft" activeCell="D10" sqref="D10"/>
    </sheetView>
  </sheetViews>
  <sheetFormatPr defaultColWidth="14.453125" defaultRowHeight="15.75" customHeight="1"/>
  <cols>
    <col min="2" max="2" width="8.81640625" customWidth="1"/>
    <col min="3" max="3" width="14.453125" bestFit="1" customWidth="1"/>
  </cols>
  <sheetData>
    <row r="1" spans="1:8" s="64" customFormat="1" ht="14">
      <c r="D1" s="170" t="s">
        <v>0</v>
      </c>
      <c r="E1" s="170"/>
      <c r="F1" s="170"/>
      <c r="G1" s="170"/>
      <c r="H1" s="67"/>
    </row>
    <row r="2" spans="1:8" s="64" customFormat="1" ht="14.5">
      <c r="A2" s="68"/>
      <c r="D2" s="171" t="s">
        <v>147</v>
      </c>
      <c r="E2" s="172"/>
      <c r="F2" s="172"/>
      <c r="G2" s="172"/>
    </row>
    <row r="3" spans="1:8" s="64" customFormat="1" ht="13">
      <c r="A3" s="66"/>
      <c r="D3" s="171" t="s">
        <v>144</v>
      </c>
      <c r="E3" s="172"/>
      <c r="F3" s="172"/>
      <c r="G3" s="172"/>
    </row>
    <row r="4" spans="1:8" s="64" customFormat="1" ht="13">
      <c r="A4" s="69"/>
      <c r="D4" s="171" t="s">
        <v>145</v>
      </c>
      <c r="E4" s="172"/>
      <c r="F4" s="172"/>
      <c r="G4" s="172"/>
    </row>
    <row r="5" spans="1:8" s="64" customFormat="1" ht="13">
      <c r="A5" s="66" t="s">
        <v>1</v>
      </c>
      <c r="D5" s="171" t="s">
        <v>146</v>
      </c>
      <c r="E5" s="172"/>
      <c r="F5" s="172"/>
      <c r="G5" s="172"/>
    </row>
    <row r="6" spans="1:8" s="65" customFormat="1" ht="15.75" customHeight="1" thickBot="1">
      <c r="A6" s="235" t="s">
        <v>45</v>
      </c>
      <c r="B6" s="236"/>
    </row>
    <row r="8" spans="1:8" ht="15.75" customHeight="1" thickBot="1"/>
    <row r="9" spans="1:8" ht="15.75" customHeight="1" thickBot="1">
      <c r="C9" s="136"/>
      <c r="D9" s="422" t="s">
        <v>46</v>
      </c>
      <c r="E9" s="423" t="s">
        <v>47</v>
      </c>
      <c r="F9" s="424" t="s">
        <v>48</v>
      </c>
    </row>
    <row r="10" spans="1:8" ht="15.75" customHeight="1">
      <c r="C10" s="418" t="s">
        <v>49</v>
      </c>
      <c r="D10" s="419">
        <f>'Costos fijos'!C16</f>
        <v>1039428</v>
      </c>
      <c r="E10" s="419">
        <f>'Costos fijos'!D16</f>
        <v>1247313.6000000001</v>
      </c>
      <c r="F10" s="420">
        <f>'Costos fijos'!E16</f>
        <v>1496776.32</v>
      </c>
    </row>
    <row r="11" spans="1:8" ht="15.75" customHeight="1">
      <c r="C11" s="421" t="s">
        <v>225</v>
      </c>
      <c r="D11" s="11">
        <f>'Costos variables'!O22</f>
        <v>18078</v>
      </c>
      <c r="E11" s="11">
        <f>'Costos variables'!O31</f>
        <v>18084</v>
      </c>
      <c r="F11" s="92">
        <f>'Costos variables'!O40</f>
        <v>18084</v>
      </c>
    </row>
    <row r="12" spans="1:8" ht="15.75" customHeight="1">
      <c r="C12" s="421" t="s">
        <v>226</v>
      </c>
      <c r="D12" s="16">
        <f>'Costos RRHH'!O66</f>
        <v>13806720</v>
      </c>
      <c r="E12" s="16">
        <f>'Costos RRHH'!O86</f>
        <v>16866720</v>
      </c>
      <c r="F12" s="355">
        <f>'Costos RRHH'!O109</f>
        <v>18165600</v>
      </c>
    </row>
    <row r="13" spans="1:8" ht="15.75" customHeight="1" thickBot="1">
      <c r="C13" s="363" t="s">
        <v>44</v>
      </c>
      <c r="D13" s="410">
        <f t="shared" ref="D13:F13" si="0">SUM(D10:D12)</f>
        <v>14864226</v>
      </c>
      <c r="E13" s="410">
        <f t="shared" si="0"/>
        <v>18132117.600000001</v>
      </c>
      <c r="F13" s="413">
        <f t="shared" si="0"/>
        <v>19680460.32</v>
      </c>
    </row>
  </sheetData>
  <mergeCells count="6">
    <mergeCell ref="D2:G2"/>
    <mergeCell ref="D3:G3"/>
    <mergeCell ref="A6:B6"/>
    <mergeCell ref="D1:G1"/>
    <mergeCell ref="D4:G4"/>
    <mergeCell ref="D5:G5"/>
  </mergeCells>
  <hyperlinks>
    <hyperlink ref="A5" location="Indice!A1" display="Indice" xr:uid="{5CD11C2C-77B5-4CED-B209-DB7D8F2F13FF}"/>
    <hyperlink ref="C10" location="'Costos fijos'!A1" display="Costos Fijos" xr:uid="{AAB4F124-E749-47F6-A768-03D0C3C367D9}"/>
    <hyperlink ref="C11" location="'Costos variables'!A1" display="Costos Variable" xr:uid="{7AEE09CF-2177-4609-A7D2-935F612AA603}"/>
    <hyperlink ref="C12" location="'Costos RRHH'!A1" display="Costos RR HH" xr:uid="{60988CC3-CA93-44CF-9A53-D87899E8CCE6}"/>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O58"/>
  <sheetViews>
    <sheetView workbookViewId="0">
      <pane xSplit="2" ySplit="6" topLeftCell="C7" activePane="bottomRight" state="frozen"/>
      <selection pane="topRight" activeCell="C1" sqref="C1"/>
      <selection pane="bottomLeft" activeCell="A7" sqref="A7"/>
      <selection pane="bottomRight" activeCell="E12" sqref="E12"/>
    </sheetView>
  </sheetViews>
  <sheetFormatPr defaultColWidth="14.453125" defaultRowHeight="15.75" customHeight="1"/>
  <cols>
    <col min="1" max="1" width="12.7265625" customWidth="1"/>
    <col min="2" max="2" width="19.81640625" customWidth="1"/>
    <col min="3" max="4" width="14.81640625" customWidth="1"/>
    <col min="5" max="5" width="14" customWidth="1"/>
  </cols>
  <sheetData>
    <row r="1" spans="1:10" s="64" customFormat="1" ht="14">
      <c r="D1" s="170" t="s">
        <v>0</v>
      </c>
      <c r="E1" s="170"/>
      <c r="F1" s="170"/>
      <c r="G1" s="170"/>
      <c r="H1" s="67"/>
    </row>
    <row r="2" spans="1:10" s="64" customFormat="1" ht="14.5">
      <c r="A2" s="68"/>
      <c r="D2" s="171" t="s">
        <v>147</v>
      </c>
      <c r="E2" s="172"/>
      <c r="F2" s="172"/>
      <c r="G2" s="172"/>
    </row>
    <row r="3" spans="1:10" s="64" customFormat="1" ht="13">
      <c r="A3" s="66"/>
      <c r="D3" s="171" t="s">
        <v>144</v>
      </c>
      <c r="E3" s="172"/>
      <c r="F3" s="172"/>
      <c r="G3" s="172"/>
    </row>
    <row r="4" spans="1:10" s="64" customFormat="1" ht="13">
      <c r="A4" s="69"/>
      <c r="D4" s="171" t="s">
        <v>145</v>
      </c>
      <c r="E4" s="172"/>
      <c r="F4" s="172"/>
      <c r="G4" s="172"/>
    </row>
    <row r="5" spans="1:10" s="64" customFormat="1" ht="13">
      <c r="A5" s="66" t="s">
        <v>1</v>
      </c>
      <c r="D5" s="171" t="s">
        <v>146</v>
      </c>
      <c r="E5" s="172"/>
      <c r="F5" s="172"/>
      <c r="G5" s="172"/>
    </row>
    <row r="6" spans="1:10" s="65" customFormat="1" ht="15.75" customHeight="1" thickBot="1">
      <c r="A6" s="70" t="s">
        <v>7</v>
      </c>
      <c r="B6" s="70"/>
    </row>
    <row r="7" spans="1:10" ht="15.75" customHeight="1" thickBot="1"/>
    <row r="8" spans="1:10" ht="15.75" customHeight="1" thickBot="1">
      <c r="A8" s="6"/>
      <c r="B8" s="9"/>
      <c r="C8" s="5" t="s">
        <v>25</v>
      </c>
      <c r="D8" s="5" t="s">
        <v>40</v>
      </c>
      <c r="E8" s="5" t="s">
        <v>41</v>
      </c>
      <c r="G8" s="62"/>
      <c r="H8" s="78" t="s">
        <v>40</v>
      </c>
      <c r="I8" s="79" t="s">
        <v>41</v>
      </c>
      <c r="J8" s="62"/>
    </row>
    <row r="9" spans="1:10" ht="15.75" customHeight="1" thickBot="1">
      <c r="A9" s="240" t="s">
        <v>50</v>
      </c>
      <c r="B9" s="18" t="s">
        <v>51</v>
      </c>
      <c r="C9" s="11">
        <f>O20</f>
        <v>876000</v>
      </c>
      <c r="D9" s="11">
        <f t="shared" ref="D9:D11" si="0">O34</f>
        <v>1051200</v>
      </c>
      <c r="E9" s="11">
        <f t="shared" ref="E9:E11" si="1">O48</f>
        <v>1261440</v>
      </c>
      <c r="G9" s="76" t="s">
        <v>149</v>
      </c>
      <c r="H9" s="77">
        <v>0.2</v>
      </c>
      <c r="I9" s="77">
        <v>0.2</v>
      </c>
      <c r="J9" s="62"/>
    </row>
    <row r="10" spans="1:10" ht="15.75" customHeight="1">
      <c r="A10" s="238"/>
      <c r="B10" s="18" t="s">
        <v>52</v>
      </c>
      <c r="C10" s="11">
        <f t="shared" ref="C10:C11" si="2">O21</f>
        <v>21600</v>
      </c>
      <c r="D10" s="11">
        <f t="shared" si="0"/>
        <v>25920</v>
      </c>
      <c r="E10" s="11">
        <f t="shared" si="1"/>
        <v>31104</v>
      </c>
      <c r="J10" s="62"/>
    </row>
    <row r="11" spans="1:10" ht="15.75" customHeight="1">
      <c r="A11" s="238"/>
      <c r="B11" s="18" t="s">
        <v>53</v>
      </c>
      <c r="C11" s="11">
        <f t="shared" si="2"/>
        <v>18000</v>
      </c>
      <c r="D11" s="11">
        <f t="shared" si="0"/>
        <v>21600</v>
      </c>
      <c r="E11" s="11">
        <f t="shared" si="1"/>
        <v>25920</v>
      </c>
    </row>
    <row r="12" spans="1:10" ht="15.75" customHeight="1">
      <c r="A12" s="238"/>
      <c r="B12" s="18" t="s">
        <v>54</v>
      </c>
      <c r="C12" s="11">
        <f>SUM(O26:O29)</f>
        <v>14628</v>
      </c>
      <c r="D12" s="11">
        <f>SUM(O40:O43)</f>
        <v>17553.599999999999</v>
      </c>
      <c r="E12" s="11">
        <f>SUM(O54:O57)</f>
        <v>21064.32</v>
      </c>
    </row>
    <row r="13" spans="1:10" ht="15.75" customHeight="1">
      <c r="A13" s="239"/>
      <c r="B13" s="18" t="s">
        <v>55</v>
      </c>
      <c r="C13" s="11">
        <f>O23</f>
        <v>7200</v>
      </c>
      <c r="D13" s="11">
        <f>O37</f>
        <v>8640</v>
      </c>
      <c r="E13" s="11">
        <f>O51</f>
        <v>10368</v>
      </c>
    </row>
    <row r="14" spans="1:10" ht="15.75" customHeight="1">
      <c r="A14" s="240" t="s">
        <v>56</v>
      </c>
      <c r="B14" s="18" t="s">
        <v>57</v>
      </c>
      <c r="C14" s="11">
        <f>O24</f>
        <v>36000</v>
      </c>
      <c r="D14" s="11">
        <f>O38</f>
        <v>43200</v>
      </c>
      <c r="E14" s="11">
        <f>O52</f>
        <v>51840</v>
      </c>
    </row>
    <row r="15" spans="1:10" ht="15.75" customHeight="1">
      <c r="A15" s="239"/>
      <c r="B15" s="18" t="s">
        <v>58</v>
      </c>
      <c r="C15" s="11">
        <f>O25</f>
        <v>66000</v>
      </c>
      <c r="D15" s="11">
        <f>O39</f>
        <v>79200</v>
      </c>
      <c r="E15" s="11">
        <f>O53</f>
        <v>95040</v>
      </c>
    </row>
    <row r="16" spans="1:10" ht="15.75" customHeight="1">
      <c r="A16" s="241" t="s">
        <v>59</v>
      </c>
      <c r="B16" s="242"/>
      <c r="C16" s="17">
        <f t="shared" ref="C16:E16" si="3">SUM(C9:C15)</f>
        <v>1039428</v>
      </c>
      <c r="D16" s="17">
        <f t="shared" si="3"/>
        <v>1247313.6000000001</v>
      </c>
      <c r="E16" s="17">
        <f t="shared" si="3"/>
        <v>1496776.32</v>
      </c>
    </row>
    <row r="19" spans="1:15" ht="13">
      <c r="A19" s="20"/>
      <c r="B19" s="9" t="s">
        <v>46</v>
      </c>
      <c r="C19" s="9" t="s">
        <v>26</v>
      </c>
      <c r="D19" s="9" t="s">
        <v>27</v>
      </c>
      <c r="E19" s="9" t="s">
        <v>28</v>
      </c>
      <c r="F19" s="9" t="s">
        <v>29</v>
      </c>
      <c r="G19" s="9" t="s">
        <v>30</v>
      </c>
      <c r="H19" s="9" t="s">
        <v>31</v>
      </c>
      <c r="I19" s="9" t="s">
        <v>32</v>
      </c>
      <c r="J19" s="9" t="s">
        <v>33</v>
      </c>
      <c r="K19" s="9" t="s">
        <v>34</v>
      </c>
      <c r="L19" s="9" t="s">
        <v>35</v>
      </c>
      <c r="M19" s="9" t="s">
        <v>36</v>
      </c>
      <c r="N19" s="9" t="s">
        <v>37</v>
      </c>
      <c r="O19" s="5" t="s">
        <v>60</v>
      </c>
    </row>
    <row r="20" spans="1:15" ht="13">
      <c r="A20" s="348" t="s">
        <v>50</v>
      </c>
      <c r="B20" s="18" t="s">
        <v>51</v>
      </c>
      <c r="C20" s="12">
        <v>73000</v>
      </c>
      <c r="D20" s="12">
        <v>73000</v>
      </c>
      <c r="E20" s="12">
        <v>73000</v>
      </c>
      <c r="F20" s="12">
        <v>73000</v>
      </c>
      <c r="G20" s="12">
        <v>73000</v>
      </c>
      <c r="H20" s="12">
        <v>73000</v>
      </c>
      <c r="I20" s="12">
        <v>73000</v>
      </c>
      <c r="J20" s="12">
        <v>73000</v>
      </c>
      <c r="K20" s="12">
        <v>73000</v>
      </c>
      <c r="L20" s="12">
        <v>73000</v>
      </c>
      <c r="M20" s="12">
        <v>73000</v>
      </c>
      <c r="N20" s="12">
        <v>73000</v>
      </c>
      <c r="O20" s="11">
        <f t="shared" ref="O20:O29" si="4">SUM(C20:N20)</f>
        <v>876000</v>
      </c>
    </row>
    <row r="21" spans="1:15" ht="13">
      <c r="A21" s="350"/>
      <c r="B21" s="18" t="s">
        <v>52</v>
      </c>
      <c r="C21" s="12">
        <v>1800</v>
      </c>
      <c r="D21" s="12">
        <v>1800</v>
      </c>
      <c r="E21" s="12">
        <v>1800</v>
      </c>
      <c r="F21" s="12">
        <v>1800</v>
      </c>
      <c r="G21" s="12">
        <v>1800</v>
      </c>
      <c r="H21" s="12">
        <v>1800</v>
      </c>
      <c r="I21" s="12">
        <v>1800</v>
      </c>
      <c r="J21" s="12">
        <v>1800</v>
      </c>
      <c r="K21" s="12">
        <v>1800</v>
      </c>
      <c r="L21" s="12">
        <v>1800</v>
      </c>
      <c r="M21" s="12">
        <v>1800</v>
      </c>
      <c r="N21" s="12">
        <v>1800</v>
      </c>
      <c r="O21" s="11">
        <f t="shared" si="4"/>
        <v>21600</v>
      </c>
    </row>
    <row r="22" spans="1:15" ht="13">
      <c r="A22" s="350"/>
      <c r="B22" s="18" t="s">
        <v>53</v>
      </c>
      <c r="C22" s="12">
        <v>1500</v>
      </c>
      <c r="D22" s="12">
        <v>1500</v>
      </c>
      <c r="E22" s="12">
        <v>1500</v>
      </c>
      <c r="F22" s="12">
        <v>1500</v>
      </c>
      <c r="G22" s="12">
        <v>1500</v>
      </c>
      <c r="H22" s="12">
        <v>1500</v>
      </c>
      <c r="I22" s="12">
        <v>1500</v>
      </c>
      <c r="J22" s="12">
        <v>1500</v>
      </c>
      <c r="K22" s="12">
        <v>1500</v>
      </c>
      <c r="L22" s="12">
        <v>1500</v>
      </c>
      <c r="M22" s="12">
        <v>1500</v>
      </c>
      <c r="N22" s="12">
        <v>1500</v>
      </c>
      <c r="O22" s="11">
        <f t="shared" si="4"/>
        <v>18000</v>
      </c>
    </row>
    <row r="23" spans="1:15" ht="13">
      <c r="A23" s="349"/>
      <c r="B23" s="18" t="s">
        <v>55</v>
      </c>
      <c r="C23" s="12">
        <v>1200</v>
      </c>
      <c r="D23" s="12">
        <v>0</v>
      </c>
      <c r="E23" s="12">
        <v>1200</v>
      </c>
      <c r="F23" s="12">
        <v>0</v>
      </c>
      <c r="G23" s="12">
        <v>1200</v>
      </c>
      <c r="H23" s="12">
        <v>0</v>
      </c>
      <c r="I23" s="12">
        <v>1200</v>
      </c>
      <c r="J23" s="12">
        <v>0</v>
      </c>
      <c r="K23" s="12">
        <v>1200</v>
      </c>
      <c r="L23" s="12">
        <v>0</v>
      </c>
      <c r="M23" s="12">
        <v>1200</v>
      </c>
      <c r="N23" s="12">
        <v>0</v>
      </c>
      <c r="O23" s="11">
        <f t="shared" si="4"/>
        <v>7200</v>
      </c>
    </row>
    <row r="24" spans="1:15" ht="13">
      <c r="A24" s="347" t="s">
        <v>56</v>
      </c>
      <c r="B24" s="18" t="s">
        <v>57</v>
      </c>
      <c r="C24" s="12">
        <v>3000</v>
      </c>
      <c r="D24" s="12">
        <v>3000</v>
      </c>
      <c r="E24" s="12">
        <v>3000</v>
      </c>
      <c r="F24" s="12">
        <v>3000</v>
      </c>
      <c r="G24" s="12">
        <v>3000</v>
      </c>
      <c r="H24" s="12">
        <v>3000</v>
      </c>
      <c r="I24" s="12">
        <v>3000</v>
      </c>
      <c r="J24" s="12">
        <v>3000</v>
      </c>
      <c r="K24" s="12">
        <v>3000</v>
      </c>
      <c r="L24" s="12">
        <v>3000</v>
      </c>
      <c r="M24" s="12">
        <v>3000</v>
      </c>
      <c r="N24" s="12">
        <v>3000</v>
      </c>
      <c r="O24" s="11">
        <f t="shared" si="4"/>
        <v>36000</v>
      </c>
    </row>
    <row r="25" spans="1:15" ht="13">
      <c r="A25" s="349"/>
      <c r="B25" s="18" t="s">
        <v>58</v>
      </c>
      <c r="C25" s="12">
        <v>5500</v>
      </c>
      <c r="D25" s="12">
        <v>5500</v>
      </c>
      <c r="E25" s="12">
        <v>5500</v>
      </c>
      <c r="F25" s="12">
        <v>5500</v>
      </c>
      <c r="G25" s="12">
        <v>5500</v>
      </c>
      <c r="H25" s="12">
        <v>5500</v>
      </c>
      <c r="I25" s="12">
        <v>5500</v>
      </c>
      <c r="J25" s="12">
        <v>5500</v>
      </c>
      <c r="K25" s="12">
        <v>5500</v>
      </c>
      <c r="L25" s="12">
        <v>5500</v>
      </c>
      <c r="M25" s="12">
        <v>5500</v>
      </c>
      <c r="N25" s="12">
        <v>5500</v>
      </c>
      <c r="O25" s="11">
        <f t="shared" si="4"/>
        <v>66000</v>
      </c>
    </row>
    <row r="26" spans="1:15" s="137" customFormat="1" ht="13">
      <c r="A26" s="347" t="s">
        <v>54</v>
      </c>
      <c r="B26" s="346" t="s">
        <v>210</v>
      </c>
      <c r="C26" s="12">
        <v>500</v>
      </c>
      <c r="D26" s="12">
        <v>500</v>
      </c>
      <c r="E26" s="12">
        <v>500</v>
      </c>
      <c r="F26" s="12">
        <v>500</v>
      </c>
      <c r="G26" s="12">
        <v>500</v>
      </c>
      <c r="H26" s="12">
        <v>500</v>
      </c>
      <c r="I26" s="12">
        <v>500</v>
      </c>
      <c r="J26" s="12">
        <v>500</v>
      </c>
      <c r="K26" s="12">
        <v>500</v>
      </c>
      <c r="L26" s="12">
        <v>500</v>
      </c>
      <c r="M26" s="12">
        <v>500</v>
      </c>
      <c r="N26" s="12">
        <v>500</v>
      </c>
      <c r="O26" s="11">
        <f t="shared" si="4"/>
        <v>6000</v>
      </c>
    </row>
    <row r="27" spans="1:15" s="137" customFormat="1" ht="13">
      <c r="A27" s="348"/>
      <c r="B27" s="346" t="s">
        <v>211</v>
      </c>
      <c r="C27" s="12">
        <v>500</v>
      </c>
      <c r="D27" s="12">
        <v>500</v>
      </c>
      <c r="E27" s="12">
        <v>500</v>
      </c>
      <c r="F27" s="12">
        <v>500</v>
      </c>
      <c r="G27" s="12">
        <v>500</v>
      </c>
      <c r="H27" s="12">
        <v>500</v>
      </c>
      <c r="I27" s="12">
        <v>500</v>
      </c>
      <c r="J27" s="12">
        <v>500</v>
      </c>
      <c r="K27" s="12">
        <v>500</v>
      </c>
      <c r="L27" s="12">
        <v>500</v>
      </c>
      <c r="M27" s="12">
        <v>500</v>
      </c>
      <c r="N27" s="12">
        <v>500</v>
      </c>
      <c r="O27" s="11">
        <f t="shared" si="4"/>
        <v>6000</v>
      </c>
    </row>
    <row r="28" spans="1:15" s="137" customFormat="1" ht="13">
      <c r="A28" s="348"/>
      <c r="B28" s="346" t="s">
        <v>212</v>
      </c>
      <c r="C28" s="12">
        <v>145</v>
      </c>
      <c r="D28" s="12">
        <v>145</v>
      </c>
      <c r="E28" s="12">
        <v>145</v>
      </c>
      <c r="F28" s="12">
        <v>145</v>
      </c>
      <c r="G28" s="12">
        <v>145</v>
      </c>
      <c r="H28" s="12">
        <v>145</v>
      </c>
      <c r="I28" s="12">
        <v>145</v>
      </c>
      <c r="J28" s="12">
        <v>145</v>
      </c>
      <c r="K28" s="12">
        <v>145</v>
      </c>
      <c r="L28" s="12">
        <v>145</v>
      </c>
      <c r="M28" s="12">
        <v>145</v>
      </c>
      <c r="N28" s="12">
        <v>145</v>
      </c>
      <c r="O28" s="11">
        <f t="shared" si="4"/>
        <v>1740</v>
      </c>
    </row>
    <row r="29" spans="1:15" s="137" customFormat="1" ht="13">
      <c r="A29" s="349"/>
      <c r="B29" s="346" t="s">
        <v>213</v>
      </c>
      <c r="C29" s="12">
        <v>74</v>
      </c>
      <c r="D29" s="12">
        <v>74</v>
      </c>
      <c r="E29" s="12">
        <v>74</v>
      </c>
      <c r="F29" s="12">
        <v>74</v>
      </c>
      <c r="G29" s="12">
        <v>74</v>
      </c>
      <c r="H29" s="12">
        <v>74</v>
      </c>
      <c r="I29" s="12">
        <v>74</v>
      </c>
      <c r="J29" s="12">
        <v>74</v>
      </c>
      <c r="K29" s="12">
        <v>74</v>
      </c>
      <c r="L29" s="12">
        <v>74</v>
      </c>
      <c r="M29" s="12">
        <v>74</v>
      </c>
      <c r="N29" s="12">
        <v>74</v>
      </c>
      <c r="O29" s="11">
        <f t="shared" si="4"/>
        <v>888</v>
      </c>
    </row>
    <row r="30" spans="1:15" ht="13">
      <c r="A30" s="241" t="s">
        <v>59</v>
      </c>
      <c r="B30" s="242"/>
      <c r="C30" s="22">
        <f>SUM(C19:C29)</f>
        <v>87219</v>
      </c>
      <c r="D30" s="22">
        <f>SUM(D19:D29)</f>
        <v>86019</v>
      </c>
      <c r="E30" s="22">
        <f t="shared" ref="E30:N30" si="5">SUM(E19:E29)</f>
        <v>87219</v>
      </c>
      <c r="F30" s="22">
        <f t="shared" si="5"/>
        <v>86019</v>
      </c>
      <c r="G30" s="22">
        <f t="shared" si="5"/>
        <v>87219</v>
      </c>
      <c r="H30" s="22">
        <f t="shared" si="5"/>
        <v>86019</v>
      </c>
      <c r="I30" s="22">
        <f t="shared" si="5"/>
        <v>87219</v>
      </c>
      <c r="J30" s="22">
        <f t="shared" si="5"/>
        <v>86019</v>
      </c>
      <c r="K30" s="22">
        <f t="shared" si="5"/>
        <v>87219</v>
      </c>
      <c r="L30" s="22">
        <f t="shared" si="5"/>
        <v>86019</v>
      </c>
      <c r="M30" s="22">
        <f t="shared" si="5"/>
        <v>87219</v>
      </c>
      <c r="N30" s="22">
        <f t="shared" si="5"/>
        <v>86019</v>
      </c>
      <c r="O30" s="6"/>
    </row>
    <row r="33" spans="1:15" ht="13">
      <c r="A33" s="20"/>
      <c r="B33" s="9" t="s">
        <v>47</v>
      </c>
      <c r="C33" s="9" t="s">
        <v>26</v>
      </c>
      <c r="D33" s="9" t="s">
        <v>27</v>
      </c>
      <c r="E33" s="9" t="s">
        <v>28</v>
      </c>
      <c r="F33" s="9" t="s">
        <v>29</v>
      </c>
      <c r="G33" s="9" t="s">
        <v>30</v>
      </c>
      <c r="H33" s="9" t="s">
        <v>31</v>
      </c>
      <c r="I33" s="9" t="s">
        <v>32</v>
      </c>
      <c r="J33" s="9" t="s">
        <v>33</v>
      </c>
      <c r="K33" s="9" t="s">
        <v>34</v>
      </c>
      <c r="L33" s="9" t="s">
        <v>35</v>
      </c>
      <c r="M33" s="9" t="s">
        <v>36</v>
      </c>
      <c r="N33" s="9" t="s">
        <v>37</v>
      </c>
      <c r="O33" s="5" t="s">
        <v>60</v>
      </c>
    </row>
    <row r="34" spans="1:15" ht="13">
      <c r="A34" s="237" t="s">
        <v>50</v>
      </c>
      <c r="B34" s="18" t="s">
        <v>51</v>
      </c>
      <c r="C34" s="12">
        <f>C20*(1+H9)</f>
        <v>87600</v>
      </c>
      <c r="D34" s="12">
        <f>C34</f>
        <v>87600</v>
      </c>
      <c r="E34" s="12">
        <f t="shared" ref="E34:N34" si="6">D34</f>
        <v>87600</v>
      </c>
      <c r="F34" s="12">
        <f t="shared" si="6"/>
        <v>87600</v>
      </c>
      <c r="G34" s="12">
        <f t="shared" si="6"/>
        <v>87600</v>
      </c>
      <c r="H34" s="12">
        <f t="shared" si="6"/>
        <v>87600</v>
      </c>
      <c r="I34" s="12">
        <f t="shared" si="6"/>
        <v>87600</v>
      </c>
      <c r="J34" s="12">
        <f t="shared" si="6"/>
        <v>87600</v>
      </c>
      <c r="K34" s="12">
        <f t="shared" si="6"/>
        <v>87600</v>
      </c>
      <c r="L34" s="12">
        <f t="shared" si="6"/>
        <v>87600</v>
      </c>
      <c r="M34" s="12">
        <f t="shared" si="6"/>
        <v>87600</v>
      </c>
      <c r="N34" s="12">
        <f t="shared" si="6"/>
        <v>87600</v>
      </c>
      <c r="O34" s="11">
        <f t="shared" ref="O34:O39" si="7">SUM(C34:N34)</f>
        <v>1051200</v>
      </c>
    </row>
    <row r="35" spans="1:15" ht="13">
      <c r="A35" s="238"/>
      <c r="B35" s="18" t="s">
        <v>52</v>
      </c>
      <c r="C35" s="12">
        <f>C21*(1+H9)</f>
        <v>2160</v>
      </c>
      <c r="D35" s="12">
        <f>C35</f>
        <v>2160</v>
      </c>
      <c r="E35" s="12">
        <f t="shared" ref="E35:N35" si="8">D35</f>
        <v>2160</v>
      </c>
      <c r="F35" s="12">
        <f t="shared" si="8"/>
        <v>2160</v>
      </c>
      <c r="G35" s="12">
        <f t="shared" si="8"/>
        <v>2160</v>
      </c>
      <c r="H35" s="12">
        <f t="shared" si="8"/>
        <v>2160</v>
      </c>
      <c r="I35" s="12">
        <f t="shared" si="8"/>
        <v>2160</v>
      </c>
      <c r="J35" s="12">
        <f t="shared" si="8"/>
        <v>2160</v>
      </c>
      <c r="K35" s="12">
        <f t="shared" si="8"/>
        <v>2160</v>
      </c>
      <c r="L35" s="12">
        <f t="shared" si="8"/>
        <v>2160</v>
      </c>
      <c r="M35" s="12">
        <f t="shared" si="8"/>
        <v>2160</v>
      </c>
      <c r="N35" s="12">
        <f t="shared" si="8"/>
        <v>2160</v>
      </c>
      <c r="O35" s="11">
        <f t="shared" si="7"/>
        <v>25920</v>
      </c>
    </row>
    <row r="36" spans="1:15" ht="13">
      <c r="A36" s="238"/>
      <c r="B36" s="18" t="s">
        <v>53</v>
      </c>
      <c r="C36" s="12">
        <f>C22*(1+H9)</f>
        <v>1800</v>
      </c>
      <c r="D36" s="12">
        <f>C36</f>
        <v>1800</v>
      </c>
      <c r="E36" s="12">
        <f>D36</f>
        <v>1800</v>
      </c>
      <c r="F36" s="12">
        <f t="shared" ref="F36:N36" si="9">E36</f>
        <v>1800</v>
      </c>
      <c r="G36" s="12">
        <f t="shared" si="9"/>
        <v>1800</v>
      </c>
      <c r="H36" s="12">
        <f t="shared" si="9"/>
        <v>1800</v>
      </c>
      <c r="I36" s="12">
        <f t="shared" si="9"/>
        <v>1800</v>
      </c>
      <c r="J36" s="12">
        <f t="shared" si="9"/>
        <v>1800</v>
      </c>
      <c r="K36" s="12">
        <f t="shared" si="9"/>
        <v>1800</v>
      </c>
      <c r="L36" s="12">
        <f t="shared" si="9"/>
        <v>1800</v>
      </c>
      <c r="M36" s="12">
        <f t="shared" si="9"/>
        <v>1800</v>
      </c>
      <c r="N36" s="12">
        <f t="shared" si="9"/>
        <v>1800</v>
      </c>
      <c r="O36" s="11">
        <f t="shared" si="7"/>
        <v>21600</v>
      </c>
    </row>
    <row r="37" spans="1:15" ht="13">
      <c r="A37" s="239"/>
      <c r="B37" s="18" t="s">
        <v>55</v>
      </c>
      <c r="C37" s="12">
        <f>C23*(1+H9)</f>
        <v>1440</v>
      </c>
      <c r="D37" s="12">
        <v>0</v>
      </c>
      <c r="E37" s="12">
        <f>C37</f>
        <v>1440</v>
      </c>
      <c r="F37" s="12">
        <v>0</v>
      </c>
      <c r="G37" s="12">
        <f>E37</f>
        <v>1440</v>
      </c>
      <c r="H37" s="12">
        <v>0</v>
      </c>
      <c r="I37" s="12">
        <f>G37</f>
        <v>1440</v>
      </c>
      <c r="J37" s="12">
        <v>0</v>
      </c>
      <c r="K37" s="12">
        <f>I37</f>
        <v>1440</v>
      </c>
      <c r="L37" s="12">
        <v>0</v>
      </c>
      <c r="M37" s="12">
        <f>K37</f>
        <v>1440</v>
      </c>
      <c r="N37" s="12">
        <v>0</v>
      </c>
      <c r="O37" s="11">
        <f t="shared" si="7"/>
        <v>8640</v>
      </c>
    </row>
    <row r="38" spans="1:15" ht="13">
      <c r="A38" s="240" t="s">
        <v>56</v>
      </c>
      <c r="B38" s="18" t="s">
        <v>57</v>
      </c>
      <c r="C38" s="12">
        <f>C24*(1+H9)</f>
        <v>3600</v>
      </c>
      <c r="D38" s="12">
        <f>C38</f>
        <v>3600</v>
      </c>
      <c r="E38" s="12">
        <f t="shared" ref="E38:N38" si="10">D38</f>
        <v>3600</v>
      </c>
      <c r="F38" s="12">
        <f t="shared" si="10"/>
        <v>3600</v>
      </c>
      <c r="G38" s="12">
        <f t="shared" si="10"/>
        <v>3600</v>
      </c>
      <c r="H38" s="12">
        <f t="shared" si="10"/>
        <v>3600</v>
      </c>
      <c r="I38" s="12">
        <f t="shared" si="10"/>
        <v>3600</v>
      </c>
      <c r="J38" s="12">
        <f t="shared" si="10"/>
        <v>3600</v>
      </c>
      <c r="K38" s="12">
        <f t="shared" si="10"/>
        <v>3600</v>
      </c>
      <c r="L38" s="12">
        <f t="shared" si="10"/>
        <v>3600</v>
      </c>
      <c r="M38" s="12">
        <f t="shared" si="10"/>
        <v>3600</v>
      </c>
      <c r="N38" s="12">
        <f t="shared" si="10"/>
        <v>3600</v>
      </c>
      <c r="O38" s="11">
        <f t="shared" si="7"/>
        <v>43200</v>
      </c>
    </row>
    <row r="39" spans="1:15" ht="13">
      <c r="A39" s="239"/>
      <c r="B39" s="18" t="s">
        <v>58</v>
      </c>
      <c r="C39" s="12">
        <f>C25*(1+H9)</f>
        <v>6600</v>
      </c>
      <c r="D39" s="12">
        <f>C39</f>
        <v>6600</v>
      </c>
      <c r="E39" s="12">
        <f t="shared" ref="E39:N43" si="11">D39</f>
        <v>6600</v>
      </c>
      <c r="F39" s="12">
        <f t="shared" si="11"/>
        <v>6600</v>
      </c>
      <c r="G39" s="12">
        <f t="shared" si="11"/>
        <v>6600</v>
      </c>
      <c r="H39" s="12">
        <f t="shared" si="11"/>
        <v>6600</v>
      </c>
      <c r="I39" s="12">
        <f t="shared" si="11"/>
        <v>6600</v>
      </c>
      <c r="J39" s="12">
        <f t="shared" si="11"/>
        <v>6600</v>
      </c>
      <c r="K39" s="12">
        <f t="shared" si="11"/>
        <v>6600</v>
      </c>
      <c r="L39" s="12">
        <f t="shared" si="11"/>
        <v>6600</v>
      </c>
      <c r="M39" s="12">
        <f t="shared" si="11"/>
        <v>6600</v>
      </c>
      <c r="N39" s="12">
        <f t="shared" si="11"/>
        <v>6600</v>
      </c>
      <c r="O39" s="11">
        <f t="shared" si="7"/>
        <v>79200</v>
      </c>
    </row>
    <row r="40" spans="1:15" s="137" customFormat="1" ht="13">
      <c r="A40" s="347" t="s">
        <v>54</v>
      </c>
      <c r="B40" s="346" t="s">
        <v>210</v>
      </c>
      <c r="C40" s="12">
        <f>500*(1+H9)</f>
        <v>600</v>
      </c>
      <c r="D40" s="12">
        <f>C40</f>
        <v>600</v>
      </c>
      <c r="E40" s="12">
        <f t="shared" si="11"/>
        <v>600</v>
      </c>
      <c r="F40" s="12">
        <f t="shared" si="11"/>
        <v>600</v>
      </c>
      <c r="G40" s="12">
        <f t="shared" si="11"/>
        <v>600</v>
      </c>
      <c r="H40" s="12">
        <f t="shared" ref="H40:H43" si="12">G40</f>
        <v>600</v>
      </c>
      <c r="I40" s="12">
        <f t="shared" ref="I40:I43" si="13">H40</f>
        <v>600</v>
      </c>
      <c r="J40" s="12">
        <f t="shared" si="11"/>
        <v>600</v>
      </c>
      <c r="K40" s="12">
        <f t="shared" ref="K40:K43" si="14">J40</f>
        <v>600</v>
      </c>
      <c r="L40" s="12">
        <f t="shared" ref="L40:L43" si="15">K40</f>
        <v>600</v>
      </c>
      <c r="M40" s="12">
        <f t="shared" si="11"/>
        <v>600</v>
      </c>
      <c r="N40" s="12">
        <f t="shared" ref="N40:N43" si="16">M40</f>
        <v>600</v>
      </c>
      <c r="O40" s="11">
        <f>SUM(C40:N40)</f>
        <v>7200</v>
      </c>
    </row>
    <row r="41" spans="1:15" s="137" customFormat="1" ht="13">
      <c r="A41" s="348"/>
      <c r="B41" s="346" t="s">
        <v>211</v>
      </c>
      <c r="C41" s="12">
        <f>500*(1+H9)</f>
        <v>600</v>
      </c>
      <c r="D41" s="12">
        <f>C41</f>
        <v>600</v>
      </c>
      <c r="E41" s="12">
        <f t="shared" si="11"/>
        <v>600</v>
      </c>
      <c r="F41" s="12">
        <f t="shared" si="11"/>
        <v>600</v>
      </c>
      <c r="G41" s="12">
        <f t="shared" si="11"/>
        <v>600</v>
      </c>
      <c r="H41" s="12">
        <f t="shared" si="12"/>
        <v>600</v>
      </c>
      <c r="I41" s="12">
        <f t="shared" si="13"/>
        <v>600</v>
      </c>
      <c r="J41" s="12">
        <f t="shared" si="11"/>
        <v>600</v>
      </c>
      <c r="K41" s="12">
        <f t="shared" si="14"/>
        <v>600</v>
      </c>
      <c r="L41" s="12">
        <f t="shared" si="15"/>
        <v>600</v>
      </c>
      <c r="M41" s="12">
        <f t="shared" si="11"/>
        <v>600</v>
      </c>
      <c r="N41" s="12">
        <f t="shared" si="16"/>
        <v>600</v>
      </c>
      <c r="O41" s="11">
        <f t="shared" ref="O40:O43" si="17">SUM(C41:N41)</f>
        <v>7200</v>
      </c>
    </row>
    <row r="42" spans="1:15" s="137" customFormat="1" ht="13">
      <c r="A42" s="348"/>
      <c r="B42" s="346" t="s">
        <v>212</v>
      </c>
      <c r="C42" s="12">
        <f>145*(1+H9)</f>
        <v>174</v>
      </c>
      <c r="D42" s="12">
        <f>C42</f>
        <v>174</v>
      </c>
      <c r="E42" s="12">
        <f t="shared" si="11"/>
        <v>174</v>
      </c>
      <c r="F42" s="12">
        <f t="shared" si="11"/>
        <v>174</v>
      </c>
      <c r="G42" s="12">
        <f t="shared" si="11"/>
        <v>174</v>
      </c>
      <c r="H42" s="12">
        <f t="shared" si="12"/>
        <v>174</v>
      </c>
      <c r="I42" s="12">
        <f t="shared" si="13"/>
        <v>174</v>
      </c>
      <c r="J42" s="12">
        <f t="shared" si="11"/>
        <v>174</v>
      </c>
      <c r="K42" s="12">
        <f t="shared" si="14"/>
        <v>174</v>
      </c>
      <c r="L42" s="12">
        <f t="shared" si="15"/>
        <v>174</v>
      </c>
      <c r="M42" s="12">
        <f t="shared" si="11"/>
        <v>174</v>
      </c>
      <c r="N42" s="12">
        <f t="shared" si="16"/>
        <v>174</v>
      </c>
      <c r="O42" s="11">
        <f t="shared" si="17"/>
        <v>2088</v>
      </c>
    </row>
    <row r="43" spans="1:15" s="137" customFormat="1" ht="13">
      <c r="A43" s="349"/>
      <c r="B43" s="346" t="s">
        <v>213</v>
      </c>
      <c r="C43" s="12">
        <f>74*(1+H9)</f>
        <v>88.8</v>
      </c>
      <c r="D43" s="12">
        <f>C43</f>
        <v>88.8</v>
      </c>
      <c r="E43" s="12">
        <f t="shared" si="11"/>
        <v>88.8</v>
      </c>
      <c r="F43" s="12">
        <f t="shared" si="11"/>
        <v>88.8</v>
      </c>
      <c r="G43" s="12">
        <f t="shared" si="11"/>
        <v>88.8</v>
      </c>
      <c r="H43" s="12">
        <f t="shared" si="12"/>
        <v>88.8</v>
      </c>
      <c r="I43" s="12">
        <f t="shared" si="13"/>
        <v>88.8</v>
      </c>
      <c r="J43" s="12">
        <f t="shared" si="11"/>
        <v>88.8</v>
      </c>
      <c r="K43" s="12">
        <f t="shared" si="14"/>
        <v>88.8</v>
      </c>
      <c r="L43" s="12">
        <f t="shared" si="15"/>
        <v>88.8</v>
      </c>
      <c r="M43" s="12">
        <f t="shared" si="11"/>
        <v>88.8</v>
      </c>
      <c r="N43" s="12">
        <f t="shared" si="16"/>
        <v>88.8</v>
      </c>
      <c r="O43" s="11">
        <f t="shared" si="17"/>
        <v>1065.5999999999997</v>
      </c>
    </row>
    <row r="44" spans="1:15" ht="13">
      <c r="A44" s="241" t="s">
        <v>59</v>
      </c>
      <c r="B44" s="242"/>
      <c r="C44" s="17">
        <f>SUM(C34:C43)</f>
        <v>104662.8</v>
      </c>
      <c r="D44" s="17">
        <f t="shared" ref="D44:N44" si="18">SUM(D34:D43)</f>
        <v>103222.8</v>
      </c>
      <c r="E44" s="17">
        <f t="shared" si="18"/>
        <v>104662.8</v>
      </c>
      <c r="F44" s="17">
        <f t="shared" si="18"/>
        <v>103222.8</v>
      </c>
      <c r="G44" s="17">
        <f t="shared" si="18"/>
        <v>104662.8</v>
      </c>
      <c r="H44" s="17">
        <f t="shared" si="18"/>
        <v>103222.8</v>
      </c>
      <c r="I44" s="17">
        <f t="shared" si="18"/>
        <v>104662.8</v>
      </c>
      <c r="J44" s="17">
        <f t="shared" si="18"/>
        <v>103222.8</v>
      </c>
      <c r="K44" s="17">
        <f t="shared" si="18"/>
        <v>104662.8</v>
      </c>
      <c r="L44" s="17">
        <f t="shared" si="18"/>
        <v>103222.8</v>
      </c>
      <c r="M44" s="17">
        <f t="shared" si="18"/>
        <v>104662.8</v>
      </c>
      <c r="N44" s="17">
        <f t="shared" si="18"/>
        <v>103222.8</v>
      </c>
      <c r="O44" s="6"/>
    </row>
    <row r="47" spans="1:15" ht="13">
      <c r="A47" s="20"/>
      <c r="B47" s="9" t="s">
        <v>48</v>
      </c>
      <c r="C47" s="9" t="s">
        <v>26</v>
      </c>
      <c r="D47" s="9" t="s">
        <v>27</v>
      </c>
      <c r="E47" s="9" t="s">
        <v>28</v>
      </c>
      <c r="F47" s="9" t="s">
        <v>29</v>
      </c>
      <c r="G47" s="9" t="s">
        <v>30</v>
      </c>
      <c r="H47" s="9" t="s">
        <v>31</v>
      </c>
      <c r="I47" s="9" t="s">
        <v>32</v>
      </c>
      <c r="J47" s="9" t="s">
        <v>33</v>
      </c>
      <c r="K47" s="9" t="s">
        <v>34</v>
      </c>
      <c r="L47" s="9" t="s">
        <v>35</v>
      </c>
      <c r="M47" s="9" t="s">
        <v>36</v>
      </c>
      <c r="N47" s="9" t="s">
        <v>37</v>
      </c>
      <c r="O47" s="5" t="s">
        <v>60</v>
      </c>
    </row>
    <row r="48" spans="1:15" ht="13">
      <c r="A48" s="237" t="s">
        <v>50</v>
      </c>
      <c r="B48" s="18" t="s">
        <v>51</v>
      </c>
      <c r="C48" s="12">
        <f>C34*(1+I9)</f>
        <v>105120</v>
      </c>
      <c r="D48" s="12">
        <f>C48</f>
        <v>105120</v>
      </c>
      <c r="E48" s="12">
        <f t="shared" ref="E48:N48" si="19">D48</f>
        <v>105120</v>
      </c>
      <c r="F48" s="12">
        <f t="shared" si="19"/>
        <v>105120</v>
      </c>
      <c r="G48" s="12">
        <f t="shared" si="19"/>
        <v>105120</v>
      </c>
      <c r="H48" s="12">
        <f t="shared" si="19"/>
        <v>105120</v>
      </c>
      <c r="I48" s="12">
        <f t="shared" si="19"/>
        <v>105120</v>
      </c>
      <c r="J48" s="12">
        <f t="shared" si="19"/>
        <v>105120</v>
      </c>
      <c r="K48" s="12">
        <f t="shared" si="19"/>
        <v>105120</v>
      </c>
      <c r="L48" s="12">
        <f t="shared" si="19"/>
        <v>105120</v>
      </c>
      <c r="M48" s="12">
        <f t="shared" si="19"/>
        <v>105120</v>
      </c>
      <c r="N48" s="12">
        <f t="shared" si="19"/>
        <v>105120</v>
      </c>
      <c r="O48" s="11">
        <f t="shared" ref="O48:O53" si="20">SUM(C48:N48)</f>
        <v>1261440</v>
      </c>
    </row>
    <row r="49" spans="1:15" ht="13">
      <c r="A49" s="238"/>
      <c r="B49" s="18" t="s">
        <v>52</v>
      </c>
      <c r="C49" s="12">
        <f>C35*(1+I9)</f>
        <v>2592</v>
      </c>
      <c r="D49" s="12">
        <f>C49</f>
        <v>2592</v>
      </c>
      <c r="E49" s="12">
        <f t="shared" ref="E49:N49" si="21">D49</f>
        <v>2592</v>
      </c>
      <c r="F49" s="12">
        <f t="shared" si="21"/>
        <v>2592</v>
      </c>
      <c r="G49" s="12">
        <f t="shared" si="21"/>
        <v>2592</v>
      </c>
      <c r="H49" s="12">
        <f t="shared" si="21"/>
        <v>2592</v>
      </c>
      <c r="I49" s="12">
        <f t="shared" si="21"/>
        <v>2592</v>
      </c>
      <c r="J49" s="12">
        <f t="shared" si="21"/>
        <v>2592</v>
      </c>
      <c r="K49" s="12">
        <f t="shared" si="21"/>
        <v>2592</v>
      </c>
      <c r="L49" s="12">
        <f t="shared" si="21"/>
        <v>2592</v>
      </c>
      <c r="M49" s="12">
        <f t="shared" si="21"/>
        <v>2592</v>
      </c>
      <c r="N49" s="12">
        <f t="shared" si="21"/>
        <v>2592</v>
      </c>
      <c r="O49" s="11">
        <f t="shared" si="20"/>
        <v>31104</v>
      </c>
    </row>
    <row r="50" spans="1:15" ht="13">
      <c r="A50" s="238"/>
      <c r="B50" s="18" t="s">
        <v>53</v>
      </c>
      <c r="C50" s="12">
        <f>C36*(1+I9)</f>
        <v>2160</v>
      </c>
      <c r="D50" s="12">
        <f>C50</f>
        <v>2160</v>
      </c>
      <c r="E50" s="12">
        <f t="shared" ref="E50:N50" si="22">D50</f>
        <v>2160</v>
      </c>
      <c r="F50" s="12">
        <f t="shared" si="22"/>
        <v>2160</v>
      </c>
      <c r="G50" s="12">
        <f t="shared" si="22"/>
        <v>2160</v>
      </c>
      <c r="H50" s="12">
        <f t="shared" si="22"/>
        <v>2160</v>
      </c>
      <c r="I50" s="12">
        <f t="shared" si="22"/>
        <v>2160</v>
      </c>
      <c r="J50" s="12">
        <f t="shared" si="22"/>
        <v>2160</v>
      </c>
      <c r="K50" s="12">
        <f t="shared" si="22"/>
        <v>2160</v>
      </c>
      <c r="L50" s="12">
        <f t="shared" si="22"/>
        <v>2160</v>
      </c>
      <c r="M50" s="12">
        <f t="shared" si="22"/>
        <v>2160</v>
      </c>
      <c r="N50" s="12">
        <f t="shared" si="22"/>
        <v>2160</v>
      </c>
      <c r="O50" s="11">
        <f t="shared" si="20"/>
        <v>25920</v>
      </c>
    </row>
    <row r="51" spans="1:15" ht="13">
      <c r="A51" s="239"/>
      <c r="B51" s="18" t="s">
        <v>55</v>
      </c>
      <c r="C51" s="12">
        <f>C37*(1+I9)</f>
        <v>1728</v>
      </c>
      <c r="D51" s="12">
        <v>0</v>
      </c>
      <c r="E51" s="12">
        <f>C51</f>
        <v>1728</v>
      </c>
      <c r="F51" s="12">
        <v>0</v>
      </c>
      <c r="G51" s="12">
        <f>E51</f>
        <v>1728</v>
      </c>
      <c r="H51" s="12">
        <v>0</v>
      </c>
      <c r="I51" s="12">
        <f>G51</f>
        <v>1728</v>
      </c>
      <c r="J51" s="12">
        <v>0</v>
      </c>
      <c r="K51" s="12">
        <f>I51</f>
        <v>1728</v>
      </c>
      <c r="L51" s="12">
        <v>0</v>
      </c>
      <c r="M51" s="12">
        <f>K51</f>
        <v>1728</v>
      </c>
      <c r="N51" s="12">
        <v>0</v>
      </c>
      <c r="O51" s="11">
        <f t="shared" si="20"/>
        <v>10368</v>
      </c>
    </row>
    <row r="52" spans="1:15" ht="13">
      <c r="A52" s="240" t="s">
        <v>56</v>
      </c>
      <c r="B52" s="18" t="s">
        <v>57</v>
      </c>
      <c r="C52" s="12">
        <f>C38*(1+I9)</f>
        <v>4320</v>
      </c>
      <c r="D52" s="12">
        <f>C52</f>
        <v>4320</v>
      </c>
      <c r="E52" s="12">
        <f t="shared" ref="E52:N52" si="23">D52</f>
        <v>4320</v>
      </c>
      <c r="F52" s="12">
        <f t="shared" si="23"/>
        <v>4320</v>
      </c>
      <c r="G52" s="12">
        <f t="shared" si="23"/>
        <v>4320</v>
      </c>
      <c r="H52" s="12">
        <f t="shared" si="23"/>
        <v>4320</v>
      </c>
      <c r="I52" s="12">
        <f t="shared" si="23"/>
        <v>4320</v>
      </c>
      <c r="J52" s="12">
        <f t="shared" si="23"/>
        <v>4320</v>
      </c>
      <c r="K52" s="12">
        <f t="shared" si="23"/>
        <v>4320</v>
      </c>
      <c r="L52" s="12">
        <f t="shared" si="23"/>
        <v>4320</v>
      </c>
      <c r="M52" s="12">
        <f t="shared" si="23"/>
        <v>4320</v>
      </c>
      <c r="N52" s="12">
        <f t="shared" si="23"/>
        <v>4320</v>
      </c>
      <c r="O52" s="11">
        <f t="shared" si="20"/>
        <v>51840</v>
      </c>
    </row>
    <row r="53" spans="1:15" ht="13">
      <c r="A53" s="239"/>
      <c r="B53" s="18" t="s">
        <v>58</v>
      </c>
      <c r="C53" s="12">
        <f>C39*(1+I9)</f>
        <v>7920</v>
      </c>
      <c r="D53" s="12">
        <f>C53</f>
        <v>7920</v>
      </c>
      <c r="E53" s="12">
        <f t="shared" ref="E53:N57" si="24">D53</f>
        <v>7920</v>
      </c>
      <c r="F53" s="12">
        <f t="shared" si="24"/>
        <v>7920</v>
      </c>
      <c r="G53" s="12">
        <f t="shared" si="24"/>
        <v>7920</v>
      </c>
      <c r="H53" s="12">
        <f t="shared" si="24"/>
        <v>7920</v>
      </c>
      <c r="I53" s="12">
        <f t="shared" si="24"/>
        <v>7920</v>
      </c>
      <c r="J53" s="12">
        <f t="shared" si="24"/>
        <v>7920</v>
      </c>
      <c r="K53" s="12">
        <f t="shared" si="24"/>
        <v>7920</v>
      </c>
      <c r="L53" s="12">
        <f t="shared" si="24"/>
        <v>7920</v>
      </c>
      <c r="M53" s="12">
        <f t="shared" si="24"/>
        <v>7920</v>
      </c>
      <c r="N53" s="12">
        <f t="shared" si="24"/>
        <v>7920</v>
      </c>
      <c r="O53" s="11">
        <f t="shared" si="20"/>
        <v>95040</v>
      </c>
    </row>
    <row r="54" spans="1:15" s="137" customFormat="1" ht="13">
      <c r="A54" s="347" t="s">
        <v>54</v>
      </c>
      <c r="B54" s="346" t="s">
        <v>210</v>
      </c>
      <c r="C54" s="12">
        <f>C40*(1+I9)</f>
        <v>720</v>
      </c>
      <c r="D54" s="12">
        <f>C54</f>
        <v>720</v>
      </c>
      <c r="E54" s="12">
        <f t="shared" si="24"/>
        <v>720</v>
      </c>
      <c r="F54" s="12">
        <f t="shared" si="24"/>
        <v>720</v>
      </c>
      <c r="G54" s="12">
        <f t="shared" si="24"/>
        <v>720</v>
      </c>
      <c r="H54" s="12">
        <f t="shared" si="24"/>
        <v>720</v>
      </c>
      <c r="I54" s="12">
        <f t="shared" si="24"/>
        <v>720</v>
      </c>
      <c r="J54" s="12">
        <f t="shared" si="24"/>
        <v>720</v>
      </c>
      <c r="K54" s="12">
        <f t="shared" si="24"/>
        <v>720</v>
      </c>
      <c r="L54" s="12">
        <f t="shared" si="24"/>
        <v>720</v>
      </c>
      <c r="M54" s="12">
        <f t="shared" si="24"/>
        <v>720</v>
      </c>
      <c r="N54" s="12">
        <f t="shared" si="24"/>
        <v>720</v>
      </c>
      <c r="O54" s="11">
        <f t="shared" ref="O54:O57" si="25">SUM(C54:N54)</f>
        <v>8640</v>
      </c>
    </row>
    <row r="55" spans="1:15" s="137" customFormat="1" ht="13">
      <c r="A55" s="348"/>
      <c r="B55" s="346" t="s">
        <v>211</v>
      </c>
      <c r="C55" s="12">
        <f>C41*(1+I9)</f>
        <v>720</v>
      </c>
      <c r="D55" s="12">
        <f>C55</f>
        <v>720</v>
      </c>
      <c r="E55" s="12">
        <f t="shared" si="24"/>
        <v>720</v>
      </c>
      <c r="F55" s="12">
        <f t="shared" si="24"/>
        <v>720</v>
      </c>
      <c r="G55" s="12">
        <f t="shared" si="24"/>
        <v>720</v>
      </c>
      <c r="H55" s="12">
        <f t="shared" si="24"/>
        <v>720</v>
      </c>
      <c r="I55" s="12">
        <f t="shared" si="24"/>
        <v>720</v>
      </c>
      <c r="J55" s="12">
        <f t="shared" si="24"/>
        <v>720</v>
      </c>
      <c r="K55" s="12">
        <f t="shared" si="24"/>
        <v>720</v>
      </c>
      <c r="L55" s="12">
        <f t="shared" si="24"/>
        <v>720</v>
      </c>
      <c r="M55" s="12">
        <f t="shared" si="24"/>
        <v>720</v>
      </c>
      <c r="N55" s="12">
        <f t="shared" si="24"/>
        <v>720</v>
      </c>
      <c r="O55" s="11">
        <f t="shared" si="25"/>
        <v>8640</v>
      </c>
    </row>
    <row r="56" spans="1:15" s="137" customFormat="1" ht="13">
      <c r="A56" s="348"/>
      <c r="B56" s="346" t="s">
        <v>212</v>
      </c>
      <c r="C56" s="12">
        <f>C42*(1+I9)</f>
        <v>208.79999999999998</v>
      </c>
      <c r="D56" s="12">
        <f>C56</f>
        <v>208.79999999999998</v>
      </c>
      <c r="E56" s="12">
        <f t="shared" si="24"/>
        <v>208.79999999999998</v>
      </c>
      <c r="F56" s="12">
        <f t="shared" si="24"/>
        <v>208.79999999999998</v>
      </c>
      <c r="G56" s="12">
        <f t="shared" si="24"/>
        <v>208.79999999999998</v>
      </c>
      <c r="H56" s="12">
        <f t="shared" si="24"/>
        <v>208.79999999999998</v>
      </c>
      <c r="I56" s="12">
        <f t="shared" si="24"/>
        <v>208.79999999999998</v>
      </c>
      <c r="J56" s="12">
        <f t="shared" si="24"/>
        <v>208.79999999999998</v>
      </c>
      <c r="K56" s="12">
        <f t="shared" si="24"/>
        <v>208.79999999999998</v>
      </c>
      <c r="L56" s="12">
        <f t="shared" si="24"/>
        <v>208.79999999999998</v>
      </c>
      <c r="M56" s="12">
        <f t="shared" si="24"/>
        <v>208.79999999999998</v>
      </c>
      <c r="N56" s="12">
        <f t="shared" si="24"/>
        <v>208.79999999999998</v>
      </c>
      <c r="O56" s="11">
        <f t="shared" si="25"/>
        <v>2505.6000000000004</v>
      </c>
    </row>
    <row r="57" spans="1:15" s="137" customFormat="1" ht="13">
      <c r="A57" s="349"/>
      <c r="B57" s="346" t="s">
        <v>213</v>
      </c>
      <c r="C57" s="12">
        <f>C43*(1+I9)</f>
        <v>106.55999999999999</v>
      </c>
      <c r="D57" s="12">
        <f>C57</f>
        <v>106.55999999999999</v>
      </c>
      <c r="E57" s="12">
        <f t="shared" si="24"/>
        <v>106.55999999999999</v>
      </c>
      <c r="F57" s="12">
        <f t="shared" si="24"/>
        <v>106.55999999999999</v>
      </c>
      <c r="G57" s="12">
        <f t="shared" si="24"/>
        <v>106.55999999999999</v>
      </c>
      <c r="H57" s="12">
        <f t="shared" si="24"/>
        <v>106.55999999999999</v>
      </c>
      <c r="I57" s="12">
        <f t="shared" si="24"/>
        <v>106.55999999999999</v>
      </c>
      <c r="J57" s="12">
        <f t="shared" si="24"/>
        <v>106.55999999999999</v>
      </c>
      <c r="K57" s="12">
        <f t="shared" si="24"/>
        <v>106.55999999999999</v>
      </c>
      <c r="L57" s="12">
        <f t="shared" si="24"/>
        <v>106.55999999999999</v>
      </c>
      <c r="M57" s="12">
        <f t="shared" si="24"/>
        <v>106.55999999999999</v>
      </c>
      <c r="N57" s="12">
        <f t="shared" si="24"/>
        <v>106.55999999999999</v>
      </c>
      <c r="O57" s="11">
        <f t="shared" si="25"/>
        <v>1278.7199999999996</v>
      </c>
    </row>
    <row r="58" spans="1:15" ht="13">
      <c r="A58" s="241" t="s">
        <v>59</v>
      </c>
      <c r="B58" s="242"/>
      <c r="C58" s="22">
        <f>SUM(C47:C53)</f>
        <v>123840</v>
      </c>
      <c r="D58" s="22">
        <f>SUM(D47:D53)</f>
        <v>122112</v>
      </c>
      <c r="E58" s="22">
        <f>SUM(E47:E53)</f>
        <v>123840</v>
      </c>
      <c r="F58" s="22">
        <f>SUM(F47:F53)</f>
        <v>122112</v>
      </c>
      <c r="G58" s="22">
        <f>SUM(G47:G53)</f>
        <v>123840</v>
      </c>
      <c r="H58" s="22">
        <f>SUM(H47:H53)</f>
        <v>122112</v>
      </c>
      <c r="I58" s="22">
        <f>SUM(I47:I53)</f>
        <v>123840</v>
      </c>
      <c r="J58" s="22">
        <f>SUM(J47:J53)</f>
        <v>122112</v>
      </c>
      <c r="K58" s="22">
        <f>SUM(K47:K53)</f>
        <v>123840</v>
      </c>
      <c r="L58" s="22">
        <f>SUM(L47:L53)</f>
        <v>122112</v>
      </c>
      <c r="M58" s="22">
        <f>SUM(M47:M53)</f>
        <v>123840</v>
      </c>
      <c r="N58" s="22">
        <f>SUM(N47:N53)</f>
        <v>122112</v>
      </c>
      <c r="O58" s="6"/>
    </row>
  </sheetData>
  <mergeCells count="20">
    <mergeCell ref="A24:A25"/>
    <mergeCell ref="A52:A53"/>
    <mergeCell ref="A58:B58"/>
    <mergeCell ref="A38:A39"/>
    <mergeCell ref="A44:B44"/>
    <mergeCell ref="A48:A51"/>
    <mergeCell ref="A34:A37"/>
    <mergeCell ref="A30:B30"/>
    <mergeCell ref="A26:A29"/>
    <mergeCell ref="A40:A43"/>
    <mergeCell ref="A54:A57"/>
    <mergeCell ref="A20:A23"/>
    <mergeCell ref="A9:A13"/>
    <mergeCell ref="D1:G1"/>
    <mergeCell ref="D2:G2"/>
    <mergeCell ref="D3:G3"/>
    <mergeCell ref="D4:G4"/>
    <mergeCell ref="D5:G5"/>
    <mergeCell ref="A14:A15"/>
    <mergeCell ref="A16:B16"/>
  </mergeCells>
  <hyperlinks>
    <hyperlink ref="A5" location="Indice!A1" display="Indice" xr:uid="{346D01D6-552E-47DD-9BC7-C828B71CDF14}"/>
  </hyperlinks>
  <pageMargins left="0.7" right="0.7" top="0.75" bottom="0.75" header="0.3" footer="0.3"/>
  <ignoredErrors>
    <ignoredError sqref="D34 E37 G37 I37 K37 M37 D41:D43 E51 G51 I51 K51 M51" formula="1"/>
  </ignoredErrors>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P40"/>
  <sheetViews>
    <sheetView workbookViewId="0">
      <pane ySplit="6" topLeftCell="A10" activePane="bottomLeft" state="frozen"/>
      <selection pane="bottomLeft" activeCell="B8" sqref="B8"/>
    </sheetView>
  </sheetViews>
  <sheetFormatPr defaultColWidth="14.453125" defaultRowHeight="15.75" customHeight="1"/>
  <cols>
    <col min="2" max="2" width="34.453125" bestFit="1" customWidth="1"/>
    <col min="4" max="4" width="15.453125" customWidth="1"/>
  </cols>
  <sheetData>
    <row r="1" spans="1:16" s="64" customFormat="1" ht="15.75" customHeight="1">
      <c r="D1" s="170" t="s">
        <v>0</v>
      </c>
      <c r="E1" s="170"/>
      <c r="F1" s="170"/>
      <c r="G1" s="170"/>
    </row>
    <row r="2" spans="1:16" s="64" customFormat="1" ht="15.75" customHeight="1">
      <c r="A2" s="68"/>
      <c r="D2" s="171" t="s">
        <v>147</v>
      </c>
      <c r="E2" s="172"/>
      <c r="F2" s="172"/>
      <c r="G2" s="172"/>
    </row>
    <row r="3" spans="1:16" s="64" customFormat="1" ht="15.75" customHeight="1">
      <c r="A3" s="66"/>
      <c r="D3" s="171" t="s">
        <v>144</v>
      </c>
      <c r="E3" s="172"/>
      <c r="F3" s="172"/>
      <c r="G3" s="172"/>
    </row>
    <row r="4" spans="1:16" s="64" customFormat="1" ht="15.75" customHeight="1">
      <c r="A4" s="69"/>
      <c r="D4" s="171" t="s">
        <v>145</v>
      </c>
      <c r="E4" s="172"/>
      <c r="F4" s="172"/>
      <c r="G4" s="172"/>
    </row>
    <row r="5" spans="1:16" s="64" customFormat="1" ht="15.75" customHeight="1">
      <c r="A5" s="66" t="s">
        <v>1</v>
      </c>
      <c r="D5" s="171" t="s">
        <v>146</v>
      </c>
      <c r="E5" s="172"/>
      <c r="F5" s="172"/>
      <c r="G5" s="172"/>
    </row>
    <row r="6" spans="1:16" s="65" customFormat="1" ht="14.5" thickBot="1">
      <c r="A6" s="235" t="s">
        <v>61</v>
      </c>
      <c r="B6" s="236"/>
      <c r="H6" s="74"/>
    </row>
    <row r="7" spans="1:16" ht="15.75" customHeight="1" thickBot="1"/>
    <row r="8" spans="1:16" ht="15.75" customHeight="1" thickBot="1">
      <c r="B8" s="62"/>
      <c r="C8" s="442" t="s">
        <v>25</v>
      </c>
      <c r="D8" s="400" t="s">
        <v>40</v>
      </c>
      <c r="E8" s="138" t="s">
        <v>41</v>
      </c>
      <c r="G8" s="253" t="s">
        <v>61</v>
      </c>
      <c r="H8" s="252"/>
      <c r="I8" s="252"/>
      <c r="J8" s="252"/>
      <c r="K8" s="242"/>
      <c r="M8" s="62"/>
      <c r="N8" s="78" t="s">
        <v>25</v>
      </c>
      <c r="O8" s="78" t="s">
        <v>40</v>
      </c>
      <c r="P8" s="79" t="s">
        <v>41</v>
      </c>
    </row>
    <row r="9" spans="1:16" ht="15.75" customHeight="1" thickBot="1">
      <c r="B9" s="85" t="s">
        <v>151</v>
      </c>
      <c r="C9" s="443">
        <f t="shared" ref="C9:C10" si="0">O18</f>
        <v>16560</v>
      </c>
      <c r="D9" s="444">
        <f>O27</f>
        <v>16560</v>
      </c>
      <c r="E9" s="445">
        <f>O36</f>
        <v>16560</v>
      </c>
      <c r="G9" s="430"/>
      <c r="H9" s="431"/>
      <c r="I9" s="431"/>
      <c r="J9" s="431"/>
      <c r="K9" s="432"/>
      <c r="M9" s="76" t="s">
        <v>150</v>
      </c>
      <c r="N9" s="80">
        <v>46</v>
      </c>
      <c r="O9" s="80">
        <v>52</v>
      </c>
      <c r="P9" s="80">
        <v>59</v>
      </c>
    </row>
    <row r="10" spans="1:16" s="62" customFormat="1" ht="15.75" customHeight="1">
      <c r="B10" s="86" t="s">
        <v>152</v>
      </c>
      <c r="C10" s="446">
        <f t="shared" si="0"/>
        <v>1518</v>
      </c>
      <c r="D10" s="273">
        <f>O27</f>
        <v>16560</v>
      </c>
      <c r="E10" s="447">
        <f>O37</f>
        <v>1524</v>
      </c>
      <c r="G10" s="433"/>
      <c r="H10" s="434"/>
      <c r="I10" s="434"/>
      <c r="J10" s="434"/>
      <c r="K10" s="435"/>
      <c r="N10" s="81"/>
      <c r="O10" s="81"/>
      <c r="P10" s="81"/>
    </row>
    <row r="11" spans="1:16" s="62" customFormat="1" ht="15.75" customHeight="1">
      <c r="B11" s="86" t="s">
        <v>153</v>
      </c>
      <c r="C11" s="446">
        <f t="shared" ref="C11:E11" si="1">O20</f>
        <v>0</v>
      </c>
      <c r="D11" s="273">
        <f t="shared" si="1"/>
        <v>0</v>
      </c>
      <c r="E11" s="447">
        <f t="shared" si="1"/>
        <v>0</v>
      </c>
      <c r="G11" s="433"/>
      <c r="H11" s="434"/>
      <c r="I11" s="434"/>
      <c r="J11" s="434"/>
      <c r="K11" s="435"/>
      <c r="N11" s="81"/>
      <c r="O11" s="81"/>
      <c r="P11" s="81"/>
    </row>
    <row r="12" spans="1:16" ht="15.75" customHeight="1">
      <c r="B12" s="86" t="s">
        <v>154</v>
      </c>
      <c r="C12" s="446">
        <f>O21</f>
        <v>0</v>
      </c>
      <c r="D12" s="273">
        <f t="shared" ref="D12:E12" si="2">P21</f>
        <v>0</v>
      </c>
      <c r="E12" s="447">
        <f t="shared" si="2"/>
        <v>0</v>
      </c>
      <c r="G12" s="436"/>
      <c r="H12" s="437"/>
      <c r="I12" s="437"/>
      <c r="J12" s="437"/>
      <c r="K12" s="435"/>
    </row>
    <row r="13" spans="1:16" ht="15.75" customHeight="1" thickBot="1">
      <c r="B13" s="87" t="s">
        <v>44</v>
      </c>
      <c r="C13" s="448">
        <f>SUM(C9:C12)</f>
        <v>18078</v>
      </c>
      <c r="D13" s="449">
        <f t="shared" ref="D13:E13" si="3">SUM(D9:D12)</f>
        <v>33120</v>
      </c>
      <c r="E13" s="450">
        <f t="shared" si="3"/>
        <v>18084</v>
      </c>
      <c r="G13" s="438"/>
      <c r="H13" s="439"/>
      <c r="I13" s="439"/>
      <c r="J13" s="439"/>
      <c r="K13" s="440"/>
    </row>
    <row r="15" spans="1:16" ht="15.75" customHeight="1" thickBot="1"/>
    <row r="16" spans="1:16" ht="15.75" customHeight="1">
      <c r="C16" s="249" t="s">
        <v>25</v>
      </c>
      <c r="D16" s="250"/>
      <c r="E16" s="250"/>
      <c r="F16" s="250"/>
      <c r="G16" s="250"/>
      <c r="H16" s="250"/>
      <c r="I16" s="250"/>
      <c r="J16" s="250"/>
      <c r="K16" s="250"/>
      <c r="L16" s="250"/>
      <c r="M16" s="250"/>
      <c r="N16" s="250"/>
      <c r="O16" s="251"/>
    </row>
    <row r="17" spans="2:15" ht="15.75" customHeight="1" thickBot="1">
      <c r="C17" s="93" t="s">
        <v>26</v>
      </c>
      <c r="D17" s="9" t="s">
        <v>27</v>
      </c>
      <c r="E17" s="9" t="s">
        <v>28</v>
      </c>
      <c r="F17" s="9" t="s">
        <v>29</v>
      </c>
      <c r="G17" s="9" t="s">
        <v>30</v>
      </c>
      <c r="H17" s="9" t="s">
        <v>31</v>
      </c>
      <c r="I17" s="9" t="s">
        <v>32</v>
      </c>
      <c r="J17" s="9" t="s">
        <v>33</v>
      </c>
      <c r="K17" s="9" t="s">
        <v>34</v>
      </c>
      <c r="L17" s="9" t="s">
        <v>35</v>
      </c>
      <c r="M17" s="9" t="s">
        <v>36</v>
      </c>
      <c r="N17" s="9" t="s">
        <v>37</v>
      </c>
      <c r="O17" s="94" t="s">
        <v>44</v>
      </c>
    </row>
    <row r="18" spans="2:15" ht="15.75" customHeight="1">
      <c r="B18" s="82" t="s">
        <v>151</v>
      </c>
      <c r="C18" s="95">
        <f>30*N9</f>
        <v>1380</v>
      </c>
      <c r="D18" s="12">
        <f>C18</f>
        <v>1380</v>
      </c>
      <c r="E18" s="12">
        <f t="shared" ref="E18:N18" si="4">D18</f>
        <v>1380</v>
      </c>
      <c r="F18" s="12">
        <f t="shared" si="4"/>
        <v>1380</v>
      </c>
      <c r="G18" s="12">
        <f t="shared" si="4"/>
        <v>1380</v>
      </c>
      <c r="H18" s="12">
        <f t="shared" si="4"/>
        <v>1380</v>
      </c>
      <c r="I18" s="12">
        <f t="shared" si="4"/>
        <v>1380</v>
      </c>
      <c r="J18" s="12">
        <f t="shared" si="4"/>
        <v>1380</v>
      </c>
      <c r="K18" s="12">
        <f t="shared" si="4"/>
        <v>1380</v>
      </c>
      <c r="L18" s="12">
        <f t="shared" si="4"/>
        <v>1380</v>
      </c>
      <c r="M18" s="12">
        <f t="shared" si="4"/>
        <v>1380</v>
      </c>
      <c r="N18" s="12">
        <f t="shared" si="4"/>
        <v>1380</v>
      </c>
      <c r="O18" s="92">
        <f>SUM(C18:N18)</f>
        <v>16560</v>
      </c>
    </row>
    <row r="19" spans="2:15" s="62" customFormat="1" ht="15.75" customHeight="1">
      <c r="B19" s="83" t="s">
        <v>152</v>
      </c>
      <c r="C19" s="91">
        <f>2.75*N9</f>
        <v>126.5</v>
      </c>
      <c r="D19" s="11">
        <f>C19</f>
        <v>126.5</v>
      </c>
      <c r="E19" s="11">
        <f t="shared" ref="E19:N19" si="5">D19</f>
        <v>126.5</v>
      </c>
      <c r="F19" s="11">
        <f t="shared" si="5"/>
        <v>126.5</v>
      </c>
      <c r="G19" s="11">
        <f t="shared" si="5"/>
        <v>126.5</v>
      </c>
      <c r="H19" s="11">
        <f t="shared" si="5"/>
        <v>126.5</v>
      </c>
      <c r="I19" s="11">
        <f t="shared" si="5"/>
        <v>126.5</v>
      </c>
      <c r="J19" s="11">
        <f t="shared" si="5"/>
        <v>126.5</v>
      </c>
      <c r="K19" s="11">
        <f t="shared" si="5"/>
        <v>126.5</v>
      </c>
      <c r="L19" s="11">
        <f t="shared" si="5"/>
        <v>126.5</v>
      </c>
      <c r="M19" s="11">
        <f t="shared" si="5"/>
        <v>126.5</v>
      </c>
      <c r="N19" s="11">
        <f t="shared" si="5"/>
        <v>126.5</v>
      </c>
      <c r="O19" s="92">
        <f t="shared" ref="O19:O21" si="6">SUM(C19:N19)</f>
        <v>1518</v>
      </c>
    </row>
    <row r="20" spans="2:15" s="62" customFormat="1" ht="15.75" customHeight="1">
      <c r="B20" s="83" t="s">
        <v>214</v>
      </c>
      <c r="C20" s="95">
        <v>0</v>
      </c>
      <c r="D20" s="95">
        <v>0</v>
      </c>
      <c r="E20" s="95">
        <v>0</v>
      </c>
      <c r="F20" s="95">
        <v>0</v>
      </c>
      <c r="G20" s="95">
        <v>0</v>
      </c>
      <c r="H20" s="95">
        <v>0</v>
      </c>
      <c r="I20" s="95">
        <v>0</v>
      </c>
      <c r="J20" s="95">
        <v>0</v>
      </c>
      <c r="K20" s="95">
        <v>0</v>
      </c>
      <c r="L20" s="95">
        <v>0</v>
      </c>
      <c r="M20" s="95">
        <v>0</v>
      </c>
      <c r="N20" s="95">
        <v>0</v>
      </c>
      <c r="O20" s="95">
        <v>0</v>
      </c>
    </row>
    <row r="21" spans="2:15" ht="15.75" customHeight="1">
      <c r="B21" s="83" t="s">
        <v>215</v>
      </c>
      <c r="C21" s="95">
        <v>0</v>
      </c>
      <c r="D21" s="95">
        <v>0</v>
      </c>
      <c r="E21" s="95">
        <v>0</v>
      </c>
      <c r="F21" s="95">
        <v>0</v>
      </c>
      <c r="G21" s="95">
        <v>0</v>
      </c>
      <c r="H21" s="95">
        <v>0</v>
      </c>
      <c r="I21" s="95">
        <v>0</v>
      </c>
      <c r="J21" s="95">
        <v>0</v>
      </c>
      <c r="K21" s="95">
        <v>0</v>
      </c>
      <c r="L21" s="95">
        <v>0</v>
      </c>
      <c r="M21" s="95">
        <v>0</v>
      </c>
      <c r="N21" s="95">
        <v>0</v>
      </c>
      <c r="O21" s="95">
        <v>0</v>
      </c>
    </row>
    <row r="22" spans="2:15" ht="15.75" customHeight="1" thickBot="1">
      <c r="B22" s="84" t="s">
        <v>44</v>
      </c>
      <c r="C22" s="96">
        <f t="shared" ref="C22:O22" si="7">SUM(C18:C21)</f>
        <v>1506.5</v>
      </c>
      <c r="D22" s="97">
        <f t="shared" si="7"/>
        <v>1506.5</v>
      </c>
      <c r="E22" s="97">
        <f t="shared" si="7"/>
        <v>1506.5</v>
      </c>
      <c r="F22" s="97">
        <f t="shared" si="7"/>
        <v>1506.5</v>
      </c>
      <c r="G22" s="97">
        <f t="shared" si="7"/>
        <v>1506.5</v>
      </c>
      <c r="H22" s="97">
        <f t="shared" si="7"/>
        <v>1506.5</v>
      </c>
      <c r="I22" s="97">
        <f t="shared" si="7"/>
        <v>1506.5</v>
      </c>
      <c r="J22" s="97">
        <f t="shared" si="7"/>
        <v>1506.5</v>
      </c>
      <c r="K22" s="97">
        <f t="shared" si="7"/>
        <v>1506.5</v>
      </c>
      <c r="L22" s="97">
        <f t="shared" si="7"/>
        <v>1506.5</v>
      </c>
      <c r="M22" s="97">
        <f t="shared" si="7"/>
        <v>1506.5</v>
      </c>
      <c r="N22" s="97">
        <f t="shared" si="7"/>
        <v>1506.5</v>
      </c>
      <c r="O22" s="98">
        <f t="shared" si="7"/>
        <v>18078</v>
      </c>
    </row>
    <row r="24" spans="2:15" ht="15.75" customHeight="1" thickBot="1"/>
    <row r="25" spans="2:15" s="137" customFormat="1" ht="15.75" customHeight="1">
      <c r="C25" s="249" t="s">
        <v>40</v>
      </c>
      <c r="D25" s="250"/>
      <c r="E25" s="250"/>
      <c r="F25" s="250"/>
      <c r="G25" s="250"/>
      <c r="H25" s="250"/>
      <c r="I25" s="250"/>
      <c r="J25" s="250"/>
      <c r="K25" s="250"/>
      <c r="L25" s="250"/>
      <c r="M25" s="250"/>
      <c r="N25" s="250"/>
      <c r="O25" s="251"/>
    </row>
    <row r="26" spans="2:15" s="137" customFormat="1" ht="15.75" customHeight="1" thickBot="1">
      <c r="C26" s="93" t="s">
        <v>26</v>
      </c>
      <c r="D26" s="9" t="s">
        <v>27</v>
      </c>
      <c r="E26" s="9" t="s">
        <v>28</v>
      </c>
      <c r="F26" s="9" t="s">
        <v>29</v>
      </c>
      <c r="G26" s="9" t="s">
        <v>30</v>
      </c>
      <c r="H26" s="9" t="s">
        <v>31</v>
      </c>
      <c r="I26" s="9" t="s">
        <v>32</v>
      </c>
      <c r="J26" s="9" t="s">
        <v>33</v>
      </c>
      <c r="K26" s="9" t="s">
        <v>34</v>
      </c>
      <c r="L26" s="9" t="s">
        <v>35</v>
      </c>
      <c r="M26" s="9" t="s">
        <v>36</v>
      </c>
      <c r="N26" s="9" t="s">
        <v>37</v>
      </c>
      <c r="O26" s="94" t="s">
        <v>44</v>
      </c>
    </row>
    <row r="27" spans="2:15" s="137" customFormat="1" ht="15.75" customHeight="1">
      <c r="B27" s="82" t="s">
        <v>151</v>
      </c>
      <c r="C27" s="95">
        <v>1380</v>
      </c>
      <c r="D27" s="12">
        <f>C27</f>
        <v>1380</v>
      </c>
      <c r="E27" s="12">
        <f t="shared" ref="E27:E28" si="8">D27</f>
        <v>1380</v>
      </c>
      <c r="F27" s="12">
        <f t="shared" ref="F27:F28" si="9">E27</f>
        <v>1380</v>
      </c>
      <c r="G27" s="12">
        <f t="shared" ref="G27:G28" si="10">F27</f>
        <v>1380</v>
      </c>
      <c r="H27" s="12">
        <f t="shared" ref="H27:H28" si="11">G27</f>
        <v>1380</v>
      </c>
      <c r="I27" s="12">
        <f t="shared" ref="I27:I28" si="12">H27</f>
        <v>1380</v>
      </c>
      <c r="J27" s="12">
        <f t="shared" ref="J27:J28" si="13">I27</f>
        <v>1380</v>
      </c>
      <c r="K27" s="12">
        <f t="shared" ref="K27:K28" si="14">J27</f>
        <v>1380</v>
      </c>
      <c r="L27" s="12">
        <f t="shared" ref="L27:L28" si="15">K27</f>
        <v>1380</v>
      </c>
      <c r="M27" s="12">
        <f t="shared" ref="M27:M28" si="16">L27</f>
        <v>1380</v>
      </c>
      <c r="N27" s="12">
        <f t="shared" ref="N27:N28" si="17">M27</f>
        <v>1380</v>
      </c>
      <c r="O27" s="92">
        <f>SUM(C27:N27)</f>
        <v>16560</v>
      </c>
    </row>
    <row r="28" spans="2:15" s="137" customFormat="1" ht="15.75" customHeight="1">
      <c r="B28" s="83" t="s">
        <v>152</v>
      </c>
      <c r="C28" s="91">
        <v>127</v>
      </c>
      <c r="D28" s="11">
        <f>C28</f>
        <v>127</v>
      </c>
      <c r="E28" s="11">
        <f t="shared" si="8"/>
        <v>127</v>
      </c>
      <c r="F28" s="11">
        <f t="shared" si="9"/>
        <v>127</v>
      </c>
      <c r="G28" s="11">
        <f t="shared" si="10"/>
        <v>127</v>
      </c>
      <c r="H28" s="11">
        <f t="shared" si="11"/>
        <v>127</v>
      </c>
      <c r="I28" s="11">
        <f t="shared" si="12"/>
        <v>127</v>
      </c>
      <c r="J28" s="11">
        <f t="shared" si="13"/>
        <v>127</v>
      </c>
      <c r="K28" s="11">
        <f t="shared" si="14"/>
        <v>127</v>
      </c>
      <c r="L28" s="11">
        <f t="shared" si="15"/>
        <v>127</v>
      </c>
      <c r="M28" s="11">
        <f t="shared" si="16"/>
        <v>127</v>
      </c>
      <c r="N28" s="11">
        <f t="shared" si="17"/>
        <v>127</v>
      </c>
      <c r="O28" s="92">
        <f t="shared" ref="O28:O30" si="18">SUM(C28:N28)</f>
        <v>1524</v>
      </c>
    </row>
    <row r="29" spans="2:15" s="137" customFormat="1" ht="15.75" customHeight="1">
      <c r="B29" s="83" t="s">
        <v>214</v>
      </c>
      <c r="C29" s="95">
        <v>0</v>
      </c>
      <c r="D29" s="95">
        <v>0</v>
      </c>
      <c r="E29" s="95">
        <v>0</v>
      </c>
      <c r="F29" s="95">
        <v>0</v>
      </c>
      <c r="G29" s="95">
        <v>0</v>
      </c>
      <c r="H29" s="95">
        <v>0</v>
      </c>
      <c r="I29" s="95">
        <v>0</v>
      </c>
      <c r="J29" s="95">
        <v>0</v>
      </c>
      <c r="K29" s="95">
        <v>0</v>
      </c>
      <c r="L29" s="95">
        <v>0</v>
      </c>
      <c r="M29" s="95">
        <v>0</v>
      </c>
      <c r="N29" s="95">
        <v>0</v>
      </c>
      <c r="O29" s="92">
        <f t="shared" si="18"/>
        <v>0</v>
      </c>
    </row>
    <row r="30" spans="2:15" s="137" customFormat="1" ht="15.75" customHeight="1">
      <c r="B30" s="83" t="s">
        <v>215</v>
      </c>
      <c r="C30" s="95">
        <v>0</v>
      </c>
      <c r="D30" s="12">
        <f>C30</f>
        <v>0</v>
      </c>
      <c r="E30" s="12">
        <f t="shared" ref="E30" si="19">D30</f>
        <v>0</v>
      </c>
      <c r="F30" s="12">
        <f t="shared" ref="F30" si="20">E30</f>
        <v>0</v>
      </c>
      <c r="G30" s="12">
        <f t="shared" ref="G30" si="21">F30</f>
        <v>0</v>
      </c>
      <c r="H30" s="12">
        <f t="shared" ref="H30" si="22">G30</f>
        <v>0</v>
      </c>
      <c r="I30" s="12">
        <f t="shared" ref="I30" si="23">H30</f>
        <v>0</v>
      </c>
      <c r="J30" s="12">
        <f t="shared" ref="J30" si="24">I30</f>
        <v>0</v>
      </c>
      <c r="K30" s="12">
        <f t="shared" ref="K30" si="25">J30</f>
        <v>0</v>
      </c>
      <c r="L30" s="12">
        <f t="shared" ref="L30" si="26">K30</f>
        <v>0</v>
      </c>
      <c r="M30" s="12">
        <f t="shared" ref="M30" si="27">L30</f>
        <v>0</v>
      </c>
      <c r="N30" s="12">
        <f t="shared" ref="N30" si="28">M30</f>
        <v>0</v>
      </c>
      <c r="O30" s="92">
        <f t="shared" si="18"/>
        <v>0</v>
      </c>
    </row>
    <row r="31" spans="2:15" s="137" customFormat="1" ht="15.75" customHeight="1" thickBot="1">
      <c r="B31" s="84" t="s">
        <v>44</v>
      </c>
      <c r="C31" s="96">
        <f t="shared" ref="C31:O31" si="29">SUM(C27:C30)</f>
        <v>1507</v>
      </c>
      <c r="D31" s="97">
        <f t="shared" si="29"/>
        <v>1507</v>
      </c>
      <c r="E31" s="97">
        <f t="shared" si="29"/>
        <v>1507</v>
      </c>
      <c r="F31" s="97">
        <f t="shared" si="29"/>
        <v>1507</v>
      </c>
      <c r="G31" s="97">
        <f t="shared" si="29"/>
        <v>1507</v>
      </c>
      <c r="H31" s="97">
        <f t="shared" si="29"/>
        <v>1507</v>
      </c>
      <c r="I31" s="97">
        <f t="shared" si="29"/>
        <v>1507</v>
      </c>
      <c r="J31" s="97">
        <f t="shared" si="29"/>
        <v>1507</v>
      </c>
      <c r="K31" s="97">
        <f t="shared" si="29"/>
        <v>1507</v>
      </c>
      <c r="L31" s="97">
        <f t="shared" si="29"/>
        <v>1507</v>
      </c>
      <c r="M31" s="97">
        <f t="shared" si="29"/>
        <v>1507</v>
      </c>
      <c r="N31" s="97">
        <f t="shared" si="29"/>
        <v>1507</v>
      </c>
      <c r="O31" s="98">
        <f t="shared" si="29"/>
        <v>18084</v>
      </c>
    </row>
    <row r="33" spans="2:15" ht="15.75" customHeight="1" thickBot="1"/>
    <row r="34" spans="2:15" s="137" customFormat="1" ht="15.75" customHeight="1">
      <c r="C34" s="249" t="s">
        <v>41</v>
      </c>
      <c r="D34" s="250"/>
      <c r="E34" s="250"/>
      <c r="F34" s="250"/>
      <c r="G34" s="250"/>
      <c r="H34" s="250"/>
      <c r="I34" s="250"/>
      <c r="J34" s="250"/>
      <c r="K34" s="250"/>
      <c r="L34" s="250"/>
      <c r="M34" s="250"/>
      <c r="N34" s="250"/>
      <c r="O34" s="251"/>
    </row>
    <row r="35" spans="2:15" s="137" customFormat="1" ht="15.75" customHeight="1" thickBot="1">
      <c r="C35" s="93" t="s">
        <v>26</v>
      </c>
      <c r="D35" s="9" t="s">
        <v>27</v>
      </c>
      <c r="E35" s="9" t="s">
        <v>28</v>
      </c>
      <c r="F35" s="9" t="s">
        <v>29</v>
      </c>
      <c r="G35" s="9" t="s">
        <v>30</v>
      </c>
      <c r="H35" s="9" t="s">
        <v>31</v>
      </c>
      <c r="I35" s="9" t="s">
        <v>32</v>
      </c>
      <c r="J35" s="9" t="s">
        <v>33</v>
      </c>
      <c r="K35" s="9" t="s">
        <v>34</v>
      </c>
      <c r="L35" s="9" t="s">
        <v>35</v>
      </c>
      <c r="M35" s="9" t="s">
        <v>36</v>
      </c>
      <c r="N35" s="9" t="s">
        <v>37</v>
      </c>
      <c r="O35" s="94" t="s">
        <v>44</v>
      </c>
    </row>
    <row r="36" spans="2:15" s="137" customFormat="1" ht="15.75" customHeight="1">
      <c r="B36" s="82" t="s">
        <v>151</v>
      </c>
      <c r="C36" s="95">
        <v>1380</v>
      </c>
      <c r="D36" s="12">
        <f>C36</f>
        <v>1380</v>
      </c>
      <c r="E36" s="12">
        <f t="shared" ref="E36:E37" si="30">D36</f>
        <v>1380</v>
      </c>
      <c r="F36" s="12">
        <f t="shared" ref="F36:F37" si="31">E36</f>
        <v>1380</v>
      </c>
      <c r="G36" s="12">
        <f t="shared" ref="G36:G37" si="32">F36</f>
        <v>1380</v>
      </c>
      <c r="H36" s="12">
        <f t="shared" ref="H36:H37" si="33">G36</f>
        <v>1380</v>
      </c>
      <c r="I36" s="12">
        <f t="shared" ref="I36:I37" si="34">H36</f>
        <v>1380</v>
      </c>
      <c r="J36" s="12">
        <f t="shared" ref="J36:J37" si="35">I36</f>
        <v>1380</v>
      </c>
      <c r="K36" s="12">
        <f t="shared" ref="K36:K37" si="36">J36</f>
        <v>1380</v>
      </c>
      <c r="L36" s="12">
        <f t="shared" ref="L36:L37" si="37">K36</f>
        <v>1380</v>
      </c>
      <c r="M36" s="12">
        <f t="shared" ref="M36:M37" si="38">L36</f>
        <v>1380</v>
      </c>
      <c r="N36" s="12">
        <f t="shared" ref="N36:N37" si="39">M36</f>
        <v>1380</v>
      </c>
      <c r="O36" s="92">
        <f>SUM(C36:N36)</f>
        <v>16560</v>
      </c>
    </row>
    <row r="37" spans="2:15" s="137" customFormat="1" ht="15.75" customHeight="1">
      <c r="B37" s="83" t="s">
        <v>152</v>
      </c>
      <c r="C37" s="91">
        <v>127</v>
      </c>
      <c r="D37" s="11">
        <f>C37</f>
        <v>127</v>
      </c>
      <c r="E37" s="11">
        <f t="shared" si="30"/>
        <v>127</v>
      </c>
      <c r="F37" s="11">
        <f t="shared" si="31"/>
        <v>127</v>
      </c>
      <c r="G37" s="11">
        <f t="shared" si="32"/>
        <v>127</v>
      </c>
      <c r="H37" s="11">
        <f t="shared" si="33"/>
        <v>127</v>
      </c>
      <c r="I37" s="11">
        <f t="shared" si="34"/>
        <v>127</v>
      </c>
      <c r="J37" s="11">
        <f t="shared" si="35"/>
        <v>127</v>
      </c>
      <c r="K37" s="11">
        <f t="shared" si="36"/>
        <v>127</v>
      </c>
      <c r="L37" s="11">
        <f t="shared" si="37"/>
        <v>127</v>
      </c>
      <c r="M37" s="11">
        <f t="shared" si="38"/>
        <v>127</v>
      </c>
      <c r="N37" s="11">
        <f t="shared" si="39"/>
        <v>127</v>
      </c>
      <c r="O37" s="92">
        <f t="shared" ref="O37:O39" si="40">SUM(C37:N37)</f>
        <v>1524</v>
      </c>
    </row>
    <row r="38" spans="2:15" s="137" customFormat="1" ht="15.75" customHeight="1">
      <c r="B38" s="83" t="s">
        <v>214</v>
      </c>
      <c r="C38" s="95">
        <v>0</v>
      </c>
      <c r="D38" s="95">
        <v>0</v>
      </c>
      <c r="E38" s="95">
        <v>0</v>
      </c>
      <c r="F38" s="95">
        <v>0</v>
      </c>
      <c r="G38" s="95">
        <v>0</v>
      </c>
      <c r="H38" s="95">
        <v>0</v>
      </c>
      <c r="I38" s="95">
        <v>0</v>
      </c>
      <c r="J38" s="95">
        <v>0</v>
      </c>
      <c r="K38" s="95">
        <v>0</v>
      </c>
      <c r="L38" s="95">
        <v>0</v>
      </c>
      <c r="M38" s="95">
        <v>0</v>
      </c>
      <c r="N38" s="95">
        <v>0</v>
      </c>
      <c r="O38" s="95">
        <v>0</v>
      </c>
    </row>
    <row r="39" spans="2:15" s="137" customFormat="1" ht="15.75" customHeight="1">
      <c r="B39" s="83" t="s">
        <v>215</v>
      </c>
      <c r="C39" s="95">
        <v>0</v>
      </c>
      <c r="D39" s="95">
        <v>0</v>
      </c>
      <c r="E39" s="95">
        <v>0</v>
      </c>
      <c r="F39" s="95">
        <v>0</v>
      </c>
      <c r="G39" s="95">
        <v>0</v>
      </c>
      <c r="H39" s="95">
        <v>0</v>
      </c>
      <c r="I39" s="95">
        <v>0</v>
      </c>
      <c r="J39" s="95">
        <v>0</v>
      </c>
      <c r="K39" s="95">
        <v>0</v>
      </c>
      <c r="L39" s="95">
        <v>0</v>
      </c>
      <c r="M39" s="95">
        <v>0</v>
      </c>
      <c r="N39" s="95">
        <v>0</v>
      </c>
      <c r="O39" s="95">
        <v>0</v>
      </c>
    </row>
    <row r="40" spans="2:15" s="137" customFormat="1" ht="15.75" customHeight="1" thickBot="1">
      <c r="B40" s="84" t="s">
        <v>44</v>
      </c>
      <c r="C40" s="96">
        <f t="shared" ref="C40:O40" si="41">SUM(C36:C39)</f>
        <v>1507</v>
      </c>
      <c r="D40" s="97">
        <f t="shared" si="41"/>
        <v>1507</v>
      </c>
      <c r="E40" s="97">
        <f t="shared" si="41"/>
        <v>1507</v>
      </c>
      <c r="F40" s="97">
        <f t="shared" si="41"/>
        <v>1507</v>
      </c>
      <c r="G40" s="97">
        <f t="shared" si="41"/>
        <v>1507</v>
      </c>
      <c r="H40" s="97">
        <f t="shared" si="41"/>
        <v>1507</v>
      </c>
      <c r="I40" s="97">
        <f t="shared" si="41"/>
        <v>1507</v>
      </c>
      <c r="J40" s="97">
        <f t="shared" si="41"/>
        <v>1507</v>
      </c>
      <c r="K40" s="97">
        <f t="shared" si="41"/>
        <v>1507</v>
      </c>
      <c r="L40" s="97">
        <f t="shared" si="41"/>
        <v>1507</v>
      </c>
      <c r="M40" s="97">
        <f t="shared" si="41"/>
        <v>1507</v>
      </c>
      <c r="N40" s="97">
        <f t="shared" si="41"/>
        <v>1507</v>
      </c>
      <c r="O40" s="98">
        <f t="shared" si="41"/>
        <v>18084</v>
      </c>
    </row>
  </sheetData>
  <mergeCells count="11">
    <mergeCell ref="C25:O25"/>
    <mergeCell ref="C34:O34"/>
    <mergeCell ref="A6:B6"/>
    <mergeCell ref="G9:K13"/>
    <mergeCell ref="C16:O16"/>
    <mergeCell ref="G8:K8"/>
    <mergeCell ref="D1:G1"/>
    <mergeCell ref="D2:G2"/>
    <mergeCell ref="D3:G3"/>
    <mergeCell ref="D4:G4"/>
    <mergeCell ref="D5:G5"/>
  </mergeCells>
  <hyperlinks>
    <hyperlink ref="A5" location="Indice!A1" display="Indice" xr:uid="{F09B2B77-184A-463A-A3EC-9815218B6D0D}"/>
  </hyperlinks>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P109"/>
  <sheetViews>
    <sheetView workbookViewId="0">
      <pane ySplit="6" topLeftCell="A7" activePane="bottomLeft" state="frozen"/>
      <selection pane="bottomLeft" activeCell="O109" sqref="O109"/>
    </sheetView>
  </sheetViews>
  <sheetFormatPr defaultColWidth="14.453125" defaultRowHeight="15.75" customHeight="1"/>
  <cols>
    <col min="1" max="1" width="10.08984375" customWidth="1"/>
    <col min="2" max="2" width="30.81640625" customWidth="1"/>
    <col min="3" max="3" width="15.453125" customWidth="1"/>
    <col min="4" max="4" width="16" customWidth="1"/>
    <col min="5" max="5" width="13" customWidth="1"/>
    <col min="7" max="7" width="12.26953125" customWidth="1"/>
    <col min="8" max="8" width="13.54296875" customWidth="1"/>
    <col min="9" max="9" width="16.7265625" customWidth="1"/>
    <col min="10" max="10" width="11.81640625" customWidth="1"/>
    <col min="11" max="12" width="14.7265625" customWidth="1"/>
    <col min="13" max="13" width="13.7265625" customWidth="1"/>
    <col min="14" max="14" width="13.26953125" customWidth="1"/>
  </cols>
  <sheetData>
    <row r="1" spans="1:9" s="64" customFormat="1" ht="14">
      <c r="D1" s="170" t="s">
        <v>0</v>
      </c>
      <c r="E1" s="170"/>
      <c r="F1" s="170"/>
      <c r="G1" s="170"/>
      <c r="H1" s="67"/>
    </row>
    <row r="2" spans="1:9" s="64" customFormat="1" ht="14.5">
      <c r="A2" s="68"/>
      <c r="D2" s="171" t="s">
        <v>147</v>
      </c>
      <c r="E2" s="172"/>
      <c r="F2" s="172"/>
      <c r="G2" s="172"/>
    </row>
    <row r="3" spans="1:9" s="64" customFormat="1" ht="13">
      <c r="A3" s="66"/>
      <c r="D3" s="171" t="s">
        <v>144</v>
      </c>
      <c r="E3" s="172"/>
      <c r="F3" s="172"/>
      <c r="G3" s="172"/>
    </row>
    <row r="4" spans="1:9" s="64" customFormat="1" ht="13">
      <c r="A4" s="69"/>
      <c r="D4" s="171" t="s">
        <v>145</v>
      </c>
      <c r="E4" s="172"/>
      <c r="F4" s="172"/>
      <c r="G4" s="172"/>
    </row>
    <row r="5" spans="1:9" s="64" customFormat="1" ht="13">
      <c r="A5" s="66" t="s">
        <v>1</v>
      </c>
      <c r="D5" s="171" t="s">
        <v>146</v>
      </c>
      <c r="E5" s="172"/>
      <c r="F5" s="172"/>
      <c r="G5" s="172"/>
    </row>
    <row r="6" spans="1:9" s="65" customFormat="1" ht="13.5" thickBot="1">
      <c r="A6" s="70" t="s">
        <v>9</v>
      </c>
    </row>
    <row r="7" spans="1:9" ht="13" thickBot="1">
      <c r="C7" s="23"/>
      <c r="D7" s="23"/>
      <c r="E7" s="23"/>
    </row>
    <row r="8" spans="1:9" ht="13.5" thickBot="1">
      <c r="B8" s="137"/>
      <c r="C8" s="371" t="s">
        <v>25</v>
      </c>
      <c r="D8" s="372" t="s">
        <v>40</v>
      </c>
      <c r="E8" s="373" t="s">
        <v>41</v>
      </c>
      <c r="G8" s="137"/>
      <c r="H8" s="78" t="s">
        <v>40</v>
      </c>
      <c r="I8" s="79" t="s">
        <v>41</v>
      </c>
    </row>
    <row r="9" spans="1:9" s="137" customFormat="1" ht="15" thickBot="1">
      <c r="B9" s="365" t="s">
        <v>62</v>
      </c>
      <c r="C9" s="374" t="s">
        <v>73</v>
      </c>
      <c r="D9" s="368" t="s">
        <v>73</v>
      </c>
      <c r="E9" s="375" t="s">
        <v>73</v>
      </c>
      <c r="G9" s="76" t="s">
        <v>149</v>
      </c>
      <c r="H9" s="77">
        <v>0.2</v>
      </c>
      <c r="I9" s="77">
        <v>0.2</v>
      </c>
    </row>
    <row r="10" spans="1:9" ht="13">
      <c r="B10" s="369" t="s">
        <v>189</v>
      </c>
      <c r="C10" s="366">
        <f>O55</f>
        <v>2527200</v>
      </c>
      <c r="D10" s="353">
        <f>O71</f>
        <v>2527200</v>
      </c>
      <c r="E10" s="367">
        <f>O91</f>
        <v>2527200</v>
      </c>
      <c r="G10" s="137"/>
      <c r="H10" s="137"/>
      <c r="I10" s="137"/>
    </row>
    <row r="11" spans="1:9" ht="13">
      <c r="B11" s="369" t="s">
        <v>190</v>
      </c>
      <c r="C11" s="354">
        <f>O56</f>
        <v>1778400</v>
      </c>
      <c r="D11" s="16">
        <f t="shared" ref="D11:D12" si="0">O72</f>
        <v>1670400</v>
      </c>
      <c r="E11" s="367">
        <f t="shared" ref="E11:E13" si="1">O92</f>
        <v>1670400</v>
      </c>
      <c r="G11" s="137"/>
      <c r="H11" s="137"/>
      <c r="I11" s="137"/>
    </row>
    <row r="12" spans="1:9" ht="13">
      <c r="B12" s="369" t="s">
        <v>192</v>
      </c>
      <c r="C12" s="354">
        <f>O57</f>
        <v>1778400</v>
      </c>
      <c r="D12" s="16">
        <f t="shared" si="0"/>
        <v>1778400</v>
      </c>
      <c r="E12" s="367">
        <f t="shared" si="1"/>
        <v>1778400</v>
      </c>
      <c r="G12" s="137"/>
      <c r="H12" s="137"/>
      <c r="I12" s="137"/>
    </row>
    <row r="13" spans="1:9" s="137" customFormat="1" ht="13">
      <c r="B13" s="369" t="s">
        <v>191</v>
      </c>
      <c r="C13" s="354">
        <f>O58</f>
        <v>1778400</v>
      </c>
      <c r="D13" s="16">
        <f>O74</f>
        <v>1778400</v>
      </c>
      <c r="E13" s="367">
        <f t="shared" si="1"/>
        <v>1778400</v>
      </c>
    </row>
    <row r="14" spans="1:9" ht="13">
      <c r="B14" s="369" t="s">
        <v>187</v>
      </c>
      <c r="C14" s="356">
        <f>O61</f>
        <v>1029600</v>
      </c>
      <c r="D14" s="16">
        <f>O77</f>
        <v>1029600</v>
      </c>
      <c r="E14" s="355">
        <f>O97</f>
        <v>1029600</v>
      </c>
    </row>
    <row r="15" spans="1:9" ht="13">
      <c r="B15" s="369" t="s">
        <v>188</v>
      </c>
      <c r="C15" s="356">
        <f>O62</f>
        <v>1029600</v>
      </c>
      <c r="D15" s="16">
        <f>O78</f>
        <v>1029600</v>
      </c>
      <c r="E15" s="355">
        <f>O98</f>
        <v>1029600</v>
      </c>
    </row>
    <row r="16" spans="1:9" ht="13">
      <c r="B16" s="369" t="s">
        <v>196</v>
      </c>
      <c r="C16" s="356">
        <v>0</v>
      </c>
      <c r="D16" s="356">
        <f>O82</f>
        <v>760320</v>
      </c>
      <c r="E16" s="355">
        <f>O102</f>
        <v>1029600</v>
      </c>
    </row>
    <row r="17" spans="2:11" ht="13">
      <c r="B17" s="369" t="s">
        <v>197</v>
      </c>
      <c r="C17" s="356">
        <v>0</v>
      </c>
      <c r="D17" s="356">
        <f>O83</f>
        <v>594000</v>
      </c>
      <c r="E17" s="355">
        <f>O103</f>
        <v>1029600</v>
      </c>
    </row>
    <row r="18" spans="2:11" ht="13">
      <c r="B18" s="369" t="s">
        <v>198</v>
      </c>
      <c r="C18" s="356">
        <v>0</v>
      </c>
      <c r="D18" s="356">
        <f>O84</f>
        <v>432000</v>
      </c>
      <c r="E18" s="355">
        <f>O104</f>
        <v>748800</v>
      </c>
    </row>
    <row r="19" spans="2:11" s="137" customFormat="1" ht="13">
      <c r="B19" s="369" t="s">
        <v>194</v>
      </c>
      <c r="C19" s="356">
        <f>O63</f>
        <v>745920</v>
      </c>
      <c r="D19" s="11">
        <f>O79</f>
        <v>1029600</v>
      </c>
      <c r="E19" s="355">
        <f>O99</f>
        <v>1029600</v>
      </c>
    </row>
    <row r="20" spans="2:11" s="137" customFormat="1" ht="13">
      <c r="B20" s="369" t="s">
        <v>63</v>
      </c>
      <c r="C20" s="356">
        <f>O59</f>
        <v>1216800</v>
      </c>
      <c r="D20" s="11">
        <f>O75</f>
        <v>1216800</v>
      </c>
      <c r="E20" s="355">
        <f>O95</f>
        <v>1216800</v>
      </c>
    </row>
    <row r="21" spans="2:11" s="137" customFormat="1" ht="13">
      <c r="B21" s="369" t="s">
        <v>185</v>
      </c>
      <c r="C21" s="356">
        <f>O60</f>
        <v>842400</v>
      </c>
      <c r="D21" s="11">
        <f>O76</f>
        <v>842400</v>
      </c>
      <c r="E21" s="355">
        <f>O96</f>
        <v>842400</v>
      </c>
    </row>
    <row r="22" spans="2:11" s="137" customFormat="1" ht="13">
      <c r="B22" s="369" t="s">
        <v>201</v>
      </c>
      <c r="C22" s="356">
        <v>0</v>
      </c>
      <c r="D22" s="25">
        <v>0</v>
      </c>
      <c r="E22" s="355">
        <f>O107</f>
        <v>378000</v>
      </c>
    </row>
    <row r="23" spans="2:11" ht="13">
      <c r="B23" s="369" t="s">
        <v>64</v>
      </c>
      <c r="C23" s="356">
        <f>O64</f>
        <v>540000</v>
      </c>
      <c r="D23" s="11">
        <f>O80</f>
        <v>864000</v>
      </c>
      <c r="E23" s="355">
        <f>O100</f>
        <v>864000</v>
      </c>
    </row>
    <row r="24" spans="2:11" ht="13">
      <c r="B24" s="369" t="s">
        <v>200</v>
      </c>
      <c r="C24" s="356">
        <v>0</v>
      </c>
      <c r="D24" s="356">
        <v>0</v>
      </c>
      <c r="E24" s="355">
        <f>O106</f>
        <v>483840</v>
      </c>
    </row>
    <row r="25" spans="2:11" ht="13">
      <c r="B25" s="369" t="s">
        <v>195</v>
      </c>
      <c r="C25" s="356">
        <f>O65</f>
        <v>540000</v>
      </c>
      <c r="D25" s="376">
        <f>O81</f>
        <v>936000</v>
      </c>
      <c r="E25" s="355">
        <f>O101</f>
        <v>936000</v>
      </c>
    </row>
    <row r="26" spans="2:11" ht="13">
      <c r="B26" s="369" t="s">
        <v>216</v>
      </c>
      <c r="C26" s="356">
        <v>0</v>
      </c>
      <c r="D26" s="24">
        <f>O85</f>
        <v>378000</v>
      </c>
      <c r="E26" s="355">
        <f>O105</f>
        <v>655200</v>
      </c>
    </row>
    <row r="27" spans="2:11" ht="13">
      <c r="B27" s="369" t="s">
        <v>217</v>
      </c>
      <c r="C27" s="356">
        <v>0</v>
      </c>
      <c r="D27" s="25">
        <v>0</v>
      </c>
      <c r="E27" s="109">
        <f>108</f>
        <v>108</v>
      </c>
    </row>
    <row r="28" spans="2:11" ht="13.5" thickBot="1">
      <c r="B28" s="370" t="s">
        <v>44</v>
      </c>
      <c r="C28" s="357">
        <f>SUM(C10:C27)</f>
        <v>13806720</v>
      </c>
      <c r="D28" s="358">
        <f>SUM(D10:D27)</f>
        <v>16866720</v>
      </c>
      <c r="E28" s="359">
        <f>SUM(E10:E27)</f>
        <v>19027548</v>
      </c>
    </row>
    <row r="30" spans="2:11" ht="15.75" customHeight="1" thickBot="1"/>
    <row r="31" spans="2:11" ht="29">
      <c r="B31" s="378" t="s">
        <v>62</v>
      </c>
      <c r="C31" s="379" t="s">
        <v>65</v>
      </c>
      <c r="D31" s="379" t="s">
        <v>66</v>
      </c>
      <c r="E31" s="379" t="s">
        <v>67</v>
      </c>
      <c r="F31" s="379" t="s">
        <v>68</v>
      </c>
      <c r="G31" s="379" t="s">
        <v>69</v>
      </c>
      <c r="H31" s="380" t="s">
        <v>70</v>
      </c>
      <c r="I31" s="380" t="s">
        <v>71</v>
      </c>
      <c r="J31" s="379" t="s">
        <v>72</v>
      </c>
      <c r="K31" s="381" t="s">
        <v>38</v>
      </c>
    </row>
    <row r="32" spans="2:11" ht="14.5">
      <c r="B32" s="382"/>
      <c r="C32" s="26"/>
      <c r="D32" s="27">
        <f>M3</f>
        <v>0</v>
      </c>
      <c r="E32" s="28">
        <v>0.16</v>
      </c>
      <c r="F32" s="28">
        <v>0.02</v>
      </c>
      <c r="G32" s="28">
        <v>0.05</v>
      </c>
      <c r="H32" s="28">
        <v>7.4999999999999997E-2</v>
      </c>
      <c r="I32" s="28">
        <v>1.4999999999999999E-2</v>
      </c>
      <c r="J32" s="28">
        <v>0.12</v>
      </c>
      <c r="K32" s="383"/>
    </row>
    <row r="33" spans="2:11" ht="14.5">
      <c r="B33" s="352" t="s">
        <v>189</v>
      </c>
      <c r="C33" s="29">
        <v>135000</v>
      </c>
      <c r="D33" s="30">
        <f t="shared" ref="D33:D43" si="2">K33/6</f>
        <v>32400</v>
      </c>
      <c r="E33" s="30">
        <f t="shared" ref="E33:E43" si="3">C33*0.16</f>
        <v>21600</v>
      </c>
      <c r="F33" s="30">
        <f t="shared" ref="F33:F43" si="4">C33*0.02</f>
        <v>2700</v>
      </c>
      <c r="G33" s="30">
        <f t="shared" ref="G33:G43" si="5">C33*0.05</f>
        <v>6750</v>
      </c>
      <c r="H33" s="30">
        <f t="shared" ref="H33:H43" si="6">C33*0.075</f>
        <v>10125</v>
      </c>
      <c r="I33" s="30">
        <f t="shared" ref="I33:I43" si="7">C33*0.015</f>
        <v>2025</v>
      </c>
      <c r="J33" s="30">
        <f t="shared" ref="J33:J43" si="8">C33*0.12</f>
        <v>16200</v>
      </c>
      <c r="K33" s="384">
        <f t="shared" ref="K33:K38" si="9">SUM(E33:J33)+C33</f>
        <v>194400</v>
      </c>
    </row>
    <row r="34" spans="2:11" ht="14.5">
      <c r="B34" s="352" t="s">
        <v>190</v>
      </c>
      <c r="C34" s="29">
        <v>95000</v>
      </c>
      <c r="D34" s="30">
        <f t="shared" si="2"/>
        <v>22800</v>
      </c>
      <c r="E34" s="30">
        <f t="shared" si="3"/>
        <v>15200</v>
      </c>
      <c r="F34" s="30">
        <f t="shared" si="4"/>
        <v>1900</v>
      </c>
      <c r="G34" s="30">
        <f t="shared" si="5"/>
        <v>4750</v>
      </c>
      <c r="H34" s="30">
        <f t="shared" si="6"/>
        <v>7125</v>
      </c>
      <c r="I34" s="30">
        <f t="shared" si="7"/>
        <v>1425</v>
      </c>
      <c r="J34" s="30">
        <f t="shared" si="8"/>
        <v>11400</v>
      </c>
      <c r="K34" s="384">
        <f t="shared" si="9"/>
        <v>136800</v>
      </c>
    </row>
    <row r="35" spans="2:11" ht="14.5">
      <c r="B35" s="352" t="s">
        <v>192</v>
      </c>
      <c r="C35" s="29">
        <v>95000</v>
      </c>
      <c r="D35" s="30">
        <f t="shared" si="2"/>
        <v>22800</v>
      </c>
      <c r="E35" s="30">
        <f t="shared" si="3"/>
        <v>15200</v>
      </c>
      <c r="F35" s="30">
        <f t="shared" si="4"/>
        <v>1900</v>
      </c>
      <c r="G35" s="30">
        <f t="shared" si="5"/>
        <v>4750</v>
      </c>
      <c r="H35" s="30">
        <f t="shared" si="6"/>
        <v>7125</v>
      </c>
      <c r="I35" s="30">
        <f t="shared" si="7"/>
        <v>1425</v>
      </c>
      <c r="J35" s="30">
        <f t="shared" si="8"/>
        <v>11400</v>
      </c>
      <c r="K35" s="384">
        <f t="shared" si="9"/>
        <v>136800</v>
      </c>
    </row>
    <row r="36" spans="2:11" ht="14.5">
      <c r="B36" s="352" t="s">
        <v>191</v>
      </c>
      <c r="C36" s="29">
        <v>95000</v>
      </c>
      <c r="D36" s="30">
        <f t="shared" si="2"/>
        <v>22800</v>
      </c>
      <c r="E36" s="30">
        <f t="shared" si="3"/>
        <v>15200</v>
      </c>
      <c r="F36" s="30">
        <f t="shared" si="4"/>
        <v>1900</v>
      </c>
      <c r="G36" s="30">
        <f t="shared" si="5"/>
        <v>4750</v>
      </c>
      <c r="H36" s="30">
        <f t="shared" si="6"/>
        <v>7125</v>
      </c>
      <c r="I36" s="30">
        <f t="shared" si="7"/>
        <v>1425</v>
      </c>
      <c r="J36" s="30">
        <f t="shared" si="8"/>
        <v>11400</v>
      </c>
      <c r="K36" s="384">
        <f t="shared" si="9"/>
        <v>136800</v>
      </c>
    </row>
    <row r="37" spans="2:11" ht="14.5">
      <c r="B37" s="352" t="s">
        <v>187</v>
      </c>
      <c r="C37" s="29">
        <v>55000</v>
      </c>
      <c r="D37" s="30">
        <f t="shared" si="2"/>
        <v>13200</v>
      </c>
      <c r="E37" s="30">
        <f t="shared" si="3"/>
        <v>8800</v>
      </c>
      <c r="F37" s="30">
        <f t="shared" si="4"/>
        <v>1100</v>
      </c>
      <c r="G37" s="30">
        <f t="shared" si="5"/>
        <v>2750</v>
      </c>
      <c r="H37" s="30">
        <f t="shared" si="6"/>
        <v>4125</v>
      </c>
      <c r="I37" s="30">
        <f t="shared" si="7"/>
        <v>825</v>
      </c>
      <c r="J37" s="30">
        <f t="shared" si="8"/>
        <v>6600</v>
      </c>
      <c r="K37" s="384">
        <f t="shared" si="9"/>
        <v>79200</v>
      </c>
    </row>
    <row r="38" spans="2:11" ht="14.5">
      <c r="B38" s="352" t="s">
        <v>188</v>
      </c>
      <c r="C38" s="29">
        <v>55000</v>
      </c>
      <c r="D38" s="30">
        <f t="shared" si="2"/>
        <v>13200</v>
      </c>
      <c r="E38" s="30">
        <f t="shared" si="3"/>
        <v>8800</v>
      </c>
      <c r="F38" s="30">
        <f t="shared" si="4"/>
        <v>1100</v>
      </c>
      <c r="G38" s="30">
        <f t="shared" si="5"/>
        <v>2750</v>
      </c>
      <c r="H38" s="30">
        <f t="shared" si="6"/>
        <v>4125</v>
      </c>
      <c r="I38" s="30">
        <f t="shared" si="7"/>
        <v>825</v>
      </c>
      <c r="J38" s="30">
        <f t="shared" si="8"/>
        <v>6600</v>
      </c>
      <c r="K38" s="384">
        <f t="shared" si="9"/>
        <v>79200</v>
      </c>
    </row>
    <row r="39" spans="2:11" ht="14.5">
      <c r="B39" s="352" t="s">
        <v>196</v>
      </c>
      <c r="C39" s="31">
        <v>55000</v>
      </c>
      <c r="D39" s="30">
        <f t="shared" si="2"/>
        <v>13200</v>
      </c>
      <c r="E39" s="30">
        <f t="shared" si="3"/>
        <v>8800</v>
      </c>
      <c r="F39" s="30">
        <f t="shared" si="4"/>
        <v>1100</v>
      </c>
      <c r="G39" s="30">
        <f t="shared" si="5"/>
        <v>2750</v>
      </c>
      <c r="H39" s="30">
        <f t="shared" si="6"/>
        <v>4125</v>
      </c>
      <c r="I39" s="30">
        <f t="shared" si="7"/>
        <v>825</v>
      </c>
      <c r="J39" s="30">
        <f t="shared" si="8"/>
        <v>6600</v>
      </c>
      <c r="K39" s="384">
        <f>(SUM(E39:J39)+C39)</f>
        <v>79200</v>
      </c>
    </row>
    <row r="40" spans="2:11" ht="14.5">
      <c r="B40" s="352" t="s">
        <v>197</v>
      </c>
      <c r="C40" s="29">
        <v>55000</v>
      </c>
      <c r="D40" s="30">
        <f t="shared" si="2"/>
        <v>13200</v>
      </c>
      <c r="E40" s="30">
        <f t="shared" si="3"/>
        <v>8800</v>
      </c>
      <c r="F40" s="30">
        <f t="shared" si="4"/>
        <v>1100</v>
      </c>
      <c r="G40" s="30">
        <f t="shared" si="5"/>
        <v>2750</v>
      </c>
      <c r="H40" s="30">
        <f t="shared" si="6"/>
        <v>4125</v>
      </c>
      <c r="I40" s="30">
        <f t="shared" si="7"/>
        <v>825</v>
      </c>
      <c r="J40" s="30">
        <f t="shared" si="8"/>
        <v>6600</v>
      </c>
      <c r="K40" s="384">
        <f t="shared" ref="K40:K43" si="10">SUM(E40:J40)+C40</f>
        <v>79200</v>
      </c>
    </row>
    <row r="41" spans="2:11" ht="14.5">
      <c r="B41" s="352" t="s">
        <v>198</v>
      </c>
      <c r="C41" s="29">
        <v>40000</v>
      </c>
      <c r="D41" s="30">
        <f t="shared" si="2"/>
        <v>9600</v>
      </c>
      <c r="E41" s="30">
        <f t="shared" si="3"/>
        <v>6400</v>
      </c>
      <c r="F41" s="30">
        <f t="shared" si="4"/>
        <v>800</v>
      </c>
      <c r="G41" s="30">
        <f t="shared" si="5"/>
        <v>2000</v>
      </c>
      <c r="H41" s="30">
        <f t="shared" si="6"/>
        <v>3000</v>
      </c>
      <c r="I41" s="30">
        <f t="shared" si="7"/>
        <v>600</v>
      </c>
      <c r="J41" s="30">
        <f t="shared" si="8"/>
        <v>4800</v>
      </c>
      <c r="K41" s="384">
        <f t="shared" si="10"/>
        <v>57600</v>
      </c>
    </row>
    <row r="42" spans="2:11" ht="14.5">
      <c r="B42" s="352" t="s">
        <v>194</v>
      </c>
      <c r="C42" s="29">
        <v>45000</v>
      </c>
      <c r="D42" s="30">
        <f t="shared" si="2"/>
        <v>10800</v>
      </c>
      <c r="E42" s="30">
        <f t="shared" si="3"/>
        <v>7200</v>
      </c>
      <c r="F42" s="30">
        <f t="shared" si="4"/>
        <v>900</v>
      </c>
      <c r="G42" s="30">
        <f t="shared" si="5"/>
        <v>2250</v>
      </c>
      <c r="H42" s="30">
        <f t="shared" si="6"/>
        <v>3375</v>
      </c>
      <c r="I42" s="30">
        <f t="shared" si="7"/>
        <v>675</v>
      </c>
      <c r="J42" s="30">
        <f t="shared" si="8"/>
        <v>5400</v>
      </c>
      <c r="K42" s="384">
        <f t="shared" si="10"/>
        <v>64800</v>
      </c>
    </row>
    <row r="43" spans="2:11" ht="14.5">
      <c r="B43" s="352" t="s">
        <v>63</v>
      </c>
      <c r="C43" s="29">
        <v>65000</v>
      </c>
      <c r="D43" s="30">
        <f t="shared" si="2"/>
        <v>15600</v>
      </c>
      <c r="E43" s="30">
        <f t="shared" si="3"/>
        <v>10400</v>
      </c>
      <c r="F43" s="30">
        <f t="shared" si="4"/>
        <v>1300</v>
      </c>
      <c r="G43" s="30">
        <f t="shared" si="5"/>
        <v>3250</v>
      </c>
      <c r="H43" s="30">
        <f t="shared" si="6"/>
        <v>4875</v>
      </c>
      <c r="I43" s="30">
        <f t="shared" si="7"/>
        <v>975</v>
      </c>
      <c r="J43" s="30">
        <f t="shared" si="8"/>
        <v>7800</v>
      </c>
      <c r="K43" s="384">
        <f t="shared" si="10"/>
        <v>93600</v>
      </c>
    </row>
    <row r="44" spans="2:11" s="137" customFormat="1" ht="14.5">
      <c r="B44" s="352" t="s">
        <v>185</v>
      </c>
      <c r="C44" s="29">
        <v>45000</v>
      </c>
      <c r="D44" s="30">
        <f t="shared" ref="D44:D50" si="11">K44/6</f>
        <v>10800</v>
      </c>
      <c r="E44" s="30">
        <f t="shared" ref="E44:E50" si="12">C44*0.16</f>
        <v>7200</v>
      </c>
      <c r="F44" s="30">
        <f t="shared" ref="F44:F50" si="13">C44*0.02</f>
        <v>900</v>
      </c>
      <c r="G44" s="30">
        <f t="shared" ref="G44:G50" si="14">C44*0.05</f>
        <v>2250</v>
      </c>
      <c r="H44" s="30">
        <f t="shared" ref="H44:H50" si="15">C44*0.075</f>
        <v>3375</v>
      </c>
      <c r="I44" s="30">
        <f t="shared" ref="I44:I50" si="16">C44*0.015</f>
        <v>675</v>
      </c>
      <c r="J44" s="30">
        <f t="shared" ref="J44:J50" si="17">C44*0.12</f>
        <v>5400</v>
      </c>
      <c r="K44" s="384">
        <f t="shared" ref="K44:K45" si="18">SUM(E44:J44)+C44</f>
        <v>64800</v>
      </c>
    </row>
    <row r="45" spans="2:11" s="137" customFormat="1" ht="14.5">
      <c r="B45" s="352" t="s">
        <v>201</v>
      </c>
      <c r="C45" s="29">
        <v>35000</v>
      </c>
      <c r="D45" s="30">
        <f t="shared" si="11"/>
        <v>8400</v>
      </c>
      <c r="E45" s="30">
        <f t="shared" si="12"/>
        <v>5600</v>
      </c>
      <c r="F45" s="30">
        <f t="shared" si="13"/>
        <v>700</v>
      </c>
      <c r="G45" s="30">
        <f t="shared" si="14"/>
        <v>1750</v>
      </c>
      <c r="H45" s="30">
        <f t="shared" si="15"/>
        <v>2625</v>
      </c>
      <c r="I45" s="30">
        <f t="shared" si="16"/>
        <v>525</v>
      </c>
      <c r="J45" s="30">
        <f t="shared" si="17"/>
        <v>4200</v>
      </c>
      <c r="K45" s="384">
        <f t="shared" si="18"/>
        <v>50400</v>
      </c>
    </row>
    <row r="46" spans="2:11" s="137" customFormat="1" ht="14.5">
      <c r="B46" s="352" t="s">
        <v>64</v>
      </c>
      <c r="C46" s="31">
        <v>60000</v>
      </c>
      <c r="D46" s="30">
        <f t="shared" si="11"/>
        <v>14400</v>
      </c>
      <c r="E46" s="30">
        <f t="shared" si="12"/>
        <v>9600</v>
      </c>
      <c r="F46" s="30">
        <f t="shared" si="13"/>
        <v>1200</v>
      </c>
      <c r="G46" s="30">
        <f t="shared" si="14"/>
        <v>3000</v>
      </c>
      <c r="H46" s="30">
        <f t="shared" si="15"/>
        <v>4500</v>
      </c>
      <c r="I46" s="30">
        <f t="shared" si="16"/>
        <v>900</v>
      </c>
      <c r="J46" s="30">
        <f t="shared" si="17"/>
        <v>7200</v>
      </c>
      <c r="K46" s="384">
        <f>(SUM(E46:J46)+C46)</f>
        <v>86400</v>
      </c>
    </row>
    <row r="47" spans="2:11" s="137" customFormat="1" ht="14.5">
      <c r="B47" s="352" t="s">
        <v>200</v>
      </c>
      <c r="C47" s="29">
        <v>35000</v>
      </c>
      <c r="D47" s="30">
        <f t="shared" si="11"/>
        <v>8400</v>
      </c>
      <c r="E47" s="30">
        <f t="shared" si="12"/>
        <v>5600</v>
      </c>
      <c r="F47" s="30">
        <f t="shared" si="13"/>
        <v>700</v>
      </c>
      <c r="G47" s="30">
        <f t="shared" si="14"/>
        <v>1750</v>
      </c>
      <c r="H47" s="30">
        <f t="shared" si="15"/>
        <v>2625</v>
      </c>
      <c r="I47" s="30">
        <f t="shared" si="16"/>
        <v>525</v>
      </c>
      <c r="J47" s="30">
        <f t="shared" si="17"/>
        <v>4200</v>
      </c>
      <c r="K47" s="384">
        <f t="shared" ref="K47:K50" si="19">SUM(E47:J47)+C47</f>
        <v>50400</v>
      </c>
    </row>
    <row r="48" spans="2:11" s="137" customFormat="1" ht="14.5">
      <c r="B48" s="352" t="s">
        <v>195</v>
      </c>
      <c r="C48" s="29">
        <v>50000</v>
      </c>
      <c r="D48" s="30">
        <f t="shared" si="11"/>
        <v>12000</v>
      </c>
      <c r="E48" s="30">
        <f t="shared" si="12"/>
        <v>8000</v>
      </c>
      <c r="F48" s="30">
        <f t="shared" si="13"/>
        <v>1000</v>
      </c>
      <c r="G48" s="30">
        <f t="shared" si="14"/>
        <v>2500</v>
      </c>
      <c r="H48" s="30">
        <f t="shared" si="15"/>
        <v>3750</v>
      </c>
      <c r="I48" s="30">
        <f t="shared" si="16"/>
        <v>750</v>
      </c>
      <c r="J48" s="30">
        <f t="shared" si="17"/>
        <v>6000</v>
      </c>
      <c r="K48" s="384">
        <f t="shared" si="19"/>
        <v>72000</v>
      </c>
    </row>
    <row r="49" spans="2:16" s="137" customFormat="1" ht="14.5">
      <c r="B49" s="352" t="s">
        <v>216</v>
      </c>
      <c r="C49" s="29">
        <v>35000</v>
      </c>
      <c r="D49" s="30">
        <f t="shared" si="11"/>
        <v>8400</v>
      </c>
      <c r="E49" s="30">
        <f t="shared" si="12"/>
        <v>5600</v>
      </c>
      <c r="F49" s="30">
        <f t="shared" si="13"/>
        <v>700</v>
      </c>
      <c r="G49" s="30">
        <f t="shared" si="14"/>
        <v>1750</v>
      </c>
      <c r="H49" s="30">
        <f t="shared" si="15"/>
        <v>2625</v>
      </c>
      <c r="I49" s="30">
        <f t="shared" si="16"/>
        <v>525</v>
      </c>
      <c r="J49" s="30">
        <f t="shared" si="17"/>
        <v>4200</v>
      </c>
      <c r="K49" s="384">
        <f t="shared" si="19"/>
        <v>50400</v>
      </c>
    </row>
    <row r="50" spans="2:16" s="137" customFormat="1" ht="15" thickBot="1">
      <c r="B50" s="385" t="s">
        <v>217</v>
      </c>
      <c r="C50" s="386">
        <v>35000</v>
      </c>
      <c r="D50" s="387">
        <f t="shared" si="11"/>
        <v>8400</v>
      </c>
      <c r="E50" s="387">
        <f t="shared" si="12"/>
        <v>5600</v>
      </c>
      <c r="F50" s="387">
        <f t="shared" si="13"/>
        <v>700</v>
      </c>
      <c r="G50" s="387">
        <f t="shared" si="14"/>
        <v>1750</v>
      </c>
      <c r="H50" s="387">
        <f t="shared" si="15"/>
        <v>2625</v>
      </c>
      <c r="I50" s="387">
        <f t="shared" si="16"/>
        <v>525</v>
      </c>
      <c r="J50" s="387">
        <f t="shared" si="17"/>
        <v>4200</v>
      </c>
      <c r="K50" s="388">
        <f t="shared" si="19"/>
        <v>50400</v>
      </c>
    </row>
    <row r="52" spans="2:16" ht="15.75" customHeight="1" thickBot="1"/>
    <row r="53" spans="2:16" ht="13">
      <c r="B53" s="249" t="s">
        <v>25</v>
      </c>
      <c r="C53" s="250"/>
      <c r="D53" s="250"/>
      <c r="E53" s="250"/>
      <c r="F53" s="250"/>
      <c r="G53" s="250"/>
      <c r="H53" s="250"/>
      <c r="I53" s="250"/>
      <c r="J53" s="250"/>
      <c r="K53" s="250"/>
      <c r="L53" s="250"/>
      <c r="M53" s="250"/>
      <c r="N53" s="250"/>
      <c r="O53" s="90"/>
    </row>
    <row r="54" spans="2:16" ht="14.5">
      <c r="B54" s="360" t="s">
        <v>62</v>
      </c>
      <c r="C54" s="32" t="s">
        <v>26</v>
      </c>
      <c r="D54" s="32" t="s">
        <v>27</v>
      </c>
      <c r="E54" s="32" t="s">
        <v>28</v>
      </c>
      <c r="F54" s="32" t="s">
        <v>29</v>
      </c>
      <c r="G54" s="32" t="s">
        <v>30</v>
      </c>
      <c r="H54" s="32" t="s">
        <v>31</v>
      </c>
      <c r="I54" s="32" t="s">
        <v>32</v>
      </c>
      <c r="J54" s="32" t="s">
        <v>33</v>
      </c>
      <c r="K54" s="32" t="s">
        <v>34</v>
      </c>
      <c r="L54" s="32" t="s">
        <v>35</v>
      </c>
      <c r="M54" s="32" t="s">
        <v>36</v>
      </c>
      <c r="N54" s="32" t="s">
        <v>37</v>
      </c>
      <c r="O54" s="361" t="s">
        <v>73</v>
      </c>
    </row>
    <row r="55" spans="2:16" ht="13">
      <c r="B55" s="362" t="s">
        <v>189</v>
      </c>
      <c r="C55" s="16">
        <f t="shared" ref="C55:G55" si="20">$K$33</f>
        <v>194400</v>
      </c>
      <c r="D55" s="16">
        <f t="shared" si="20"/>
        <v>194400</v>
      </c>
      <c r="E55" s="16">
        <f t="shared" si="20"/>
        <v>194400</v>
      </c>
      <c r="F55" s="16">
        <f t="shared" si="20"/>
        <v>194400</v>
      </c>
      <c r="G55" s="16">
        <f t="shared" si="20"/>
        <v>194400</v>
      </c>
      <c r="H55" s="33">
        <f>$K$33+($K$33/2)</f>
        <v>291600</v>
      </c>
      <c r="I55" s="16">
        <f t="shared" ref="I55:M55" si="21">$K$33</f>
        <v>194400</v>
      </c>
      <c r="J55" s="16">
        <f t="shared" si="21"/>
        <v>194400</v>
      </c>
      <c r="K55" s="16">
        <f t="shared" si="21"/>
        <v>194400</v>
      </c>
      <c r="L55" s="16">
        <f t="shared" si="21"/>
        <v>194400</v>
      </c>
      <c r="M55" s="16">
        <f t="shared" si="21"/>
        <v>194400</v>
      </c>
      <c r="N55" s="33">
        <f>$K$33+($K$33/2)</f>
        <v>291600</v>
      </c>
      <c r="O55" s="355">
        <f t="shared" ref="O55:O65" si="22">SUM(C55:N55)</f>
        <v>2527200</v>
      </c>
    </row>
    <row r="56" spans="2:16" ht="13">
      <c r="B56" s="362" t="s">
        <v>190</v>
      </c>
      <c r="C56" s="16">
        <f>$K$34</f>
        <v>136800</v>
      </c>
      <c r="D56" s="16">
        <f t="shared" ref="D56:G56" si="23">$K$34</f>
        <v>136800</v>
      </c>
      <c r="E56" s="16">
        <f t="shared" si="23"/>
        <v>136800</v>
      </c>
      <c r="F56" s="16">
        <f t="shared" si="23"/>
        <v>136800</v>
      </c>
      <c r="G56" s="16">
        <f t="shared" si="23"/>
        <v>136800</v>
      </c>
      <c r="H56" s="33">
        <f>$K$34+($K$34/2)</f>
        <v>205200</v>
      </c>
      <c r="I56" s="16">
        <f>$K$34</f>
        <v>136800</v>
      </c>
      <c r="J56" s="16">
        <f t="shared" ref="J56:M56" si="24">$K$34</f>
        <v>136800</v>
      </c>
      <c r="K56" s="16">
        <f t="shared" si="24"/>
        <v>136800</v>
      </c>
      <c r="L56" s="16">
        <f t="shared" si="24"/>
        <v>136800</v>
      </c>
      <c r="M56" s="16">
        <f t="shared" si="24"/>
        <v>136800</v>
      </c>
      <c r="N56" s="33">
        <f>$K$34+($K$34/2)</f>
        <v>205200</v>
      </c>
      <c r="O56" s="355">
        <f t="shared" si="22"/>
        <v>1778400</v>
      </c>
    </row>
    <row r="57" spans="2:16" ht="13">
      <c r="B57" s="362" t="s">
        <v>192</v>
      </c>
      <c r="C57" s="16">
        <f>$K$35</f>
        <v>136800</v>
      </c>
      <c r="D57" s="16">
        <f t="shared" ref="D57:G57" si="25">$K$35</f>
        <v>136800</v>
      </c>
      <c r="E57" s="16">
        <f t="shared" si="25"/>
        <v>136800</v>
      </c>
      <c r="F57" s="16">
        <f t="shared" si="25"/>
        <v>136800</v>
      </c>
      <c r="G57" s="16">
        <f t="shared" si="25"/>
        <v>136800</v>
      </c>
      <c r="H57" s="33">
        <f>$K$35+($K$35/2)</f>
        <v>205200</v>
      </c>
      <c r="I57" s="16">
        <f>$K$35</f>
        <v>136800</v>
      </c>
      <c r="J57" s="16">
        <f t="shared" ref="J57:M57" si="26">$K$35</f>
        <v>136800</v>
      </c>
      <c r="K57" s="16">
        <f t="shared" si="26"/>
        <v>136800</v>
      </c>
      <c r="L57" s="16">
        <f t="shared" si="26"/>
        <v>136800</v>
      </c>
      <c r="M57" s="16">
        <f t="shared" si="26"/>
        <v>136800</v>
      </c>
      <c r="N57" s="33">
        <f>$K$35+($K$35/2)</f>
        <v>205200</v>
      </c>
      <c r="O57" s="355">
        <f t="shared" si="22"/>
        <v>1778400</v>
      </c>
    </row>
    <row r="58" spans="2:16" ht="13">
      <c r="B58" s="362" t="s">
        <v>191</v>
      </c>
      <c r="C58" s="16">
        <f>$K$36</f>
        <v>136800</v>
      </c>
      <c r="D58" s="16">
        <f t="shared" ref="D58:G58" si="27">$K$36</f>
        <v>136800</v>
      </c>
      <c r="E58" s="16">
        <f t="shared" si="27"/>
        <v>136800</v>
      </c>
      <c r="F58" s="16">
        <f t="shared" si="27"/>
        <v>136800</v>
      </c>
      <c r="G58" s="16">
        <f t="shared" si="27"/>
        <v>136800</v>
      </c>
      <c r="H58" s="33">
        <f>$K$36+($K$36/2)</f>
        <v>205200</v>
      </c>
      <c r="I58" s="16">
        <f>$K$36</f>
        <v>136800</v>
      </c>
      <c r="J58" s="16">
        <f t="shared" ref="J58:M58" si="28">$K$36</f>
        <v>136800</v>
      </c>
      <c r="K58" s="16">
        <f t="shared" si="28"/>
        <v>136800</v>
      </c>
      <c r="L58" s="16">
        <f t="shared" si="28"/>
        <v>136800</v>
      </c>
      <c r="M58" s="16">
        <f t="shared" si="28"/>
        <v>136800</v>
      </c>
      <c r="N58" s="33">
        <f>$K$36+($K$36/2)</f>
        <v>205200</v>
      </c>
      <c r="O58" s="92">
        <f t="shared" si="22"/>
        <v>1778400</v>
      </c>
    </row>
    <row r="59" spans="2:16" ht="14.5">
      <c r="B59" s="362" t="s">
        <v>63</v>
      </c>
      <c r="C59" s="16">
        <f>$K$43</f>
        <v>93600</v>
      </c>
      <c r="D59" s="16">
        <f t="shared" ref="D59:G59" si="29">$K$43</f>
        <v>93600</v>
      </c>
      <c r="E59" s="16">
        <f t="shared" si="29"/>
        <v>93600</v>
      </c>
      <c r="F59" s="16">
        <f t="shared" si="29"/>
        <v>93600</v>
      </c>
      <c r="G59" s="16">
        <f t="shared" si="29"/>
        <v>93600</v>
      </c>
      <c r="H59" s="33">
        <f>$K$43+($K$43/2)</f>
        <v>140400</v>
      </c>
      <c r="I59" s="16">
        <f>$K$43</f>
        <v>93600</v>
      </c>
      <c r="J59" s="16">
        <f t="shared" ref="J59:M59" si="30">$K$43</f>
        <v>93600</v>
      </c>
      <c r="K59" s="16">
        <f t="shared" si="30"/>
        <v>93600</v>
      </c>
      <c r="L59" s="16">
        <f t="shared" si="30"/>
        <v>93600</v>
      </c>
      <c r="M59" s="16">
        <f t="shared" si="30"/>
        <v>93600</v>
      </c>
      <c r="N59" s="33">
        <f>$K$43+($K$43/2)</f>
        <v>140400</v>
      </c>
      <c r="O59" s="355">
        <f t="shared" si="22"/>
        <v>1216800</v>
      </c>
      <c r="P59" s="34"/>
    </row>
    <row r="60" spans="2:16" ht="13">
      <c r="B60" s="362" t="s">
        <v>185</v>
      </c>
      <c r="C60" s="16">
        <f>$K$44</f>
        <v>64800</v>
      </c>
      <c r="D60" s="16">
        <f t="shared" ref="D60:G60" si="31">$K$44</f>
        <v>64800</v>
      </c>
      <c r="E60" s="16">
        <f t="shared" si="31"/>
        <v>64800</v>
      </c>
      <c r="F60" s="16">
        <f t="shared" si="31"/>
        <v>64800</v>
      </c>
      <c r="G60" s="16">
        <f t="shared" si="31"/>
        <v>64800</v>
      </c>
      <c r="H60" s="33">
        <f>$K$44+($K$44/2)</f>
        <v>97200</v>
      </c>
      <c r="I60" s="16">
        <f>$K$44</f>
        <v>64800</v>
      </c>
      <c r="J60" s="16">
        <f t="shared" ref="J60:M60" si="32">$K$44</f>
        <v>64800</v>
      </c>
      <c r="K60" s="16">
        <f t="shared" si="32"/>
        <v>64800</v>
      </c>
      <c r="L60" s="16">
        <f t="shared" si="32"/>
        <v>64800</v>
      </c>
      <c r="M60" s="16">
        <f t="shared" si="32"/>
        <v>64800</v>
      </c>
      <c r="N60" s="33">
        <f>$K$44+($K$44/2)</f>
        <v>97200</v>
      </c>
      <c r="O60" s="355">
        <f t="shared" si="22"/>
        <v>842400</v>
      </c>
    </row>
    <row r="61" spans="2:16" s="137" customFormat="1" ht="13">
      <c r="B61" s="362" t="s">
        <v>187</v>
      </c>
      <c r="C61" s="16">
        <f>$K$37</f>
        <v>79200</v>
      </c>
      <c r="D61" s="16">
        <f t="shared" ref="D61:G61" si="33">$K$37</f>
        <v>79200</v>
      </c>
      <c r="E61" s="16">
        <f t="shared" si="33"/>
        <v>79200</v>
      </c>
      <c r="F61" s="16">
        <f t="shared" si="33"/>
        <v>79200</v>
      </c>
      <c r="G61" s="16">
        <f t="shared" si="33"/>
        <v>79200</v>
      </c>
      <c r="H61" s="33">
        <f>$K$37+($K$37/2)</f>
        <v>118800</v>
      </c>
      <c r="I61" s="16">
        <f>$K$37</f>
        <v>79200</v>
      </c>
      <c r="J61" s="16">
        <f t="shared" ref="J61:M61" si="34">$K$37</f>
        <v>79200</v>
      </c>
      <c r="K61" s="16">
        <f t="shared" si="34"/>
        <v>79200</v>
      </c>
      <c r="L61" s="16">
        <f t="shared" si="34"/>
        <v>79200</v>
      </c>
      <c r="M61" s="16">
        <f t="shared" si="34"/>
        <v>79200</v>
      </c>
      <c r="N61" s="33">
        <f>$K$37+($K$37/2)</f>
        <v>118800</v>
      </c>
      <c r="O61" s="355">
        <f t="shared" ref="O61:O64" si="35">SUM(C61:N61)</f>
        <v>1029600</v>
      </c>
    </row>
    <row r="62" spans="2:16" s="137" customFormat="1" ht="13">
      <c r="B62" s="362" t="s">
        <v>188</v>
      </c>
      <c r="C62" s="16">
        <f>$K$38</f>
        <v>79200</v>
      </c>
      <c r="D62" s="16">
        <f t="shared" ref="D62:G62" si="36">$K$38</f>
        <v>79200</v>
      </c>
      <c r="E62" s="16">
        <f t="shared" si="36"/>
        <v>79200</v>
      </c>
      <c r="F62" s="16">
        <f t="shared" si="36"/>
        <v>79200</v>
      </c>
      <c r="G62" s="16">
        <f t="shared" si="36"/>
        <v>79200</v>
      </c>
      <c r="H62" s="33">
        <f>$K$38+($K$38/2)</f>
        <v>118800</v>
      </c>
      <c r="I62" s="16">
        <f>$K$38</f>
        <v>79200</v>
      </c>
      <c r="J62" s="16">
        <f t="shared" ref="J62:M62" si="37">$K$38</f>
        <v>79200</v>
      </c>
      <c r="K62" s="16">
        <f t="shared" si="37"/>
        <v>79200</v>
      </c>
      <c r="L62" s="16">
        <f t="shared" si="37"/>
        <v>79200</v>
      </c>
      <c r="M62" s="16">
        <f t="shared" si="37"/>
        <v>79200</v>
      </c>
      <c r="N62" s="33">
        <f>$K$38+($K$38/2)</f>
        <v>118800</v>
      </c>
      <c r="O62" s="92">
        <f t="shared" si="35"/>
        <v>1029600</v>
      </c>
    </row>
    <row r="63" spans="2:16" s="137" customFormat="1" ht="14.5">
      <c r="B63" s="362" t="s">
        <v>194</v>
      </c>
      <c r="C63" s="12">
        <v>0</v>
      </c>
      <c r="D63" s="12">
        <v>0</v>
      </c>
      <c r="E63" s="12">
        <v>0</v>
      </c>
      <c r="F63" s="16">
        <f>$K$42</f>
        <v>64800</v>
      </c>
      <c r="G63" s="16">
        <f t="shared" ref="G63" si="38">$K$39</f>
        <v>79200</v>
      </c>
      <c r="H63" s="33">
        <f>$K$39+(($K$39/2)*0.2)</f>
        <v>87120</v>
      </c>
      <c r="I63" s="16">
        <f t="shared" ref="I63:M63" si="39">$K$39</f>
        <v>79200</v>
      </c>
      <c r="J63" s="16">
        <f t="shared" si="39"/>
        <v>79200</v>
      </c>
      <c r="K63" s="16">
        <f t="shared" si="39"/>
        <v>79200</v>
      </c>
      <c r="L63" s="16">
        <f t="shared" si="39"/>
        <v>79200</v>
      </c>
      <c r="M63" s="16">
        <f t="shared" si="39"/>
        <v>79200</v>
      </c>
      <c r="N63" s="33">
        <f>$K$39+($K$39/2)</f>
        <v>118800</v>
      </c>
      <c r="O63" s="355">
        <f t="shared" si="35"/>
        <v>745920</v>
      </c>
      <c r="P63" s="34"/>
    </row>
    <row r="64" spans="2:16" s="137" customFormat="1" ht="13">
      <c r="B64" s="362" t="s">
        <v>64</v>
      </c>
      <c r="C64" s="12">
        <v>0</v>
      </c>
      <c r="D64" s="12">
        <v>0</v>
      </c>
      <c r="E64" s="12">
        <v>0</v>
      </c>
      <c r="F64" s="12">
        <v>0</v>
      </c>
      <c r="G64" s="12">
        <v>0</v>
      </c>
      <c r="H64" s="33">
        <f>$K$48</f>
        <v>72000</v>
      </c>
      <c r="I64" s="16">
        <f>$K$48</f>
        <v>72000</v>
      </c>
      <c r="J64" s="16">
        <f t="shared" ref="J64:M65" si="40">$K$48</f>
        <v>72000</v>
      </c>
      <c r="K64" s="16">
        <f t="shared" si="40"/>
        <v>72000</v>
      </c>
      <c r="L64" s="16">
        <f t="shared" si="40"/>
        <v>72000</v>
      </c>
      <c r="M64" s="16">
        <f t="shared" si="40"/>
        <v>72000</v>
      </c>
      <c r="N64" s="33">
        <f>$K$48+($K$48/2)</f>
        <v>108000</v>
      </c>
      <c r="O64" s="355">
        <f t="shared" si="35"/>
        <v>540000</v>
      </c>
    </row>
    <row r="65" spans="2:16" ht="14.5">
      <c r="B65" s="362" t="s">
        <v>195</v>
      </c>
      <c r="C65" s="12">
        <v>0</v>
      </c>
      <c r="D65" s="12">
        <v>0</v>
      </c>
      <c r="E65" s="12">
        <v>0</v>
      </c>
      <c r="F65" s="12">
        <v>0</v>
      </c>
      <c r="G65" s="12">
        <v>0</v>
      </c>
      <c r="H65" s="33">
        <f>$K$48</f>
        <v>72000</v>
      </c>
      <c r="I65" s="12">
        <f t="shared" ref="I65" si="41">$K$48</f>
        <v>72000</v>
      </c>
      <c r="J65" s="12">
        <f t="shared" si="40"/>
        <v>72000</v>
      </c>
      <c r="K65" s="12">
        <f t="shared" si="40"/>
        <v>72000</v>
      </c>
      <c r="L65" s="12">
        <f t="shared" si="40"/>
        <v>72000</v>
      </c>
      <c r="M65" s="12">
        <f t="shared" si="40"/>
        <v>72000</v>
      </c>
      <c r="N65" s="33">
        <f>$K$48+($K$48/2)</f>
        <v>108000</v>
      </c>
      <c r="O65" s="92">
        <f t="shared" si="22"/>
        <v>540000</v>
      </c>
      <c r="P65" s="35"/>
    </row>
    <row r="66" spans="2:16" ht="15" customHeight="1" thickBot="1">
      <c r="B66" s="363" t="s">
        <v>59</v>
      </c>
      <c r="C66" s="358">
        <f t="shared" ref="C66:O66" si="42">SUM(C55:C65)</f>
        <v>921600</v>
      </c>
      <c r="D66" s="358">
        <f t="shared" si="42"/>
        <v>921600</v>
      </c>
      <c r="E66" s="358">
        <f t="shared" si="42"/>
        <v>921600</v>
      </c>
      <c r="F66" s="358">
        <f t="shared" si="42"/>
        <v>986400</v>
      </c>
      <c r="G66" s="358">
        <f t="shared" si="42"/>
        <v>1000800</v>
      </c>
      <c r="H66" s="358">
        <f t="shared" si="42"/>
        <v>1613520</v>
      </c>
      <c r="I66" s="358">
        <f t="shared" si="42"/>
        <v>1144800</v>
      </c>
      <c r="J66" s="358">
        <f t="shared" si="42"/>
        <v>1144800</v>
      </c>
      <c r="K66" s="358">
        <f t="shared" si="42"/>
        <v>1144800</v>
      </c>
      <c r="L66" s="358">
        <f t="shared" si="42"/>
        <v>1144800</v>
      </c>
      <c r="M66" s="358">
        <f t="shared" si="42"/>
        <v>1144800</v>
      </c>
      <c r="N66" s="358">
        <f t="shared" si="42"/>
        <v>1717200</v>
      </c>
      <c r="O66" s="359">
        <f t="shared" si="42"/>
        <v>13806720</v>
      </c>
      <c r="P66" s="35"/>
    </row>
    <row r="67" spans="2:16" ht="15" customHeight="1">
      <c r="M67" s="36"/>
      <c r="N67" s="36"/>
      <c r="O67" s="36"/>
      <c r="P67" s="35"/>
    </row>
    <row r="68" spans="2:16" ht="15" thickBot="1">
      <c r="L68" s="35"/>
      <c r="M68" s="35"/>
      <c r="N68" s="35"/>
      <c r="O68" s="35"/>
      <c r="P68" s="35"/>
    </row>
    <row r="69" spans="2:16" ht="14.5">
      <c r="B69" s="249" t="s">
        <v>40</v>
      </c>
      <c r="C69" s="250"/>
      <c r="D69" s="250"/>
      <c r="E69" s="250"/>
      <c r="F69" s="250"/>
      <c r="G69" s="250"/>
      <c r="H69" s="250"/>
      <c r="I69" s="250"/>
      <c r="J69" s="250"/>
      <c r="K69" s="250"/>
      <c r="L69" s="250"/>
      <c r="M69" s="250"/>
      <c r="N69" s="250"/>
      <c r="O69" s="251"/>
      <c r="P69" s="35"/>
    </row>
    <row r="70" spans="2:16" ht="14.5">
      <c r="B70" s="360" t="s">
        <v>62</v>
      </c>
      <c r="C70" s="32" t="s">
        <v>26</v>
      </c>
      <c r="D70" s="32" t="s">
        <v>27</v>
      </c>
      <c r="E70" s="32" t="s">
        <v>28</v>
      </c>
      <c r="F70" s="32" t="s">
        <v>29</v>
      </c>
      <c r="G70" s="32" t="s">
        <v>30</v>
      </c>
      <c r="H70" s="32" t="s">
        <v>31</v>
      </c>
      <c r="I70" s="32" t="s">
        <v>32</v>
      </c>
      <c r="J70" s="32" t="s">
        <v>33</v>
      </c>
      <c r="K70" s="32" t="s">
        <v>34</v>
      </c>
      <c r="L70" s="32" t="s">
        <v>35</v>
      </c>
      <c r="M70" s="32" t="s">
        <v>36</v>
      </c>
      <c r="N70" s="32" t="s">
        <v>37</v>
      </c>
      <c r="O70" s="364" t="s">
        <v>73</v>
      </c>
      <c r="P70" s="35"/>
    </row>
    <row r="71" spans="2:16" ht="14.5">
      <c r="B71" s="362" t="s">
        <v>189</v>
      </c>
      <c r="C71" s="16">
        <f t="shared" ref="C71:M71" si="43">$K$33</f>
        <v>194400</v>
      </c>
      <c r="D71" s="16">
        <f t="shared" si="43"/>
        <v>194400</v>
      </c>
      <c r="E71" s="16">
        <f t="shared" si="43"/>
        <v>194400</v>
      </c>
      <c r="F71" s="16">
        <f t="shared" si="43"/>
        <v>194400</v>
      </c>
      <c r="G71" s="16">
        <f t="shared" si="43"/>
        <v>194400</v>
      </c>
      <c r="H71" s="33">
        <f>$K$33+($K$33/2)</f>
        <v>291600</v>
      </c>
      <c r="I71" s="16">
        <f t="shared" si="43"/>
        <v>194400</v>
      </c>
      <c r="J71" s="16">
        <f t="shared" si="43"/>
        <v>194400</v>
      </c>
      <c r="K71" s="16">
        <f t="shared" si="43"/>
        <v>194400</v>
      </c>
      <c r="L71" s="16">
        <f t="shared" si="43"/>
        <v>194400</v>
      </c>
      <c r="M71" s="16">
        <f t="shared" si="43"/>
        <v>194400</v>
      </c>
      <c r="N71" s="33">
        <f>$K$33+($K$33/2)</f>
        <v>291600</v>
      </c>
      <c r="O71" s="355">
        <f t="shared" ref="O71:O85" si="44">SUM(C71:N71)</f>
        <v>2527200</v>
      </c>
      <c r="P71" s="35"/>
    </row>
    <row r="72" spans="2:16" ht="14.5">
      <c r="B72" s="362" t="s">
        <v>190</v>
      </c>
      <c r="C72" s="16">
        <f>$K$34</f>
        <v>136800</v>
      </c>
      <c r="D72" s="16">
        <f t="shared" ref="D72:M72" si="45">$K$34</f>
        <v>136800</v>
      </c>
      <c r="E72" s="16">
        <f t="shared" si="45"/>
        <v>136800</v>
      </c>
      <c r="F72" s="16">
        <f t="shared" si="45"/>
        <v>136800</v>
      </c>
      <c r="G72" s="16">
        <f t="shared" si="45"/>
        <v>136800</v>
      </c>
      <c r="H72" s="33">
        <f>$K$42+($K$42/2)</f>
        <v>97200</v>
      </c>
      <c r="I72" s="16">
        <f t="shared" si="45"/>
        <v>136800</v>
      </c>
      <c r="J72" s="16">
        <f t="shared" si="45"/>
        <v>136800</v>
      </c>
      <c r="K72" s="16">
        <f t="shared" si="45"/>
        <v>136800</v>
      </c>
      <c r="L72" s="16">
        <f t="shared" si="45"/>
        <v>136800</v>
      </c>
      <c r="M72" s="16">
        <f t="shared" si="45"/>
        <v>136800</v>
      </c>
      <c r="N72" s="33">
        <f>$K$34+($K$34/2)</f>
        <v>205200</v>
      </c>
      <c r="O72" s="355">
        <f t="shared" si="44"/>
        <v>1670400</v>
      </c>
      <c r="P72" s="35"/>
    </row>
    <row r="73" spans="2:16" ht="14.5">
      <c r="B73" s="362" t="s">
        <v>192</v>
      </c>
      <c r="C73" s="16">
        <f>$K$35</f>
        <v>136800</v>
      </c>
      <c r="D73" s="16">
        <f t="shared" ref="D73:M73" si="46">$K$35</f>
        <v>136800</v>
      </c>
      <c r="E73" s="16">
        <f t="shared" si="46"/>
        <v>136800</v>
      </c>
      <c r="F73" s="16">
        <f t="shared" si="46"/>
        <v>136800</v>
      </c>
      <c r="G73" s="16">
        <f t="shared" si="46"/>
        <v>136800</v>
      </c>
      <c r="H73" s="33">
        <f>$K$35+($K$35/2)</f>
        <v>205200</v>
      </c>
      <c r="I73" s="16">
        <f t="shared" si="46"/>
        <v>136800</v>
      </c>
      <c r="J73" s="16">
        <f t="shared" si="46"/>
        <v>136800</v>
      </c>
      <c r="K73" s="16">
        <f t="shared" si="46"/>
        <v>136800</v>
      </c>
      <c r="L73" s="16">
        <f t="shared" si="46"/>
        <v>136800</v>
      </c>
      <c r="M73" s="16">
        <f t="shared" si="46"/>
        <v>136800</v>
      </c>
      <c r="N73" s="33">
        <f>$K$35+($K$35/2)</f>
        <v>205200</v>
      </c>
      <c r="O73" s="355">
        <f t="shared" si="44"/>
        <v>1778400</v>
      </c>
      <c r="P73" s="35"/>
    </row>
    <row r="74" spans="2:16" ht="14.5">
      <c r="B74" s="362" t="s">
        <v>191</v>
      </c>
      <c r="C74" s="16">
        <f>$K$36</f>
        <v>136800</v>
      </c>
      <c r="D74" s="16">
        <f t="shared" ref="D74:M74" si="47">$K$36</f>
        <v>136800</v>
      </c>
      <c r="E74" s="16">
        <f t="shared" si="47"/>
        <v>136800</v>
      </c>
      <c r="F74" s="16">
        <f t="shared" si="47"/>
        <v>136800</v>
      </c>
      <c r="G74" s="16">
        <f t="shared" si="47"/>
        <v>136800</v>
      </c>
      <c r="H74" s="33">
        <f>$K$36+($K$36/2)</f>
        <v>205200</v>
      </c>
      <c r="I74" s="16">
        <f t="shared" si="47"/>
        <v>136800</v>
      </c>
      <c r="J74" s="16">
        <f t="shared" si="47"/>
        <v>136800</v>
      </c>
      <c r="K74" s="16">
        <f t="shared" si="47"/>
        <v>136800</v>
      </c>
      <c r="L74" s="16">
        <f t="shared" si="47"/>
        <v>136800</v>
      </c>
      <c r="M74" s="16">
        <f t="shared" si="47"/>
        <v>136800</v>
      </c>
      <c r="N74" s="33">
        <f>$K$36+($K$36/2)</f>
        <v>205200</v>
      </c>
      <c r="O74" s="355">
        <f t="shared" si="44"/>
        <v>1778400</v>
      </c>
      <c r="P74" s="35"/>
    </row>
    <row r="75" spans="2:16" ht="14.5">
      <c r="B75" s="362" t="s">
        <v>63</v>
      </c>
      <c r="C75" s="16">
        <f>$K$43</f>
        <v>93600</v>
      </c>
      <c r="D75" s="16">
        <f t="shared" ref="D75:M75" si="48">$K$43</f>
        <v>93600</v>
      </c>
      <c r="E75" s="16">
        <f t="shared" si="48"/>
        <v>93600</v>
      </c>
      <c r="F75" s="16">
        <f t="shared" si="48"/>
        <v>93600</v>
      </c>
      <c r="G75" s="16">
        <f t="shared" si="48"/>
        <v>93600</v>
      </c>
      <c r="H75" s="33">
        <f>$K$43+($K$43/2)</f>
        <v>140400</v>
      </c>
      <c r="I75" s="16">
        <f t="shared" si="48"/>
        <v>93600</v>
      </c>
      <c r="J75" s="16">
        <f t="shared" si="48"/>
        <v>93600</v>
      </c>
      <c r="K75" s="16">
        <f t="shared" si="48"/>
        <v>93600</v>
      </c>
      <c r="L75" s="16">
        <f t="shared" si="48"/>
        <v>93600</v>
      </c>
      <c r="M75" s="16">
        <f t="shared" si="48"/>
        <v>93600</v>
      </c>
      <c r="N75" s="33">
        <f>$K$43+($K$43/2)</f>
        <v>140400</v>
      </c>
      <c r="O75" s="355">
        <f t="shared" si="44"/>
        <v>1216800</v>
      </c>
      <c r="P75" s="37"/>
    </row>
    <row r="76" spans="2:16" ht="14.5">
      <c r="B76" s="362" t="s">
        <v>185</v>
      </c>
      <c r="C76" s="16">
        <f>$K$44</f>
        <v>64800</v>
      </c>
      <c r="D76" s="16">
        <f t="shared" ref="D76:M76" si="49">$K$44</f>
        <v>64800</v>
      </c>
      <c r="E76" s="16">
        <f t="shared" si="49"/>
        <v>64800</v>
      </c>
      <c r="F76" s="16">
        <f t="shared" si="49"/>
        <v>64800</v>
      </c>
      <c r="G76" s="16">
        <f t="shared" si="49"/>
        <v>64800</v>
      </c>
      <c r="H76" s="33">
        <f>$K$44+($K$44/2)</f>
        <v>97200</v>
      </c>
      <c r="I76" s="16">
        <f t="shared" si="49"/>
        <v>64800</v>
      </c>
      <c r="J76" s="16">
        <f t="shared" si="49"/>
        <v>64800</v>
      </c>
      <c r="K76" s="16">
        <f t="shared" si="49"/>
        <v>64800</v>
      </c>
      <c r="L76" s="16">
        <f t="shared" si="49"/>
        <v>64800</v>
      </c>
      <c r="M76" s="16">
        <f t="shared" si="49"/>
        <v>64800</v>
      </c>
      <c r="N76" s="33">
        <f>$K$44+($K$44/2)</f>
        <v>97200</v>
      </c>
      <c r="O76" s="355">
        <f t="shared" si="44"/>
        <v>842400</v>
      </c>
      <c r="P76" s="37"/>
    </row>
    <row r="77" spans="2:16" ht="13">
      <c r="B77" s="362" t="s">
        <v>187</v>
      </c>
      <c r="C77" s="16">
        <f>$K$37</f>
        <v>79200</v>
      </c>
      <c r="D77" s="16">
        <f t="shared" ref="D77:M77" si="50">$K$37</f>
        <v>79200</v>
      </c>
      <c r="E77" s="16">
        <f t="shared" si="50"/>
        <v>79200</v>
      </c>
      <c r="F77" s="16">
        <f t="shared" si="50"/>
        <v>79200</v>
      </c>
      <c r="G77" s="16">
        <f t="shared" si="50"/>
        <v>79200</v>
      </c>
      <c r="H77" s="33">
        <f>$K$37+($K$37/2)</f>
        <v>118800</v>
      </c>
      <c r="I77" s="16">
        <f t="shared" si="50"/>
        <v>79200</v>
      </c>
      <c r="J77" s="16">
        <f t="shared" si="50"/>
        <v>79200</v>
      </c>
      <c r="K77" s="16">
        <f t="shared" si="50"/>
        <v>79200</v>
      </c>
      <c r="L77" s="16">
        <f t="shared" si="50"/>
        <v>79200</v>
      </c>
      <c r="M77" s="16">
        <f t="shared" si="50"/>
        <v>79200</v>
      </c>
      <c r="N77" s="33">
        <f>$K$37+($K$37/2)</f>
        <v>118800</v>
      </c>
      <c r="O77" s="355">
        <f t="shared" si="44"/>
        <v>1029600</v>
      </c>
    </row>
    <row r="78" spans="2:16" ht="13">
      <c r="B78" s="362" t="s">
        <v>188</v>
      </c>
      <c r="C78" s="16">
        <f>$K$38</f>
        <v>79200</v>
      </c>
      <c r="D78" s="16">
        <f t="shared" ref="D78:M78" si="51">$K$38</f>
        <v>79200</v>
      </c>
      <c r="E78" s="16">
        <f t="shared" si="51"/>
        <v>79200</v>
      </c>
      <c r="F78" s="16">
        <f t="shared" si="51"/>
        <v>79200</v>
      </c>
      <c r="G78" s="16">
        <f t="shared" si="51"/>
        <v>79200</v>
      </c>
      <c r="H78" s="33">
        <f>$K$38+($K$38/2)</f>
        <v>118800</v>
      </c>
      <c r="I78" s="16">
        <f t="shared" si="51"/>
        <v>79200</v>
      </c>
      <c r="J78" s="16">
        <f t="shared" si="51"/>
        <v>79200</v>
      </c>
      <c r="K78" s="16">
        <f t="shared" si="51"/>
        <v>79200</v>
      </c>
      <c r="L78" s="16">
        <f t="shared" si="51"/>
        <v>79200</v>
      </c>
      <c r="M78" s="16">
        <f t="shared" si="51"/>
        <v>79200</v>
      </c>
      <c r="N78" s="33">
        <f>$K$38+($K$38/2)</f>
        <v>118800</v>
      </c>
      <c r="O78" s="355">
        <f t="shared" si="44"/>
        <v>1029600</v>
      </c>
    </row>
    <row r="79" spans="2:16" ht="13">
      <c r="B79" s="362" t="s">
        <v>194</v>
      </c>
      <c r="C79" s="12">
        <f>$K$37</f>
        <v>79200</v>
      </c>
      <c r="D79" s="12">
        <f t="shared" ref="D79:M79" si="52">$K$37</f>
        <v>79200</v>
      </c>
      <c r="E79" s="12">
        <f t="shared" si="52"/>
        <v>79200</v>
      </c>
      <c r="F79" s="12">
        <f t="shared" si="52"/>
        <v>79200</v>
      </c>
      <c r="G79" s="12">
        <f t="shared" si="52"/>
        <v>79200</v>
      </c>
      <c r="H79" s="33">
        <f>$K$39+($K$39/2)</f>
        <v>118800</v>
      </c>
      <c r="I79" s="12">
        <f t="shared" si="52"/>
        <v>79200</v>
      </c>
      <c r="J79" s="12">
        <f t="shared" si="52"/>
        <v>79200</v>
      </c>
      <c r="K79" s="12">
        <f t="shared" si="52"/>
        <v>79200</v>
      </c>
      <c r="L79" s="12">
        <f t="shared" si="52"/>
        <v>79200</v>
      </c>
      <c r="M79" s="12">
        <f t="shared" si="52"/>
        <v>79200</v>
      </c>
      <c r="N79" s="33">
        <f>$K$39+($K$39/2)</f>
        <v>118800</v>
      </c>
      <c r="O79" s="355">
        <f t="shared" si="44"/>
        <v>1029600</v>
      </c>
    </row>
    <row r="80" spans="2:16" ht="13">
      <c r="B80" s="362" t="s">
        <v>64</v>
      </c>
      <c r="C80" s="12">
        <f>$K$42</f>
        <v>64800</v>
      </c>
      <c r="D80" s="12">
        <f t="shared" ref="D80:M80" si="53">$K$42</f>
        <v>64800</v>
      </c>
      <c r="E80" s="12">
        <f t="shared" si="53"/>
        <v>64800</v>
      </c>
      <c r="F80" s="12">
        <f t="shared" si="53"/>
        <v>64800</v>
      </c>
      <c r="G80" s="12">
        <f t="shared" si="53"/>
        <v>64800</v>
      </c>
      <c r="H80" s="33">
        <f>$K$48+($K$48/2)</f>
        <v>108000</v>
      </c>
      <c r="I80" s="12">
        <f t="shared" si="53"/>
        <v>64800</v>
      </c>
      <c r="J80" s="12">
        <f t="shared" si="53"/>
        <v>64800</v>
      </c>
      <c r="K80" s="12">
        <f t="shared" si="53"/>
        <v>64800</v>
      </c>
      <c r="L80" s="12">
        <f t="shared" si="53"/>
        <v>64800</v>
      </c>
      <c r="M80" s="12">
        <f t="shared" si="53"/>
        <v>64800</v>
      </c>
      <c r="N80" s="33">
        <f>$K$48+($K$48/2)</f>
        <v>108000</v>
      </c>
      <c r="O80" s="355">
        <f t="shared" si="44"/>
        <v>864000</v>
      </c>
    </row>
    <row r="81" spans="2:16" ht="13">
      <c r="B81" s="362" t="s">
        <v>195</v>
      </c>
      <c r="C81" s="12">
        <f>$K$48</f>
        <v>72000</v>
      </c>
      <c r="D81" s="12">
        <f t="shared" ref="D81:M81" si="54">$K$48</f>
        <v>72000</v>
      </c>
      <c r="E81" s="12">
        <f t="shared" si="54"/>
        <v>72000</v>
      </c>
      <c r="F81" s="12">
        <f t="shared" si="54"/>
        <v>72000</v>
      </c>
      <c r="G81" s="12">
        <f t="shared" si="54"/>
        <v>72000</v>
      </c>
      <c r="H81" s="33">
        <f>$K$48+($K$48/2)</f>
        <v>108000</v>
      </c>
      <c r="I81" s="12">
        <f t="shared" si="54"/>
        <v>72000</v>
      </c>
      <c r="J81" s="12">
        <f t="shared" si="54"/>
        <v>72000</v>
      </c>
      <c r="K81" s="12">
        <f t="shared" si="54"/>
        <v>72000</v>
      </c>
      <c r="L81" s="12">
        <f t="shared" si="54"/>
        <v>72000</v>
      </c>
      <c r="M81" s="12">
        <f t="shared" si="54"/>
        <v>72000</v>
      </c>
      <c r="N81" s="33">
        <f>$K$48+($K$48/2)</f>
        <v>108000</v>
      </c>
      <c r="O81" s="355">
        <f t="shared" si="44"/>
        <v>936000</v>
      </c>
    </row>
    <row r="82" spans="2:16" s="137" customFormat="1" ht="13">
      <c r="B82" s="362" t="s">
        <v>196</v>
      </c>
      <c r="C82" s="12">
        <v>0</v>
      </c>
      <c r="D82" s="12">
        <v>0</v>
      </c>
      <c r="E82" s="12">
        <v>0</v>
      </c>
      <c r="F82" s="12">
        <f>$K$39</f>
        <v>79200</v>
      </c>
      <c r="G82" s="12">
        <f t="shared" ref="G82:M82" si="55">$K$39</f>
        <v>79200</v>
      </c>
      <c r="H82" s="33">
        <f>$K$39+(($K$39/2)*0.2)</f>
        <v>87120</v>
      </c>
      <c r="I82" s="12">
        <f t="shared" si="55"/>
        <v>79200</v>
      </c>
      <c r="J82" s="12">
        <f t="shared" si="55"/>
        <v>79200</v>
      </c>
      <c r="K82" s="12">
        <f t="shared" si="55"/>
        <v>79200</v>
      </c>
      <c r="L82" s="12">
        <f t="shared" si="55"/>
        <v>79200</v>
      </c>
      <c r="M82" s="12">
        <f t="shared" si="55"/>
        <v>79200</v>
      </c>
      <c r="N82" s="33">
        <f>$K$39+($K$39/2)</f>
        <v>118800</v>
      </c>
      <c r="O82" s="355">
        <f t="shared" si="44"/>
        <v>760320</v>
      </c>
    </row>
    <row r="83" spans="2:16" s="137" customFormat="1" ht="13">
      <c r="B83" s="362" t="s">
        <v>197</v>
      </c>
      <c r="C83" s="12">
        <v>0</v>
      </c>
      <c r="D83" s="12">
        <v>0</v>
      </c>
      <c r="E83" s="12">
        <v>0</v>
      </c>
      <c r="F83" s="12">
        <v>0</v>
      </c>
      <c r="G83" s="12">
        <v>0</v>
      </c>
      <c r="H83" s="33">
        <f>$K$40</f>
        <v>79200</v>
      </c>
      <c r="I83" s="12">
        <f t="shared" ref="I83:M83" si="56">$K$40</f>
        <v>79200</v>
      </c>
      <c r="J83" s="12">
        <f t="shared" si="56"/>
        <v>79200</v>
      </c>
      <c r="K83" s="12">
        <f t="shared" si="56"/>
        <v>79200</v>
      </c>
      <c r="L83" s="12">
        <f t="shared" si="56"/>
        <v>79200</v>
      </c>
      <c r="M83" s="12">
        <f t="shared" si="56"/>
        <v>79200</v>
      </c>
      <c r="N83" s="33">
        <f>$K$40+($K$40/2)</f>
        <v>118800</v>
      </c>
      <c r="O83" s="355">
        <f t="shared" si="44"/>
        <v>594000</v>
      </c>
    </row>
    <row r="84" spans="2:16" s="137" customFormat="1" ht="13">
      <c r="B84" s="362" t="s">
        <v>198</v>
      </c>
      <c r="C84" s="12">
        <v>0</v>
      </c>
      <c r="D84" s="12">
        <v>0</v>
      </c>
      <c r="E84" s="12">
        <v>0</v>
      </c>
      <c r="F84" s="12">
        <v>0</v>
      </c>
      <c r="G84" s="12">
        <v>0</v>
      </c>
      <c r="H84" s="33">
        <f>$K$41</f>
        <v>57600</v>
      </c>
      <c r="I84" s="12">
        <f t="shared" ref="I84:M84" si="57">$K$41</f>
        <v>57600</v>
      </c>
      <c r="J84" s="12">
        <f t="shared" si="57"/>
        <v>57600</v>
      </c>
      <c r="K84" s="12">
        <f t="shared" si="57"/>
        <v>57600</v>
      </c>
      <c r="L84" s="12">
        <f t="shared" si="57"/>
        <v>57600</v>
      </c>
      <c r="M84" s="12">
        <f t="shared" si="57"/>
        <v>57600</v>
      </c>
      <c r="N84" s="33">
        <f>$K$41+($K$41/2)</f>
        <v>86400</v>
      </c>
      <c r="O84" s="355">
        <f t="shared" si="44"/>
        <v>432000</v>
      </c>
    </row>
    <row r="85" spans="2:16" ht="13">
      <c r="B85" s="362" t="s">
        <v>216</v>
      </c>
      <c r="C85" s="12">
        <v>0</v>
      </c>
      <c r="D85" s="12">
        <v>0</v>
      </c>
      <c r="E85" s="12">
        <v>0</v>
      </c>
      <c r="F85" s="12">
        <v>0</v>
      </c>
      <c r="G85" s="12">
        <v>0</v>
      </c>
      <c r="H85" s="44">
        <f>$K$49</f>
        <v>50400</v>
      </c>
      <c r="I85" s="12">
        <f t="shared" ref="I85:M85" si="58">$K$49</f>
        <v>50400</v>
      </c>
      <c r="J85" s="12">
        <f t="shared" si="58"/>
        <v>50400</v>
      </c>
      <c r="K85" s="12">
        <f t="shared" si="58"/>
        <v>50400</v>
      </c>
      <c r="L85" s="12">
        <f t="shared" si="58"/>
        <v>50400</v>
      </c>
      <c r="M85" s="12">
        <f t="shared" si="58"/>
        <v>50400</v>
      </c>
      <c r="N85" s="33">
        <f>$K$49+($K$49/2)</f>
        <v>75600</v>
      </c>
      <c r="O85" s="355">
        <f t="shared" si="44"/>
        <v>378000</v>
      </c>
    </row>
    <row r="86" spans="2:16" ht="13.5" thickBot="1">
      <c r="B86" s="363" t="s">
        <v>59</v>
      </c>
      <c r="C86" s="358">
        <f t="shared" ref="C86:O86" si="59">SUM(C71:C85)</f>
        <v>1137600</v>
      </c>
      <c r="D86" s="358">
        <f t="shared" si="59"/>
        <v>1137600</v>
      </c>
      <c r="E86" s="358">
        <f t="shared" si="59"/>
        <v>1137600</v>
      </c>
      <c r="F86" s="358">
        <f t="shared" si="59"/>
        <v>1216800</v>
      </c>
      <c r="G86" s="358">
        <f t="shared" si="59"/>
        <v>1216800</v>
      </c>
      <c r="H86" s="358">
        <f t="shared" si="59"/>
        <v>1883520</v>
      </c>
      <c r="I86" s="358">
        <f t="shared" si="59"/>
        <v>1404000</v>
      </c>
      <c r="J86" s="358">
        <f t="shared" si="59"/>
        <v>1404000</v>
      </c>
      <c r="K86" s="358">
        <f t="shared" si="59"/>
        <v>1404000</v>
      </c>
      <c r="L86" s="358">
        <f t="shared" si="59"/>
        <v>1404000</v>
      </c>
      <c r="M86" s="358">
        <f t="shared" si="59"/>
        <v>1404000</v>
      </c>
      <c r="N86" s="358">
        <f t="shared" si="59"/>
        <v>2116800</v>
      </c>
      <c r="O86" s="359">
        <f t="shared" si="59"/>
        <v>16866720</v>
      </c>
    </row>
    <row r="88" spans="2:16" ht="15.75" customHeight="1" thickBot="1"/>
    <row r="89" spans="2:16" s="137" customFormat="1" ht="14.5">
      <c r="B89" s="249" t="s">
        <v>41</v>
      </c>
      <c r="C89" s="250"/>
      <c r="D89" s="250"/>
      <c r="E89" s="250"/>
      <c r="F89" s="250"/>
      <c r="G89" s="250"/>
      <c r="H89" s="250"/>
      <c r="I89" s="250"/>
      <c r="J89" s="250"/>
      <c r="K89" s="250"/>
      <c r="L89" s="250"/>
      <c r="M89" s="250"/>
      <c r="N89" s="250"/>
      <c r="O89" s="251"/>
      <c r="P89" s="35"/>
    </row>
    <row r="90" spans="2:16" s="137" customFormat="1" ht="14.5">
      <c r="B90" s="360" t="s">
        <v>62</v>
      </c>
      <c r="C90" s="32" t="s">
        <v>26</v>
      </c>
      <c r="D90" s="32" t="s">
        <v>27</v>
      </c>
      <c r="E90" s="32" t="s">
        <v>28</v>
      </c>
      <c r="F90" s="32" t="s">
        <v>29</v>
      </c>
      <c r="G90" s="32" t="s">
        <v>30</v>
      </c>
      <c r="H90" s="32" t="s">
        <v>31</v>
      </c>
      <c r="I90" s="32" t="s">
        <v>32</v>
      </c>
      <c r="J90" s="32" t="s">
        <v>33</v>
      </c>
      <c r="K90" s="32" t="s">
        <v>34</v>
      </c>
      <c r="L90" s="32" t="s">
        <v>35</v>
      </c>
      <c r="M90" s="32" t="s">
        <v>36</v>
      </c>
      <c r="N90" s="32" t="s">
        <v>37</v>
      </c>
      <c r="O90" s="364" t="s">
        <v>73</v>
      </c>
      <c r="P90" s="35"/>
    </row>
    <row r="91" spans="2:16" s="137" customFormat="1" ht="14.5">
      <c r="B91" s="362" t="s">
        <v>189</v>
      </c>
      <c r="C91" s="16">
        <f t="shared" ref="C91:M91" si="60">$K$33</f>
        <v>194400</v>
      </c>
      <c r="D91" s="16">
        <f t="shared" si="60"/>
        <v>194400</v>
      </c>
      <c r="E91" s="16">
        <f t="shared" si="60"/>
        <v>194400</v>
      </c>
      <c r="F91" s="16">
        <f t="shared" si="60"/>
        <v>194400</v>
      </c>
      <c r="G91" s="16">
        <f t="shared" si="60"/>
        <v>194400</v>
      </c>
      <c r="H91" s="33">
        <f>$K$33+($K$33/2)</f>
        <v>291600</v>
      </c>
      <c r="I91" s="16">
        <f t="shared" si="60"/>
        <v>194400</v>
      </c>
      <c r="J91" s="16">
        <f t="shared" si="60"/>
        <v>194400</v>
      </c>
      <c r="K91" s="16">
        <f t="shared" si="60"/>
        <v>194400</v>
      </c>
      <c r="L91" s="16">
        <f t="shared" si="60"/>
        <v>194400</v>
      </c>
      <c r="M91" s="16">
        <f t="shared" si="60"/>
        <v>194400</v>
      </c>
      <c r="N91" s="33">
        <f>$K$33+($K$33/2)</f>
        <v>291600</v>
      </c>
      <c r="O91" s="355">
        <f t="shared" ref="O91:O105" si="61">SUM(C91:N91)</f>
        <v>2527200</v>
      </c>
      <c r="P91" s="35"/>
    </row>
    <row r="92" spans="2:16" s="137" customFormat="1" ht="14.5">
      <c r="B92" s="362" t="s">
        <v>190</v>
      </c>
      <c r="C92" s="16">
        <f>$K$34</f>
        <v>136800</v>
      </c>
      <c r="D92" s="16">
        <f t="shared" ref="D92:M92" si="62">$K$34</f>
        <v>136800</v>
      </c>
      <c r="E92" s="16">
        <f t="shared" si="62"/>
        <v>136800</v>
      </c>
      <c r="F92" s="16">
        <f t="shared" si="62"/>
        <v>136800</v>
      </c>
      <c r="G92" s="16">
        <f t="shared" si="62"/>
        <v>136800</v>
      </c>
      <c r="H92" s="33">
        <f>$K$42+($K$42/2)</f>
        <v>97200</v>
      </c>
      <c r="I92" s="16">
        <f>$K$34</f>
        <v>136800</v>
      </c>
      <c r="J92" s="16">
        <f t="shared" si="62"/>
        <v>136800</v>
      </c>
      <c r="K92" s="16">
        <f t="shared" si="62"/>
        <v>136800</v>
      </c>
      <c r="L92" s="16">
        <f t="shared" si="62"/>
        <v>136800</v>
      </c>
      <c r="M92" s="16">
        <f t="shared" si="62"/>
        <v>136800</v>
      </c>
      <c r="N92" s="33">
        <f>$K$34+($K$34/2)</f>
        <v>205200</v>
      </c>
      <c r="O92" s="355">
        <f t="shared" si="61"/>
        <v>1670400</v>
      </c>
      <c r="P92" s="35"/>
    </row>
    <row r="93" spans="2:16" s="137" customFormat="1" ht="14.5">
      <c r="B93" s="362" t="s">
        <v>192</v>
      </c>
      <c r="C93" s="16">
        <f>$K$35</f>
        <v>136800</v>
      </c>
      <c r="D93" s="16">
        <f t="shared" ref="D93:M93" si="63">$K$35</f>
        <v>136800</v>
      </c>
      <c r="E93" s="16">
        <f t="shared" si="63"/>
        <v>136800</v>
      </c>
      <c r="F93" s="16">
        <f t="shared" si="63"/>
        <v>136800</v>
      </c>
      <c r="G93" s="16">
        <f t="shared" si="63"/>
        <v>136800</v>
      </c>
      <c r="H93" s="33">
        <f>$K$35+($K$35/2)</f>
        <v>205200</v>
      </c>
      <c r="I93" s="16">
        <f>$K$35</f>
        <v>136800</v>
      </c>
      <c r="J93" s="16">
        <f t="shared" si="63"/>
        <v>136800</v>
      </c>
      <c r="K93" s="16">
        <f t="shared" si="63"/>
        <v>136800</v>
      </c>
      <c r="L93" s="16">
        <f t="shared" si="63"/>
        <v>136800</v>
      </c>
      <c r="M93" s="16">
        <f t="shared" si="63"/>
        <v>136800</v>
      </c>
      <c r="N93" s="33">
        <f>$K$35+($K$35/2)</f>
        <v>205200</v>
      </c>
      <c r="O93" s="355">
        <f t="shared" si="61"/>
        <v>1778400</v>
      </c>
      <c r="P93" s="35"/>
    </row>
    <row r="94" spans="2:16" s="137" customFormat="1" ht="14.5">
      <c r="B94" s="362" t="s">
        <v>191</v>
      </c>
      <c r="C94" s="16">
        <f>$K$36</f>
        <v>136800</v>
      </c>
      <c r="D94" s="16">
        <f t="shared" ref="D94:M94" si="64">$K$36</f>
        <v>136800</v>
      </c>
      <c r="E94" s="16">
        <f t="shared" si="64"/>
        <v>136800</v>
      </c>
      <c r="F94" s="16">
        <f t="shared" si="64"/>
        <v>136800</v>
      </c>
      <c r="G94" s="16">
        <f t="shared" si="64"/>
        <v>136800</v>
      </c>
      <c r="H94" s="33">
        <f>$K$36+($K$36/2)</f>
        <v>205200</v>
      </c>
      <c r="I94" s="16">
        <f>$K$36</f>
        <v>136800</v>
      </c>
      <c r="J94" s="16">
        <f t="shared" si="64"/>
        <v>136800</v>
      </c>
      <c r="K94" s="16">
        <f t="shared" si="64"/>
        <v>136800</v>
      </c>
      <c r="L94" s="16">
        <f t="shared" si="64"/>
        <v>136800</v>
      </c>
      <c r="M94" s="16">
        <f t="shared" si="64"/>
        <v>136800</v>
      </c>
      <c r="N94" s="33">
        <f>$K$36+($K$36/2)</f>
        <v>205200</v>
      </c>
      <c r="O94" s="355">
        <f t="shared" si="61"/>
        <v>1778400</v>
      </c>
      <c r="P94" s="35"/>
    </row>
    <row r="95" spans="2:16" s="137" customFormat="1" ht="14.5">
      <c r="B95" s="362" t="s">
        <v>63</v>
      </c>
      <c r="C95" s="16">
        <f>$K$43</f>
        <v>93600</v>
      </c>
      <c r="D95" s="16">
        <f t="shared" ref="D95:M95" si="65">$K$43</f>
        <v>93600</v>
      </c>
      <c r="E95" s="16">
        <f t="shared" si="65"/>
        <v>93600</v>
      </c>
      <c r="F95" s="16">
        <f t="shared" si="65"/>
        <v>93600</v>
      </c>
      <c r="G95" s="16">
        <f t="shared" si="65"/>
        <v>93600</v>
      </c>
      <c r="H95" s="33">
        <f>$K$43+($K$43/2)</f>
        <v>140400</v>
      </c>
      <c r="I95" s="16">
        <f>$K$43</f>
        <v>93600</v>
      </c>
      <c r="J95" s="16">
        <f t="shared" si="65"/>
        <v>93600</v>
      </c>
      <c r="K95" s="16">
        <f t="shared" si="65"/>
        <v>93600</v>
      </c>
      <c r="L95" s="16">
        <f t="shared" si="65"/>
        <v>93600</v>
      </c>
      <c r="M95" s="16">
        <f t="shared" si="65"/>
        <v>93600</v>
      </c>
      <c r="N95" s="33">
        <f>$K$43+($K$43/2)</f>
        <v>140400</v>
      </c>
      <c r="O95" s="355">
        <f t="shared" si="61"/>
        <v>1216800</v>
      </c>
      <c r="P95" s="37"/>
    </row>
    <row r="96" spans="2:16" s="137" customFormat="1" ht="14.5">
      <c r="B96" s="362" t="s">
        <v>185</v>
      </c>
      <c r="C96" s="16">
        <f>$K$44</f>
        <v>64800</v>
      </c>
      <c r="D96" s="16">
        <f t="shared" ref="D96:M96" si="66">$K$44</f>
        <v>64800</v>
      </c>
      <c r="E96" s="16">
        <f t="shared" si="66"/>
        <v>64800</v>
      </c>
      <c r="F96" s="16">
        <f t="shared" si="66"/>
        <v>64800</v>
      </c>
      <c r="G96" s="16">
        <f t="shared" si="66"/>
        <v>64800</v>
      </c>
      <c r="H96" s="33">
        <f>$K$44+($K$44/2)</f>
        <v>97200</v>
      </c>
      <c r="I96" s="16">
        <f>$K$44</f>
        <v>64800</v>
      </c>
      <c r="J96" s="16">
        <f t="shared" si="66"/>
        <v>64800</v>
      </c>
      <c r="K96" s="16">
        <f t="shared" si="66"/>
        <v>64800</v>
      </c>
      <c r="L96" s="16">
        <f t="shared" si="66"/>
        <v>64800</v>
      </c>
      <c r="M96" s="16">
        <f t="shared" si="66"/>
        <v>64800</v>
      </c>
      <c r="N96" s="33">
        <f>$K$44+($K$44/2)</f>
        <v>97200</v>
      </c>
      <c r="O96" s="355">
        <f t="shared" si="61"/>
        <v>842400</v>
      </c>
      <c r="P96" s="37"/>
    </row>
    <row r="97" spans="2:15" s="137" customFormat="1" ht="13">
      <c r="B97" s="362" t="s">
        <v>187</v>
      </c>
      <c r="C97" s="16">
        <f>$K$37</f>
        <v>79200</v>
      </c>
      <c r="D97" s="16">
        <f t="shared" ref="D97:M97" si="67">$K$37</f>
        <v>79200</v>
      </c>
      <c r="E97" s="16">
        <f t="shared" si="67"/>
        <v>79200</v>
      </c>
      <c r="F97" s="16">
        <f t="shared" si="67"/>
        <v>79200</v>
      </c>
      <c r="G97" s="16">
        <f t="shared" si="67"/>
        <v>79200</v>
      </c>
      <c r="H97" s="33">
        <f>$K$37+($K$37/2)</f>
        <v>118800</v>
      </c>
      <c r="I97" s="16">
        <f>$K$37</f>
        <v>79200</v>
      </c>
      <c r="J97" s="16">
        <f t="shared" si="67"/>
        <v>79200</v>
      </c>
      <c r="K97" s="16">
        <f t="shared" si="67"/>
        <v>79200</v>
      </c>
      <c r="L97" s="16">
        <f t="shared" si="67"/>
        <v>79200</v>
      </c>
      <c r="M97" s="16">
        <f t="shared" si="67"/>
        <v>79200</v>
      </c>
      <c r="N97" s="33">
        <f>$K$37+($K$37/2)</f>
        <v>118800</v>
      </c>
      <c r="O97" s="355">
        <f t="shared" si="61"/>
        <v>1029600</v>
      </c>
    </row>
    <row r="98" spans="2:15" s="137" customFormat="1" ht="13">
      <c r="B98" s="362" t="s">
        <v>188</v>
      </c>
      <c r="C98" s="16">
        <f>$K$38</f>
        <v>79200</v>
      </c>
      <c r="D98" s="16">
        <f t="shared" ref="D98:M98" si="68">$K$38</f>
        <v>79200</v>
      </c>
      <c r="E98" s="16">
        <f t="shared" si="68"/>
        <v>79200</v>
      </c>
      <c r="F98" s="16">
        <f t="shared" si="68"/>
        <v>79200</v>
      </c>
      <c r="G98" s="16">
        <f t="shared" si="68"/>
        <v>79200</v>
      </c>
      <c r="H98" s="33">
        <f>$K$38+($K$38/2)</f>
        <v>118800</v>
      </c>
      <c r="I98" s="16">
        <f>$K$38</f>
        <v>79200</v>
      </c>
      <c r="J98" s="16">
        <f t="shared" si="68"/>
        <v>79200</v>
      </c>
      <c r="K98" s="16">
        <f t="shared" si="68"/>
        <v>79200</v>
      </c>
      <c r="L98" s="16">
        <f t="shared" si="68"/>
        <v>79200</v>
      </c>
      <c r="M98" s="16">
        <f t="shared" si="68"/>
        <v>79200</v>
      </c>
      <c r="N98" s="33">
        <f>$K$38+($K$38/2)</f>
        <v>118800</v>
      </c>
      <c r="O98" s="355">
        <f t="shared" si="61"/>
        <v>1029600</v>
      </c>
    </row>
    <row r="99" spans="2:15" s="137" customFormat="1" ht="13">
      <c r="B99" s="362" t="s">
        <v>194</v>
      </c>
      <c r="C99" s="12">
        <f>$K$37</f>
        <v>79200</v>
      </c>
      <c r="D99" s="12">
        <f t="shared" ref="D99:M99" si="69">$K$37</f>
        <v>79200</v>
      </c>
      <c r="E99" s="12">
        <f t="shared" si="69"/>
        <v>79200</v>
      </c>
      <c r="F99" s="12">
        <f t="shared" si="69"/>
        <v>79200</v>
      </c>
      <c r="G99" s="12">
        <f t="shared" si="69"/>
        <v>79200</v>
      </c>
      <c r="H99" s="33">
        <f>$K$39+($K$39/2)</f>
        <v>118800</v>
      </c>
      <c r="I99" s="12">
        <f>$K$37</f>
        <v>79200</v>
      </c>
      <c r="J99" s="12">
        <f t="shared" si="69"/>
        <v>79200</v>
      </c>
      <c r="K99" s="12">
        <f t="shared" si="69"/>
        <v>79200</v>
      </c>
      <c r="L99" s="12">
        <f t="shared" si="69"/>
        <v>79200</v>
      </c>
      <c r="M99" s="12">
        <f t="shared" si="69"/>
        <v>79200</v>
      </c>
      <c r="N99" s="33">
        <f>$K$39+($K$39/2)</f>
        <v>118800</v>
      </c>
      <c r="O99" s="355">
        <f t="shared" si="61"/>
        <v>1029600</v>
      </c>
    </row>
    <row r="100" spans="2:15" s="137" customFormat="1" ht="13">
      <c r="B100" s="362" t="s">
        <v>64</v>
      </c>
      <c r="C100" s="12">
        <f>$K$42</f>
        <v>64800</v>
      </c>
      <c r="D100" s="12">
        <f t="shared" ref="D100:M100" si="70">$K$42</f>
        <v>64800</v>
      </c>
      <c r="E100" s="12">
        <f t="shared" si="70"/>
        <v>64800</v>
      </c>
      <c r="F100" s="12">
        <f t="shared" si="70"/>
        <v>64800</v>
      </c>
      <c r="G100" s="12">
        <f t="shared" si="70"/>
        <v>64800</v>
      </c>
      <c r="H100" s="33">
        <f>$K$48+($K$48/2)</f>
        <v>108000</v>
      </c>
      <c r="I100" s="12">
        <f>$K$42</f>
        <v>64800</v>
      </c>
      <c r="J100" s="12">
        <f t="shared" si="70"/>
        <v>64800</v>
      </c>
      <c r="K100" s="12">
        <f t="shared" si="70"/>
        <v>64800</v>
      </c>
      <c r="L100" s="12">
        <f t="shared" si="70"/>
        <v>64800</v>
      </c>
      <c r="M100" s="12">
        <f t="shared" si="70"/>
        <v>64800</v>
      </c>
      <c r="N100" s="33">
        <f>$K$48+($K$48/2)</f>
        <v>108000</v>
      </c>
      <c r="O100" s="355">
        <f t="shared" si="61"/>
        <v>864000</v>
      </c>
    </row>
    <row r="101" spans="2:15" s="137" customFormat="1" ht="13">
      <c r="B101" s="362" t="s">
        <v>195</v>
      </c>
      <c r="C101" s="12">
        <f>$K$48</f>
        <v>72000</v>
      </c>
      <c r="D101" s="12">
        <f t="shared" ref="D101:M101" si="71">$K$48</f>
        <v>72000</v>
      </c>
      <c r="E101" s="12">
        <f t="shared" si="71"/>
        <v>72000</v>
      </c>
      <c r="F101" s="12">
        <f t="shared" si="71"/>
        <v>72000</v>
      </c>
      <c r="G101" s="12">
        <f t="shared" si="71"/>
        <v>72000</v>
      </c>
      <c r="H101" s="33">
        <f>$K$48+($K$48/2)</f>
        <v>108000</v>
      </c>
      <c r="I101" s="12">
        <f>$K$48</f>
        <v>72000</v>
      </c>
      <c r="J101" s="12">
        <f t="shared" si="71"/>
        <v>72000</v>
      </c>
      <c r="K101" s="12">
        <f t="shared" si="71"/>
        <v>72000</v>
      </c>
      <c r="L101" s="12">
        <f t="shared" si="71"/>
        <v>72000</v>
      </c>
      <c r="M101" s="12">
        <f t="shared" si="71"/>
        <v>72000</v>
      </c>
      <c r="N101" s="33">
        <f>$K$48+($K$48/2)</f>
        <v>108000</v>
      </c>
      <c r="O101" s="355">
        <f t="shared" si="61"/>
        <v>936000</v>
      </c>
    </row>
    <row r="102" spans="2:15" s="137" customFormat="1" ht="13">
      <c r="B102" s="362" t="s">
        <v>196</v>
      </c>
      <c r="C102" s="12">
        <f>$K$39</f>
        <v>79200</v>
      </c>
      <c r="D102" s="12">
        <f t="shared" ref="D102:G102" si="72">$K$39</f>
        <v>79200</v>
      </c>
      <c r="E102" s="12">
        <f t="shared" si="72"/>
        <v>79200</v>
      </c>
      <c r="F102" s="12">
        <f t="shared" si="72"/>
        <v>79200</v>
      </c>
      <c r="G102" s="12">
        <f t="shared" si="72"/>
        <v>79200</v>
      </c>
      <c r="H102" s="33">
        <f>$K$39+($K$39/2)</f>
        <v>118800</v>
      </c>
      <c r="I102" s="12">
        <f>$K$39</f>
        <v>79200</v>
      </c>
      <c r="J102" s="12">
        <f t="shared" ref="J102:M102" si="73">$K$39</f>
        <v>79200</v>
      </c>
      <c r="K102" s="12">
        <f t="shared" si="73"/>
        <v>79200</v>
      </c>
      <c r="L102" s="12">
        <f t="shared" si="73"/>
        <v>79200</v>
      </c>
      <c r="M102" s="12">
        <f t="shared" si="73"/>
        <v>79200</v>
      </c>
      <c r="N102" s="33">
        <f>$K$39+($K$39/2)</f>
        <v>118800</v>
      </c>
      <c r="O102" s="355">
        <f t="shared" si="61"/>
        <v>1029600</v>
      </c>
    </row>
    <row r="103" spans="2:15" s="137" customFormat="1" ht="13">
      <c r="B103" s="362" t="s">
        <v>197</v>
      </c>
      <c r="C103" s="12">
        <f>$K$40</f>
        <v>79200</v>
      </c>
      <c r="D103" s="12">
        <f t="shared" ref="D103:G103" si="74">$K$40</f>
        <v>79200</v>
      </c>
      <c r="E103" s="12">
        <f t="shared" si="74"/>
        <v>79200</v>
      </c>
      <c r="F103" s="12">
        <f t="shared" si="74"/>
        <v>79200</v>
      </c>
      <c r="G103" s="12">
        <f t="shared" si="74"/>
        <v>79200</v>
      </c>
      <c r="H103" s="33">
        <f>$K$40+($K$40/2)</f>
        <v>118800</v>
      </c>
      <c r="I103" s="12">
        <f>$K$40</f>
        <v>79200</v>
      </c>
      <c r="J103" s="12">
        <f t="shared" ref="J103:M103" si="75">$K$40</f>
        <v>79200</v>
      </c>
      <c r="K103" s="12">
        <f t="shared" si="75"/>
        <v>79200</v>
      </c>
      <c r="L103" s="12">
        <f t="shared" si="75"/>
        <v>79200</v>
      </c>
      <c r="M103" s="12">
        <f t="shared" si="75"/>
        <v>79200</v>
      </c>
      <c r="N103" s="33">
        <f>$K$40+($K$40/2)</f>
        <v>118800</v>
      </c>
      <c r="O103" s="355">
        <f t="shared" si="61"/>
        <v>1029600</v>
      </c>
    </row>
    <row r="104" spans="2:15" s="137" customFormat="1" ht="13">
      <c r="B104" s="362" t="s">
        <v>198</v>
      </c>
      <c r="C104" s="12">
        <f>$K$41</f>
        <v>57600</v>
      </c>
      <c r="D104" s="12">
        <f t="shared" ref="D104:G104" si="76">$K$41</f>
        <v>57600</v>
      </c>
      <c r="E104" s="12">
        <f t="shared" si="76"/>
        <v>57600</v>
      </c>
      <c r="F104" s="12">
        <f t="shared" si="76"/>
        <v>57600</v>
      </c>
      <c r="G104" s="12">
        <f t="shared" si="76"/>
        <v>57600</v>
      </c>
      <c r="H104" s="33">
        <f>$K$41+($K$41/2)</f>
        <v>86400</v>
      </c>
      <c r="I104" s="12">
        <f>$K$41</f>
        <v>57600</v>
      </c>
      <c r="J104" s="12">
        <f t="shared" ref="J104:M104" si="77">$K$41</f>
        <v>57600</v>
      </c>
      <c r="K104" s="12">
        <f t="shared" si="77"/>
        <v>57600</v>
      </c>
      <c r="L104" s="12">
        <f t="shared" si="77"/>
        <v>57600</v>
      </c>
      <c r="M104" s="12">
        <f t="shared" si="77"/>
        <v>57600</v>
      </c>
      <c r="N104" s="33">
        <f>$K$41+($K$41/2)</f>
        <v>86400</v>
      </c>
      <c r="O104" s="355">
        <f t="shared" si="61"/>
        <v>748800</v>
      </c>
    </row>
    <row r="105" spans="2:15" s="137" customFormat="1" ht="13">
      <c r="B105" s="362" t="s">
        <v>216</v>
      </c>
      <c r="C105" s="12">
        <f>$K$49</f>
        <v>50400</v>
      </c>
      <c r="D105" s="12">
        <f t="shared" ref="D105:G105" si="78">$K$49</f>
        <v>50400</v>
      </c>
      <c r="E105" s="12">
        <f t="shared" si="78"/>
        <v>50400</v>
      </c>
      <c r="F105" s="12">
        <f t="shared" si="78"/>
        <v>50400</v>
      </c>
      <c r="G105" s="12">
        <f t="shared" si="78"/>
        <v>50400</v>
      </c>
      <c r="H105" s="33">
        <f>$K$49+($K$49/2)</f>
        <v>75600</v>
      </c>
      <c r="I105" s="12">
        <f>$K$49</f>
        <v>50400</v>
      </c>
      <c r="J105" s="12">
        <f t="shared" ref="J105:M105" si="79">$K$49</f>
        <v>50400</v>
      </c>
      <c r="K105" s="12">
        <f t="shared" si="79"/>
        <v>50400</v>
      </c>
      <c r="L105" s="12">
        <f t="shared" si="79"/>
        <v>50400</v>
      </c>
      <c r="M105" s="12">
        <f t="shared" si="79"/>
        <v>50400</v>
      </c>
      <c r="N105" s="44">
        <f>$K$49+($K$49/2)</f>
        <v>75600</v>
      </c>
      <c r="O105" s="355">
        <f t="shared" si="61"/>
        <v>655200</v>
      </c>
    </row>
    <row r="106" spans="2:15" s="137" customFormat="1" ht="13">
      <c r="B106" s="362" t="s">
        <v>200</v>
      </c>
      <c r="C106" s="12">
        <v>0</v>
      </c>
      <c r="D106" s="12">
        <v>0</v>
      </c>
      <c r="E106" s="12">
        <v>0</v>
      </c>
      <c r="F106" s="12">
        <f>$K$47</f>
        <v>50400</v>
      </c>
      <c r="G106" s="12">
        <f>$K$47</f>
        <v>50400</v>
      </c>
      <c r="H106" s="33">
        <f>$K$47+(($K$47/2)*0.2)</f>
        <v>55440</v>
      </c>
      <c r="I106" s="12">
        <f>$K$47</f>
        <v>50400</v>
      </c>
      <c r="J106" s="12">
        <f t="shared" ref="J106:M106" si="80">$K$47</f>
        <v>50400</v>
      </c>
      <c r="K106" s="12">
        <f t="shared" si="80"/>
        <v>50400</v>
      </c>
      <c r="L106" s="12">
        <f t="shared" si="80"/>
        <v>50400</v>
      </c>
      <c r="M106" s="12">
        <f t="shared" si="80"/>
        <v>50400</v>
      </c>
      <c r="N106" s="33">
        <f>$K$47+($K$47/2)</f>
        <v>75600</v>
      </c>
      <c r="O106" s="355">
        <f t="shared" ref="O106:O108" si="81">SUM(C106:N106)</f>
        <v>483840</v>
      </c>
    </row>
    <row r="107" spans="2:15" s="137" customFormat="1" ht="13">
      <c r="B107" s="362" t="s">
        <v>201</v>
      </c>
      <c r="C107" s="12">
        <v>0</v>
      </c>
      <c r="D107" s="12">
        <v>0</v>
      </c>
      <c r="E107" s="12">
        <v>0</v>
      </c>
      <c r="F107" s="12">
        <v>0</v>
      </c>
      <c r="G107" s="12">
        <v>0</v>
      </c>
      <c r="H107" s="33">
        <f>$K$45</f>
        <v>50400</v>
      </c>
      <c r="I107" s="12">
        <f>$K$45</f>
        <v>50400</v>
      </c>
      <c r="J107" s="12">
        <f t="shared" ref="J107:M107" si="82">$K$45</f>
        <v>50400</v>
      </c>
      <c r="K107" s="12">
        <f t="shared" si="82"/>
        <v>50400</v>
      </c>
      <c r="L107" s="12">
        <f t="shared" si="82"/>
        <v>50400</v>
      </c>
      <c r="M107" s="12">
        <f t="shared" si="82"/>
        <v>50400</v>
      </c>
      <c r="N107" s="33">
        <f>$K$45+($K$45/2)</f>
        <v>75600</v>
      </c>
      <c r="O107" s="355">
        <f t="shared" si="81"/>
        <v>378000</v>
      </c>
    </row>
    <row r="108" spans="2:15" s="137" customFormat="1" ht="13">
      <c r="B108" s="362" t="s">
        <v>199</v>
      </c>
      <c r="C108" s="12">
        <v>0</v>
      </c>
      <c r="D108" s="12">
        <v>0</v>
      </c>
      <c r="E108" s="12">
        <v>0</v>
      </c>
      <c r="F108" s="12">
        <v>0</v>
      </c>
      <c r="G108" s="12">
        <v>0</v>
      </c>
      <c r="H108" s="44">
        <f>$K$50</f>
        <v>50400</v>
      </c>
      <c r="I108" s="12">
        <f>$K$50</f>
        <v>50400</v>
      </c>
      <c r="J108" s="12">
        <f t="shared" ref="J108:M108" si="83">$K$50</f>
        <v>50400</v>
      </c>
      <c r="K108" s="12">
        <f t="shared" si="83"/>
        <v>50400</v>
      </c>
      <c r="L108" s="12">
        <f t="shared" si="83"/>
        <v>50400</v>
      </c>
      <c r="M108" s="12">
        <f t="shared" si="83"/>
        <v>50400</v>
      </c>
      <c r="N108" s="44">
        <f>$K$50+($K$50/2)</f>
        <v>75600</v>
      </c>
      <c r="O108" s="355">
        <f t="shared" si="81"/>
        <v>378000</v>
      </c>
    </row>
    <row r="109" spans="2:15" s="137" customFormat="1" ht="13.5" thickBot="1">
      <c r="B109" s="363" t="s">
        <v>59</v>
      </c>
      <c r="C109" s="358">
        <f>SUM(C91:C105)</f>
        <v>1404000</v>
      </c>
      <c r="D109" s="358">
        <f>SUM(D91:D105)</f>
        <v>1404000</v>
      </c>
      <c r="E109" s="358">
        <f>SUM(E91:E105)</f>
        <v>1404000</v>
      </c>
      <c r="F109" s="358">
        <f>SUM(F91:F105)</f>
        <v>1404000</v>
      </c>
      <c r="G109" s="358">
        <f>SUM(G91:G105)</f>
        <v>1404000</v>
      </c>
      <c r="H109" s="358">
        <f>SUM(H91:H105)</f>
        <v>2008800</v>
      </c>
      <c r="I109" s="358">
        <f>SUM(I91:I105)</f>
        <v>1404000</v>
      </c>
      <c r="J109" s="358">
        <f>SUM(J91:J105)</f>
        <v>1404000</v>
      </c>
      <c r="K109" s="358">
        <f>SUM(K91:K105)</f>
        <v>1404000</v>
      </c>
      <c r="L109" s="358">
        <f>SUM(L91:L105)</f>
        <v>1404000</v>
      </c>
      <c r="M109" s="358">
        <f>SUM(M91:M105)</f>
        <v>1404000</v>
      </c>
      <c r="N109" s="358">
        <f>SUM(N91:N105)</f>
        <v>2116800</v>
      </c>
      <c r="O109" s="359">
        <f>SUM(O91:O105)</f>
        <v>18165600</v>
      </c>
    </row>
  </sheetData>
  <mergeCells count="8">
    <mergeCell ref="B89:O89"/>
    <mergeCell ref="D1:G1"/>
    <mergeCell ref="B69:O69"/>
    <mergeCell ref="B53:N53"/>
    <mergeCell ref="D4:G4"/>
    <mergeCell ref="D5:G5"/>
    <mergeCell ref="D2:G2"/>
    <mergeCell ref="D3:G3"/>
  </mergeCells>
  <hyperlinks>
    <hyperlink ref="A5" location="Indice!A1" display="Indice" xr:uid="{86BF6CA7-2868-4182-9301-03010937F35B}"/>
  </hyperlinks>
  <pageMargins left="0.7" right="0.7" top="0.75" bottom="0.75" header="0.3" footer="0.3"/>
  <ignoredErrors>
    <ignoredError sqref="H56:H63 C78:G78 H71:H81 H82 I78:M78 C98:M98 H93:H97 H99:H106 H55 H91:H92" formula="1"/>
  </ignoredErrors>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Q34"/>
  <sheetViews>
    <sheetView workbookViewId="0">
      <pane ySplit="6" topLeftCell="A19" activePane="bottomLeft" state="frozen"/>
      <selection pane="bottomLeft"/>
    </sheetView>
  </sheetViews>
  <sheetFormatPr defaultColWidth="14.453125" defaultRowHeight="15.75" customHeight="1"/>
  <cols>
    <col min="3" max="3" width="27.08984375" bestFit="1" customWidth="1"/>
    <col min="4" max="4" width="20.1796875" bestFit="1" customWidth="1"/>
    <col min="5" max="5" width="10.453125" bestFit="1" customWidth="1"/>
    <col min="6" max="6" width="12.7265625" customWidth="1"/>
    <col min="7" max="7" width="10.453125" bestFit="1" customWidth="1"/>
    <col min="8" max="8" width="8.90625" bestFit="1" customWidth="1"/>
    <col min="9" max="9" width="10.453125" bestFit="1" customWidth="1"/>
    <col min="10" max="10" width="11.453125" bestFit="1" customWidth="1"/>
    <col min="11" max="11" width="10.453125" bestFit="1" customWidth="1"/>
    <col min="12" max="12" width="11.08984375" customWidth="1"/>
    <col min="13" max="13" width="60.36328125" customWidth="1"/>
    <col min="14" max="14" width="20.7265625" customWidth="1"/>
    <col min="15" max="15" width="14.81640625" customWidth="1"/>
    <col min="16" max="16" width="13.7265625" customWidth="1"/>
    <col min="17" max="17" width="14" customWidth="1"/>
    <col min="18" max="18" width="18.81640625" customWidth="1"/>
  </cols>
  <sheetData>
    <row r="1" spans="1:13" s="64" customFormat="1" ht="14">
      <c r="D1" s="170" t="s">
        <v>0</v>
      </c>
      <c r="E1" s="170"/>
      <c r="F1" s="170"/>
      <c r="G1" s="170"/>
      <c r="H1" s="67"/>
    </row>
    <row r="2" spans="1:13" s="64" customFormat="1" ht="14.5">
      <c r="A2" s="68"/>
      <c r="D2" s="171" t="s">
        <v>147</v>
      </c>
      <c r="E2" s="172"/>
      <c r="F2" s="172"/>
      <c r="G2" s="172"/>
    </row>
    <row r="3" spans="1:13" s="64" customFormat="1" ht="13">
      <c r="A3" s="66"/>
      <c r="D3" s="171" t="s">
        <v>144</v>
      </c>
      <c r="E3" s="172"/>
      <c r="F3" s="172"/>
      <c r="G3" s="172"/>
    </row>
    <row r="4" spans="1:13" s="64" customFormat="1" ht="13">
      <c r="A4" s="69"/>
      <c r="D4" s="171" t="s">
        <v>145</v>
      </c>
      <c r="E4" s="172"/>
      <c r="F4" s="172"/>
      <c r="G4" s="172"/>
    </row>
    <row r="5" spans="1:13" s="64" customFormat="1" ht="13">
      <c r="A5" s="66" t="s">
        <v>1</v>
      </c>
      <c r="D5" s="171" t="s">
        <v>146</v>
      </c>
      <c r="E5" s="172"/>
      <c r="F5" s="172"/>
      <c r="G5" s="172"/>
    </row>
    <row r="6" spans="1:13" s="65" customFormat="1" ht="15.75" customHeight="1" thickBot="1">
      <c r="A6" s="235" t="s">
        <v>74</v>
      </c>
      <c r="B6" s="236"/>
    </row>
    <row r="7" spans="1:13" ht="15.75" customHeight="1" thickBot="1"/>
    <row r="8" spans="1:13" ht="15.75" customHeight="1">
      <c r="D8" s="88" t="s">
        <v>42</v>
      </c>
      <c r="E8" s="89" t="s">
        <v>75</v>
      </c>
      <c r="F8" s="389" t="s">
        <v>76</v>
      </c>
      <c r="G8" s="250"/>
      <c r="H8" s="250"/>
      <c r="I8" s="250"/>
      <c r="J8" s="250"/>
      <c r="K8" s="250"/>
      <c r="L8" s="250"/>
      <c r="M8" s="251"/>
    </row>
    <row r="9" spans="1:13" ht="15.75" customHeight="1">
      <c r="D9" s="101" t="s">
        <v>18</v>
      </c>
      <c r="E9" s="12">
        <v>35000</v>
      </c>
      <c r="F9" s="377" t="s">
        <v>218</v>
      </c>
      <c r="G9" s="252"/>
      <c r="H9" s="252"/>
      <c r="I9" s="252"/>
      <c r="J9" s="252"/>
      <c r="K9" s="252"/>
      <c r="L9" s="252"/>
      <c r="M9" s="390"/>
    </row>
    <row r="10" spans="1:13" ht="15.75" customHeight="1">
      <c r="D10" s="101" t="s">
        <v>19</v>
      </c>
      <c r="E10" s="12">
        <v>6399</v>
      </c>
      <c r="F10" s="377" t="s">
        <v>219</v>
      </c>
      <c r="G10" s="252"/>
      <c r="H10" s="252"/>
      <c r="I10" s="252"/>
      <c r="J10" s="252"/>
      <c r="K10" s="252"/>
      <c r="L10" s="252"/>
      <c r="M10" s="390"/>
    </row>
    <row r="11" spans="1:13" ht="15.75" customHeight="1">
      <c r="D11" s="101" t="s">
        <v>20</v>
      </c>
      <c r="E11" s="12">
        <v>3600</v>
      </c>
      <c r="F11" s="377" t="s">
        <v>220</v>
      </c>
      <c r="G11" s="252"/>
      <c r="H11" s="252"/>
      <c r="I11" s="252"/>
      <c r="J11" s="252"/>
      <c r="K11" s="252"/>
      <c r="L11" s="252"/>
      <c r="M11" s="390"/>
    </row>
    <row r="12" spans="1:13" ht="15.75" customHeight="1">
      <c r="D12" s="101" t="s">
        <v>21</v>
      </c>
      <c r="E12" s="12">
        <v>47900</v>
      </c>
      <c r="F12" s="377" t="s">
        <v>224</v>
      </c>
      <c r="G12" s="252"/>
      <c r="H12" s="252"/>
      <c r="I12" s="252"/>
      <c r="J12" s="252"/>
      <c r="K12" s="252"/>
      <c r="L12" s="252"/>
      <c r="M12" s="390"/>
    </row>
    <row r="13" spans="1:13" ht="15.75" customHeight="1">
      <c r="D13" s="101" t="s">
        <v>22</v>
      </c>
      <c r="E13" s="12">
        <v>90000</v>
      </c>
      <c r="F13" s="377" t="s">
        <v>221</v>
      </c>
      <c r="G13" s="252"/>
      <c r="H13" s="252"/>
      <c r="I13" s="252"/>
      <c r="J13" s="252"/>
      <c r="K13" s="252"/>
      <c r="L13" s="252"/>
      <c r="M13" s="390"/>
    </row>
    <row r="14" spans="1:13" ht="15.75" customHeight="1">
      <c r="D14" s="101" t="s">
        <v>23</v>
      </c>
      <c r="E14" s="12">
        <v>14890</v>
      </c>
      <c r="F14" s="377" t="s">
        <v>222</v>
      </c>
      <c r="G14" s="252"/>
      <c r="H14" s="252"/>
      <c r="I14" s="252"/>
      <c r="J14" s="252"/>
      <c r="K14" s="252"/>
      <c r="L14" s="252"/>
      <c r="M14" s="390"/>
    </row>
    <row r="15" spans="1:13" ht="15.75" customHeight="1" thickBot="1">
      <c r="D15" s="391" t="s">
        <v>24</v>
      </c>
      <c r="E15" s="392">
        <v>7669</v>
      </c>
      <c r="F15" s="393" t="s">
        <v>223</v>
      </c>
      <c r="G15" s="394"/>
      <c r="H15" s="394"/>
      <c r="I15" s="394"/>
      <c r="J15" s="394"/>
      <c r="K15" s="394"/>
      <c r="L15" s="394"/>
      <c r="M15" s="395"/>
    </row>
    <row r="19" spans="3:17" ht="15.75" customHeight="1" thickBot="1"/>
    <row r="20" spans="3:17" ht="13.5" thickBot="1">
      <c r="C20" s="136"/>
      <c r="D20" s="136"/>
      <c r="E20" s="414" t="s">
        <v>77</v>
      </c>
      <c r="F20" s="415"/>
      <c r="G20" s="416" t="s">
        <v>25</v>
      </c>
      <c r="H20" s="415"/>
      <c r="I20" s="416" t="s">
        <v>40</v>
      </c>
      <c r="J20" s="415"/>
      <c r="K20" s="416" t="s">
        <v>41</v>
      </c>
      <c r="L20" s="417"/>
    </row>
    <row r="21" spans="3:17" ht="13">
      <c r="C21" s="399" t="s">
        <v>78</v>
      </c>
      <c r="D21" s="89" t="s">
        <v>75</v>
      </c>
      <c r="E21" s="400" t="s">
        <v>79</v>
      </c>
      <c r="F21" s="401" t="s">
        <v>38</v>
      </c>
      <c r="G21" s="89" t="s">
        <v>79</v>
      </c>
      <c r="H21" s="401" t="s">
        <v>38</v>
      </c>
      <c r="I21" s="89" t="s">
        <v>79</v>
      </c>
      <c r="J21" s="401" t="s">
        <v>38</v>
      </c>
      <c r="K21" s="89" t="s">
        <v>79</v>
      </c>
      <c r="L21" s="402" t="s">
        <v>38</v>
      </c>
    </row>
    <row r="22" spans="3:17" ht="14">
      <c r="C22" s="403" t="s">
        <v>18</v>
      </c>
      <c r="D22" s="396">
        <f t="shared" ref="D22:D24" si="0">E9</f>
        <v>35000</v>
      </c>
      <c r="E22" s="272">
        <f>'Proyección de Ingresos'!C16</f>
        <v>1</v>
      </c>
      <c r="F22" s="351">
        <f t="shared" ref="F22:F24" si="1">D22*E22</f>
        <v>35000</v>
      </c>
      <c r="G22" s="39">
        <f>'Proyección de Ingresos'!AC46</f>
        <v>2</v>
      </c>
      <c r="H22" s="11">
        <f>G22*D22</f>
        <v>70000</v>
      </c>
      <c r="I22" s="19">
        <f>'Proyección de Ingresos'!AC71</f>
        <v>1</v>
      </c>
      <c r="J22" s="11">
        <f>I22*D22</f>
        <v>35000</v>
      </c>
      <c r="K22" s="404"/>
      <c r="L22" s="92"/>
    </row>
    <row r="23" spans="3:17" ht="12.5">
      <c r="C23" s="405" t="s">
        <v>19</v>
      </c>
      <c r="D23" s="397">
        <f t="shared" si="0"/>
        <v>6399</v>
      </c>
      <c r="E23" s="272">
        <f>'Proyección de Ingresos'!C17</f>
        <v>1</v>
      </c>
      <c r="F23" s="351">
        <f t="shared" si="1"/>
        <v>6399</v>
      </c>
      <c r="G23" s="19"/>
      <c r="H23" s="19"/>
      <c r="I23" s="19"/>
      <c r="J23" s="11"/>
      <c r="K23" s="19"/>
      <c r="L23" s="406"/>
    </row>
    <row r="24" spans="3:17" ht="14">
      <c r="C24" s="405" t="s">
        <v>20</v>
      </c>
      <c r="D24" s="397">
        <f t="shared" si="0"/>
        <v>3600</v>
      </c>
      <c r="E24" s="272">
        <f>'Proyección de Ingresos'!C18</f>
        <v>6</v>
      </c>
      <c r="F24" s="351">
        <f t="shared" si="1"/>
        <v>21600</v>
      </c>
      <c r="G24" s="19">
        <f>'Proyección de Ingresos'!AC47</f>
        <v>5</v>
      </c>
      <c r="H24" s="11">
        <f>G24*D24</f>
        <v>18000</v>
      </c>
      <c r="I24" s="19">
        <f>'Proyección de Ingresos'!AC72</f>
        <v>4</v>
      </c>
      <c r="J24" s="11">
        <f>I24*D24</f>
        <v>14400</v>
      </c>
      <c r="K24" s="404">
        <f>'Proyección de Ingresos'!AC95</f>
        <v>3</v>
      </c>
      <c r="L24" s="92">
        <f>K24*D24</f>
        <v>10800</v>
      </c>
    </row>
    <row r="25" spans="3:17" ht="13">
      <c r="C25" s="407" t="s">
        <v>80</v>
      </c>
      <c r="D25" s="5"/>
      <c r="E25" s="398"/>
      <c r="F25" s="6"/>
      <c r="G25" s="6"/>
      <c r="H25" s="6"/>
      <c r="I25" s="6"/>
      <c r="J25" s="6"/>
      <c r="K25" s="6"/>
      <c r="L25" s="408"/>
    </row>
    <row r="26" spans="3:17" ht="12.5">
      <c r="C26" s="405" t="s">
        <v>21</v>
      </c>
      <c r="D26" s="12">
        <f t="shared" ref="D26:D29" si="2">E12</f>
        <v>47900</v>
      </c>
      <c r="E26" s="7">
        <f>'Proyección de Ingresos'!C19</f>
        <v>2</v>
      </c>
      <c r="F26" s="11">
        <f t="shared" ref="F26:F29" si="3">D26*E26</f>
        <v>95800</v>
      </c>
      <c r="G26" s="19"/>
      <c r="H26" s="19"/>
      <c r="I26" s="19"/>
      <c r="J26" s="11"/>
      <c r="K26" s="19"/>
      <c r="L26" s="406"/>
    </row>
    <row r="27" spans="3:17" ht="14">
      <c r="C27" s="405" t="s">
        <v>22</v>
      </c>
      <c r="D27" s="12">
        <f t="shared" si="2"/>
        <v>90000</v>
      </c>
      <c r="E27" s="7">
        <f>'Proyección de Ingresos'!C20</f>
        <v>4</v>
      </c>
      <c r="F27" s="11">
        <f t="shared" si="3"/>
        <v>360000</v>
      </c>
      <c r="G27" s="19">
        <f>'Proyección de Ingresos'!AC48</f>
        <v>5</v>
      </c>
      <c r="H27" s="11">
        <f>G27*D27</f>
        <v>450000</v>
      </c>
      <c r="I27" s="19">
        <f>'Proyección de Ingresos'!AC73</f>
        <v>5</v>
      </c>
      <c r="J27" s="11">
        <f>I27*D27</f>
        <v>450000</v>
      </c>
      <c r="K27" s="404">
        <f>'Proyección de Ingresos'!AC96</f>
        <v>3</v>
      </c>
      <c r="L27" s="92">
        <f>K27*D27</f>
        <v>270000</v>
      </c>
    </row>
    <row r="28" spans="3:17" ht="12.5">
      <c r="C28" s="405" t="s">
        <v>23</v>
      </c>
      <c r="D28" s="12">
        <f t="shared" si="2"/>
        <v>14890</v>
      </c>
      <c r="E28" s="7">
        <f>'Proyección de Ingresos'!C21</f>
        <v>1</v>
      </c>
      <c r="F28" s="11">
        <f t="shared" si="3"/>
        <v>14890</v>
      </c>
      <c r="G28" s="19"/>
      <c r="H28" s="19"/>
      <c r="I28" s="19"/>
      <c r="J28" s="19"/>
      <c r="K28" s="19"/>
      <c r="L28" s="406"/>
    </row>
    <row r="29" spans="3:17" ht="12.5">
      <c r="C29" s="405" t="s">
        <v>24</v>
      </c>
      <c r="D29" s="12">
        <f t="shared" si="2"/>
        <v>7669</v>
      </c>
      <c r="E29" s="7">
        <f>'Proyección de Ingresos'!C22</f>
        <v>1</v>
      </c>
      <c r="F29" s="11">
        <f t="shared" si="3"/>
        <v>7669</v>
      </c>
      <c r="G29" s="19"/>
      <c r="H29" s="19"/>
      <c r="I29" s="19"/>
      <c r="J29" s="19"/>
      <c r="K29" s="19"/>
      <c r="L29" s="406"/>
    </row>
    <row r="30" spans="3:17" ht="13">
      <c r="C30" s="407" t="s">
        <v>81</v>
      </c>
      <c r="D30" s="9" t="s">
        <v>82</v>
      </c>
      <c r="E30" s="9" t="s">
        <v>83</v>
      </c>
      <c r="F30" s="6"/>
      <c r="G30" s="6"/>
      <c r="H30" s="6"/>
      <c r="I30" s="41"/>
      <c r="J30" s="41"/>
      <c r="K30" s="6"/>
      <c r="L30" s="408"/>
      <c r="Q30" s="42"/>
    </row>
    <row r="31" spans="3:17" ht="12.5">
      <c r="C31" s="405" t="s">
        <v>84</v>
      </c>
      <c r="D31" s="12">
        <f>('Costos RRHH'!$K$43/22)/8</f>
        <v>531.81818181818187</v>
      </c>
      <c r="E31" s="7">
        <v>200</v>
      </c>
      <c r="F31" s="12">
        <f t="shared" ref="F31:F33" si="4">D31*E31</f>
        <v>106363.63636363637</v>
      </c>
      <c r="G31" s="19"/>
      <c r="H31" s="19"/>
      <c r="I31" s="43"/>
      <c r="J31" s="43"/>
      <c r="K31" s="19"/>
      <c r="L31" s="406"/>
      <c r="N31" s="2"/>
      <c r="Q31" s="42"/>
    </row>
    <row r="32" spans="3:17" ht="12.5">
      <c r="C32" s="405" t="s">
        <v>85</v>
      </c>
      <c r="D32" s="12">
        <f>('Costos RRHH'!$K$43/22)/8</f>
        <v>531.81818181818187</v>
      </c>
      <c r="E32" s="7">
        <v>630</v>
      </c>
      <c r="F32" s="12">
        <f t="shared" si="4"/>
        <v>335045.45454545459</v>
      </c>
      <c r="G32" s="19"/>
      <c r="H32" s="19"/>
      <c r="I32" s="43"/>
      <c r="J32" s="43"/>
      <c r="K32" s="19"/>
      <c r="L32" s="406"/>
      <c r="Q32" s="42"/>
    </row>
    <row r="33" spans="3:17" ht="12.5">
      <c r="C33" s="405" t="s">
        <v>86</v>
      </c>
      <c r="D33" s="12">
        <f>('Costos RRHH'!$K$43/22)/8</f>
        <v>531.81818181818187</v>
      </c>
      <c r="E33" s="7">
        <v>150</v>
      </c>
      <c r="F33" s="12">
        <f t="shared" si="4"/>
        <v>79772.727272727279</v>
      </c>
      <c r="G33" s="19"/>
      <c r="H33" s="19"/>
      <c r="I33" s="43"/>
      <c r="J33" s="43"/>
      <c r="K33" s="19"/>
      <c r="L33" s="406"/>
      <c r="Q33" s="42"/>
    </row>
    <row r="34" spans="3:17" ht="13.5" thickBot="1">
      <c r="C34" s="363" t="s">
        <v>44</v>
      </c>
      <c r="D34" s="409"/>
      <c r="E34" s="409"/>
      <c r="F34" s="410">
        <f>SUM(F22:F33)</f>
        <v>1062539.8181818181</v>
      </c>
      <c r="G34" s="411"/>
      <c r="H34" s="410">
        <f>SUM(H22:H33)</f>
        <v>538000</v>
      </c>
      <c r="I34" s="412"/>
      <c r="J34" s="412">
        <f>SUM(J22:J33)</f>
        <v>499400</v>
      </c>
      <c r="K34" s="411"/>
      <c r="L34" s="413">
        <f>SUM(L22:L33)</f>
        <v>280800</v>
      </c>
      <c r="Q34" s="42"/>
    </row>
  </sheetData>
  <mergeCells count="18">
    <mergeCell ref="F9:M9"/>
    <mergeCell ref="F8:M8"/>
    <mergeCell ref="A6:B6"/>
    <mergeCell ref="D1:G1"/>
    <mergeCell ref="D2:G2"/>
    <mergeCell ref="D3:G3"/>
    <mergeCell ref="D4:G4"/>
    <mergeCell ref="D5:G5"/>
    <mergeCell ref="F12:M12"/>
    <mergeCell ref="F11:M11"/>
    <mergeCell ref="F10:M10"/>
    <mergeCell ref="G20:H20"/>
    <mergeCell ref="E20:F20"/>
    <mergeCell ref="I20:J20"/>
    <mergeCell ref="K20:L20"/>
    <mergeCell ref="F14:M14"/>
    <mergeCell ref="F15:M15"/>
    <mergeCell ref="F13:M13"/>
  </mergeCells>
  <hyperlinks>
    <hyperlink ref="F9" r:id="rId1" xr:uid="{00000000-0004-0000-0800-000001000000}"/>
    <hyperlink ref="F10" r:id="rId2" xr:uid="{00000000-0004-0000-0800-000002000000}"/>
    <hyperlink ref="F11" r:id="rId3" xr:uid="{00000000-0004-0000-0800-000003000000}"/>
    <hyperlink ref="F12" r:id="rId4" xr:uid="{00000000-0004-0000-0800-000004000000}"/>
    <hyperlink ref="F13" r:id="rId5" xr:uid="{00000000-0004-0000-0800-000005000000}"/>
    <hyperlink ref="F14" r:id="rId6" xr:uid="{00000000-0004-0000-0800-000006000000}"/>
    <hyperlink ref="F15" r:id="rId7" xr:uid="{00000000-0004-0000-0800-000007000000}"/>
    <hyperlink ref="A5" location="Indice!A1" display="Indice" xr:uid="{82678978-D735-41B9-9718-992874781224}"/>
  </hyperlinks>
  <pageMargins left="0.7" right="0.7" top="0.75" bottom="0.75" header="0.3" footer="0.3"/>
  <drawing r:id="rId8"/>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H32"/>
  <sheetViews>
    <sheetView workbookViewId="0">
      <pane ySplit="6" topLeftCell="A7" activePane="bottomLeft" state="frozen"/>
      <selection pane="bottomLeft"/>
    </sheetView>
  </sheetViews>
  <sheetFormatPr defaultColWidth="14.453125" defaultRowHeight="15.75" customHeight="1"/>
  <cols>
    <col min="4" max="4" width="27" customWidth="1"/>
    <col min="11" max="11" width="22.453125" customWidth="1"/>
    <col min="12" max="12" width="18.54296875" customWidth="1"/>
    <col min="13" max="13" width="18.81640625" customWidth="1"/>
  </cols>
  <sheetData>
    <row r="1" spans="1:8" s="64" customFormat="1" ht="14">
      <c r="D1" s="170" t="s">
        <v>0</v>
      </c>
      <c r="E1" s="170"/>
      <c r="F1" s="170"/>
      <c r="G1" s="170"/>
      <c r="H1" s="67"/>
    </row>
    <row r="2" spans="1:8" s="64" customFormat="1" ht="14.5">
      <c r="A2" s="68"/>
      <c r="D2" s="171" t="s">
        <v>147</v>
      </c>
      <c r="E2" s="172"/>
      <c r="F2" s="172"/>
      <c r="G2" s="172"/>
    </row>
    <row r="3" spans="1:8" s="64" customFormat="1" ht="13">
      <c r="A3" s="66"/>
      <c r="D3" s="171" t="s">
        <v>144</v>
      </c>
      <c r="E3" s="172"/>
      <c r="F3" s="172"/>
      <c r="G3" s="172"/>
    </row>
    <row r="4" spans="1:8" s="64" customFormat="1" ht="13">
      <c r="A4" s="69"/>
      <c r="D4" s="171" t="s">
        <v>145</v>
      </c>
      <c r="E4" s="172"/>
      <c r="F4" s="172"/>
      <c r="G4" s="172"/>
    </row>
    <row r="5" spans="1:8" s="64" customFormat="1" ht="13">
      <c r="A5" s="66" t="s">
        <v>1</v>
      </c>
      <c r="D5" s="171" t="s">
        <v>146</v>
      </c>
      <c r="E5" s="172"/>
      <c r="F5" s="172"/>
      <c r="G5" s="172"/>
    </row>
    <row r="6" spans="1:8" s="65" customFormat="1" ht="15.75" customHeight="1" thickBot="1">
      <c r="A6" s="235" t="s">
        <v>87</v>
      </c>
      <c r="B6" s="236"/>
    </row>
    <row r="7" spans="1:8" ht="15.75" customHeight="1" thickBot="1"/>
    <row r="8" spans="1:8" ht="15.75" customHeight="1">
      <c r="D8" s="88" t="s">
        <v>42</v>
      </c>
      <c r="E8" s="89" t="s">
        <v>43</v>
      </c>
      <c r="F8" s="89" t="s">
        <v>25</v>
      </c>
      <c r="G8" s="89" t="s">
        <v>40</v>
      </c>
      <c r="H8" s="90" t="s">
        <v>41</v>
      </c>
    </row>
    <row r="9" spans="1:8" ht="15.75" customHeight="1">
      <c r="D9" s="405" t="s">
        <v>18</v>
      </c>
      <c r="E9" s="11">
        <f>'Modelo de inversion'!E9</f>
        <v>35000</v>
      </c>
      <c r="F9" s="11">
        <f t="shared" ref="F9:H9" si="0">$E9/5</f>
        <v>7000</v>
      </c>
      <c r="G9" s="11">
        <f t="shared" si="0"/>
        <v>7000</v>
      </c>
      <c r="H9" s="92">
        <f t="shared" si="0"/>
        <v>7000</v>
      </c>
    </row>
    <row r="10" spans="1:8" ht="15.75" customHeight="1">
      <c r="D10" s="405" t="s">
        <v>19</v>
      </c>
      <c r="E10" s="11">
        <f>'Modelo de inversion'!E10</f>
        <v>6399</v>
      </c>
      <c r="F10" s="11">
        <f t="shared" ref="F10:H10" si="1">$E10/5</f>
        <v>1279.8</v>
      </c>
      <c r="G10" s="11">
        <f t="shared" si="1"/>
        <v>1279.8</v>
      </c>
      <c r="H10" s="92">
        <f t="shared" si="1"/>
        <v>1279.8</v>
      </c>
    </row>
    <row r="11" spans="1:8" ht="15.75" customHeight="1">
      <c r="D11" s="405" t="s">
        <v>20</v>
      </c>
      <c r="E11" s="11">
        <f>'Modelo de inversion'!E11</f>
        <v>3600</v>
      </c>
      <c r="F11" s="11">
        <f t="shared" ref="F11:H11" si="2">$E11/5</f>
        <v>720</v>
      </c>
      <c r="G11" s="11">
        <f t="shared" si="2"/>
        <v>720</v>
      </c>
      <c r="H11" s="92">
        <f t="shared" si="2"/>
        <v>720</v>
      </c>
    </row>
    <row r="12" spans="1:8" ht="15.75" customHeight="1">
      <c r="D12" s="405" t="s">
        <v>21</v>
      </c>
      <c r="E12" s="11">
        <f>'Modelo de inversion'!E12</f>
        <v>47900</v>
      </c>
      <c r="F12" s="11">
        <f t="shared" ref="F12:H12" si="3">$E12/5</f>
        <v>9580</v>
      </c>
      <c r="G12" s="11">
        <f t="shared" si="3"/>
        <v>9580</v>
      </c>
      <c r="H12" s="92">
        <f t="shared" si="3"/>
        <v>9580</v>
      </c>
    </row>
    <row r="13" spans="1:8" ht="15.75" customHeight="1">
      <c r="D13" s="405" t="s">
        <v>22</v>
      </c>
      <c r="E13" s="11">
        <f>'Modelo de inversion'!E13</f>
        <v>90000</v>
      </c>
      <c r="F13" s="11">
        <f t="shared" ref="F13:H13" si="4">$E13/5</f>
        <v>18000</v>
      </c>
      <c r="G13" s="11">
        <f t="shared" si="4"/>
        <v>18000</v>
      </c>
      <c r="H13" s="92">
        <f t="shared" si="4"/>
        <v>18000</v>
      </c>
    </row>
    <row r="14" spans="1:8" ht="15.75" customHeight="1">
      <c r="D14" s="405" t="s">
        <v>23</v>
      </c>
      <c r="E14" s="11">
        <f>'Modelo de inversion'!E14</f>
        <v>14890</v>
      </c>
      <c r="F14" s="11">
        <f t="shared" ref="F14:H14" si="5">$E14/5</f>
        <v>2978</v>
      </c>
      <c r="G14" s="11">
        <f t="shared" si="5"/>
        <v>2978</v>
      </c>
      <c r="H14" s="92">
        <f t="shared" si="5"/>
        <v>2978</v>
      </c>
    </row>
    <row r="15" spans="1:8" ht="15.75" customHeight="1" thickBot="1">
      <c r="D15" s="441" t="s">
        <v>44</v>
      </c>
      <c r="E15" s="411"/>
      <c r="F15" s="410">
        <f>SUM(F9:F14)</f>
        <v>39557.800000000003</v>
      </c>
      <c r="G15" s="410">
        <f t="shared" ref="G15:H15" si="6">SUM(G9:G14)+F15</f>
        <v>79115.600000000006</v>
      </c>
      <c r="H15" s="413">
        <f t="shared" si="6"/>
        <v>118673.40000000001</v>
      </c>
    </row>
    <row r="24" spans="3:7" ht="13">
      <c r="C24" s="45"/>
    </row>
    <row r="25" spans="3:7" ht="13">
      <c r="C25" s="45"/>
      <c r="D25" s="45"/>
      <c r="E25" s="45"/>
      <c r="F25" s="45"/>
      <c r="G25" s="45"/>
    </row>
    <row r="26" spans="3:7" ht="13">
      <c r="C26" s="45"/>
      <c r="D26" s="45"/>
      <c r="E26" s="45"/>
      <c r="F26" s="45"/>
      <c r="G26" s="45"/>
    </row>
    <row r="27" spans="3:7" ht="13">
      <c r="C27" s="45"/>
      <c r="D27" s="45"/>
      <c r="E27" s="45"/>
      <c r="F27" s="45"/>
      <c r="G27" s="45"/>
    </row>
    <row r="28" spans="3:7" ht="13">
      <c r="C28" s="45"/>
      <c r="D28" s="45"/>
      <c r="E28" s="45"/>
      <c r="F28" s="45"/>
      <c r="G28" s="45"/>
    </row>
    <row r="29" spans="3:7" ht="13">
      <c r="C29" s="45"/>
      <c r="D29" s="45"/>
      <c r="E29" s="45"/>
      <c r="F29" s="45"/>
      <c r="G29" s="45"/>
    </row>
    <row r="30" spans="3:7" ht="13">
      <c r="C30" s="45"/>
      <c r="D30" s="45"/>
      <c r="E30" s="45"/>
      <c r="F30" s="45"/>
      <c r="G30" s="45"/>
    </row>
    <row r="31" spans="3:7" ht="13">
      <c r="C31" s="45"/>
      <c r="D31" s="45"/>
      <c r="E31" s="45"/>
      <c r="F31" s="45"/>
      <c r="G31" s="45"/>
    </row>
    <row r="32" spans="3:7" ht="12.5">
      <c r="E32" s="46"/>
      <c r="F32" s="46"/>
      <c r="G32" s="46"/>
    </row>
  </sheetData>
  <mergeCells count="6">
    <mergeCell ref="D3:G3"/>
    <mergeCell ref="A6:B6"/>
    <mergeCell ref="D2:G2"/>
    <mergeCell ref="D1:G1"/>
    <mergeCell ref="D4:G4"/>
    <mergeCell ref="D5:G5"/>
  </mergeCells>
  <hyperlinks>
    <hyperlink ref="A5" location="Indice!A1" display="Indice" xr:uid="{A4A5BDE9-669B-45D8-A09A-9804975BB065}"/>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J25"/>
  <sheetViews>
    <sheetView workbookViewId="0">
      <pane ySplit="6" topLeftCell="A7" activePane="bottomLeft" state="frozen"/>
      <selection pane="bottomLeft" activeCell="H17" sqref="H17"/>
    </sheetView>
  </sheetViews>
  <sheetFormatPr defaultColWidth="14.453125" defaultRowHeight="15.75" customHeight="1"/>
  <cols>
    <col min="2" max="2" width="18.26953125" customWidth="1"/>
    <col min="4" max="4" width="32.81640625" customWidth="1"/>
  </cols>
  <sheetData>
    <row r="1" spans="1:10" s="64" customFormat="1" ht="14">
      <c r="D1" s="170" t="s">
        <v>0</v>
      </c>
      <c r="E1" s="170"/>
      <c r="F1" s="170"/>
      <c r="G1" s="170"/>
      <c r="H1" s="67"/>
    </row>
    <row r="2" spans="1:10" s="64" customFormat="1" ht="14.5">
      <c r="A2" s="68"/>
      <c r="D2" s="171" t="s">
        <v>147</v>
      </c>
      <c r="E2" s="172"/>
      <c r="F2" s="172"/>
      <c r="G2" s="172"/>
    </row>
    <row r="3" spans="1:10" s="64" customFormat="1" ht="13">
      <c r="A3" s="66"/>
      <c r="D3" s="171" t="s">
        <v>144</v>
      </c>
      <c r="E3" s="172"/>
      <c r="F3" s="172"/>
      <c r="G3" s="172"/>
    </row>
    <row r="4" spans="1:10" s="64" customFormat="1" ht="13">
      <c r="A4" s="69"/>
      <c r="D4" s="171" t="s">
        <v>145</v>
      </c>
      <c r="E4" s="172"/>
      <c r="F4" s="172"/>
      <c r="G4" s="172"/>
    </row>
    <row r="5" spans="1:10" s="64" customFormat="1" ht="13">
      <c r="A5" s="66" t="s">
        <v>1</v>
      </c>
      <c r="D5" s="171" t="s">
        <v>146</v>
      </c>
      <c r="E5" s="172"/>
      <c r="F5" s="172"/>
      <c r="G5" s="172"/>
    </row>
    <row r="6" spans="1:10" s="65" customFormat="1" ht="15.75" customHeight="1" thickBot="1">
      <c r="A6" s="235" t="s">
        <v>88</v>
      </c>
      <c r="B6" s="236"/>
    </row>
    <row r="7" spans="1:10" ht="15.75" customHeight="1">
      <c r="A7" s="3"/>
    </row>
    <row r="9" spans="1:10" ht="15.75" customHeight="1" thickBot="1"/>
    <row r="10" spans="1:10" ht="15.75" customHeight="1">
      <c r="D10" s="451" t="s">
        <v>89</v>
      </c>
      <c r="E10" s="452">
        <v>0.6</v>
      </c>
    </row>
    <row r="11" spans="1:10" ht="15.75" customHeight="1">
      <c r="D11" s="427" t="s">
        <v>90</v>
      </c>
      <c r="E11" s="92">
        <f t="array" ref="E11">NPV(E10,F25:H25)+E25</f>
        <v>41894161.843927547</v>
      </c>
    </row>
    <row r="12" spans="1:10" ht="15.75" customHeight="1" thickBot="1">
      <c r="D12" s="429" t="s">
        <v>91</v>
      </c>
      <c r="E12" s="453">
        <f>IRR(E25:H25,E10)</f>
        <v>26.286623884511425</v>
      </c>
    </row>
    <row r="13" spans="1:10" ht="15.75" customHeight="1">
      <c r="D13" s="13"/>
      <c r="J13" s="48"/>
    </row>
    <row r="14" spans="1:10" ht="15.75" customHeight="1" thickBot="1"/>
    <row r="15" spans="1:10" ht="15.75" customHeight="1" thickBot="1">
      <c r="D15" s="136"/>
      <c r="E15" s="422" t="s">
        <v>77</v>
      </c>
      <c r="F15" s="423" t="s">
        <v>25</v>
      </c>
      <c r="G15" s="423" t="s">
        <v>40</v>
      </c>
      <c r="H15" s="424" t="s">
        <v>41</v>
      </c>
    </row>
    <row r="16" spans="1:10" ht="15.75" customHeight="1">
      <c r="D16" s="425" t="s">
        <v>92</v>
      </c>
      <c r="E16" s="426"/>
      <c r="F16" s="419">
        <f>'Modelo de ingresos'!G25</f>
        <v>44231500</v>
      </c>
      <c r="G16" s="419">
        <f>'Modelo de ingresos'!J25</f>
        <v>69624200</v>
      </c>
      <c r="H16" s="420">
        <f>'Modelo de ingresos'!M25</f>
        <v>82544200</v>
      </c>
    </row>
    <row r="17" spans="4:8" ht="15.75" customHeight="1">
      <c r="D17" s="405" t="s">
        <v>49</v>
      </c>
      <c r="E17" s="19"/>
      <c r="F17" s="11">
        <f>'Modelo de egresos'!D10</f>
        <v>1039428</v>
      </c>
      <c r="G17" s="11">
        <f>'Modelo de egresos'!E10</f>
        <v>1247313.6000000001</v>
      </c>
      <c r="H17" s="92">
        <f>'Modelo de egresos'!F10</f>
        <v>1496776.32</v>
      </c>
    </row>
    <row r="18" spans="4:8" ht="15.75" customHeight="1">
      <c r="D18" s="405" t="s">
        <v>61</v>
      </c>
      <c r="E18" s="19"/>
      <c r="F18" s="11">
        <f>'Modelo de egresos'!D11</f>
        <v>18078</v>
      </c>
      <c r="G18" s="11">
        <f>'Modelo de egresos'!E11</f>
        <v>18084</v>
      </c>
      <c r="H18" s="92">
        <f>'Modelo de egresos'!F11</f>
        <v>18084</v>
      </c>
    </row>
    <row r="19" spans="4:8" ht="12.5">
      <c r="D19" s="405" t="s">
        <v>9</v>
      </c>
      <c r="E19" s="19"/>
      <c r="F19" s="11">
        <f>'Modelo de egresos'!D12</f>
        <v>13806720</v>
      </c>
      <c r="G19" s="11">
        <f>'Modelo de egresos'!E12</f>
        <v>16866720</v>
      </c>
      <c r="H19" s="92">
        <f>'Modelo de egresos'!F12</f>
        <v>18165600</v>
      </c>
    </row>
    <row r="20" spans="4:8" ht="13">
      <c r="D20" s="427" t="s">
        <v>93</v>
      </c>
      <c r="E20" s="49"/>
      <c r="F20" s="21">
        <f t="shared" ref="F20:H20" si="0">F16-F17-F18-F19</f>
        <v>29367274</v>
      </c>
      <c r="G20" s="21">
        <f t="shared" si="0"/>
        <v>51492082.400000006</v>
      </c>
      <c r="H20" s="428">
        <f t="shared" si="0"/>
        <v>62863739.680000007</v>
      </c>
    </row>
    <row r="21" spans="4:8" ht="12.5">
      <c r="D21" s="405" t="s">
        <v>94</v>
      </c>
      <c r="E21" s="19"/>
      <c r="F21" s="11">
        <f t="shared" ref="F21:H21" si="1">F16*0.03</f>
        <v>1326945</v>
      </c>
      <c r="G21" s="11">
        <f t="shared" si="1"/>
        <v>2088726</v>
      </c>
      <c r="H21" s="92">
        <f t="shared" si="1"/>
        <v>2476326</v>
      </c>
    </row>
    <row r="22" spans="4:8" ht="12.5">
      <c r="D22" s="405" t="s">
        <v>95</v>
      </c>
      <c r="E22" s="19"/>
      <c r="F22" s="19"/>
      <c r="G22" s="11">
        <f>(F20-F21-Amortización!F15)*0.35</f>
        <v>9800269.9199999999</v>
      </c>
      <c r="H22" s="92">
        <f>(G20-H21-Amortización!G15)*0.35</f>
        <v>17127824.280000001</v>
      </c>
    </row>
    <row r="23" spans="4:8" ht="13">
      <c r="D23" s="427" t="s">
        <v>96</v>
      </c>
      <c r="E23" s="49"/>
      <c r="F23" s="21">
        <f>F20-F21</f>
        <v>28040329</v>
      </c>
      <c r="G23" s="21">
        <f t="shared" ref="G23:H23" si="2">G20-G21-G22</f>
        <v>39603086.480000004</v>
      </c>
      <c r="H23" s="428">
        <f t="shared" si="2"/>
        <v>43259589.400000006</v>
      </c>
    </row>
    <row r="24" spans="4:8" ht="12.5">
      <c r="D24" s="405" t="s">
        <v>99</v>
      </c>
      <c r="E24" s="11">
        <f>-'Modelo de inversion'!F34</f>
        <v>-1062539.8181818181</v>
      </c>
      <c r="F24" s="11">
        <f>'Modelo de inversion'!H34</f>
        <v>538000</v>
      </c>
      <c r="G24" s="11">
        <f>'Modelo de inversion'!J34</f>
        <v>499400</v>
      </c>
      <c r="H24" s="92">
        <f>'Modelo de inversion'!L34</f>
        <v>280800</v>
      </c>
    </row>
    <row r="25" spans="4:8" ht="13.5" thickBot="1">
      <c r="D25" s="429" t="s">
        <v>108</v>
      </c>
      <c r="E25" s="97">
        <f>E24</f>
        <v>-1062539.8181818181</v>
      </c>
      <c r="F25" s="97">
        <f t="shared" ref="F25:H25" si="3">F23-F24</f>
        <v>27502329</v>
      </c>
      <c r="G25" s="97">
        <f t="shared" si="3"/>
        <v>39103686.480000004</v>
      </c>
      <c r="H25" s="98">
        <f t="shared" si="3"/>
        <v>42978789.400000006</v>
      </c>
    </row>
  </sheetData>
  <mergeCells count="6">
    <mergeCell ref="D2:G2"/>
    <mergeCell ref="D3:G3"/>
    <mergeCell ref="A6:B6"/>
    <mergeCell ref="D1:G1"/>
    <mergeCell ref="D4:G4"/>
    <mergeCell ref="D5:G5"/>
  </mergeCells>
  <hyperlinks>
    <hyperlink ref="A5" location="Indice!A1" display="Indice" xr:uid="{6EA673C9-9D99-41E6-A17D-F3CBB39F14DB}"/>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I23"/>
  <sheetViews>
    <sheetView topLeftCell="B1" workbookViewId="0">
      <pane ySplit="6" topLeftCell="A7" activePane="bottomLeft" state="frozen"/>
      <selection pane="bottomLeft" activeCell="D9" sqref="D9"/>
    </sheetView>
  </sheetViews>
  <sheetFormatPr defaultColWidth="14.453125" defaultRowHeight="15.75" customHeight="1"/>
  <cols>
    <col min="1" max="1" width="14.90625" customWidth="1"/>
    <col min="3" max="3" width="3.08984375" customWidth="1"/>
    <col min="4" max="4" width="37.81640625" customWidth="1"/>
    <col min="5" max="5" width="34.453125" customWidth="1"/>
    <col min="6" max="6" width="14.453125" customWidth="1"/>
    <col min="7" max="7" width="14.26953125" customWidth="1"/>
    <col min="8" max="8" width="41.08984375" customWidth="1"/>
  </cols>
  <sheetData>
    <row r="1" spans="1:9" s="64" customFormat="1" ht="14">
      <c r="D1" s="170" t="s">
        <v>0</v>
      </c>
      <c r="E1" s="170"/>
      <c r="F1" s="170"/>
      <c r="G1" s="170"/>
      <c r="H1" s="67"/>
    </row>
    <row r="2" spans="1:9" s="64" customFormat="1" ht="14.5">
      <c r="A2" s="68"/>
      <c r="D2" s="171" t="s">
        <v>147</v>
      </c>
      <c r="E2" s="172"/>
      <c r="F2" s="172"/>
      <c r="G2" s="172"/>
    </row>
    <row r="3" spans="1:9" s="64" customFormat="1" ht="13">
      <c r="A3" s="66"/>
      <c r="D3" s="171" t="s">
        <v>144</v>
      </c>
      <c r="E3" s="172"/>
      <c r="F3" s="172"/>
      <c r="G3" s="172"/>
    </row>
    <row r="4" spans="1:9" s="64" customFormat="1" ht="13">
      <c r="A4" s="69"/>
      <c r="D4" s="171" t="s">
        <v>145</v>
      </c>
      <c r="E4" s="172"/>
      <c r="F4" s="172"/>
      <c r="G4" s="172"/>
    </row>
    <row r="5" spans="1:9" s="64" customFormat="1" ht="13">
      <c r="A5" s="66" t="s">
        <v>1</v>
      </c>
      <c r="D5" s="171" t="s">
        <v>146</v>
      </c>
      <c r="E5" s="172"/>
      <c r="F5" s="172"/>
      <c r="G5" s="172"/>
    </row>
    <row r="6" spans="1:9" s="65" customFormat="1" ht="13.5" thickBot="1">
      <c r="A6" s="70" t="s">
        <v>143</v>
      </c>
    </row>
    <row r="8" spans="1:9" ht="13">
      <c r="C8" s="18" t="s">
        <v>97</v>
      </c>
      <c r="D8" s="14" t="s">
        <v>98</v>
      </c>
      <c r="E8" s="14" t="s">
        <v>100</v>
      </c>
      <c r="F8" s="14" t="s">
        <v>101</v>
      </c>
      <c r="G8" s="14" t="s">
        <v>102</v>
      </c>
      <c r="H8" s="14" t="s">
        <v>103</v>
      </c>
      <c r="I8" s="50"/>
    </row>
    <row r="9" spans="1:9" ht="37.5">
      <c r="B9" s="454"/>
      <c r="C9" s="51">
        <v>1</v>
      </c>
      <c r="D9" s="52" t="s">
        <v>104</v>
      </c>
      <c r="E9" s="52" t="s">
        <v>105</v>
      </c>
      <c r="F9" s="53" t="s">
        <v>106</v>
      </c>
      <c r="G9" s="54" t="s">
        <v>107</v>
      </c>
      <c r="H9" s="456" t="s">
        <v>227</v>
      </c>
      <c r="I9" s="55"/>
    </row>
    <row r="10" spans="1:9" ht="25">
      <c r="B10" s="454"/>
      <c r="C10" s="51">
        <v>2</v>
      </c>
      <c r="D10" s="52" t="s">
        <v>109</v>
      </c>
      <c r="E10" s="52" t="s">
        <v>110</v>
      </c>
      <c r="F10" s="53" t="s">
        <v>106</v>
      </c>
      <c r="G10" s="56" t="s">
        <v>111</v>
      </c>
      <c r="H10" s="52" t="s">
        <v>112</v>
      </c>
      <c r="I10" s="55"/>
    </row>
    <row r="11" spans="1:9" ht="25">
      <c r="B11" s="454"/>
      <c r="C11" s="51">
        <v>3</v>
      </c>
      <c r="D11" s="52" t="s">
        <v>113</v>
      </c>
      <c r="E11" s="52" t="s">
        <v>114</v>
      </c>
      <c r="F11" s="56" t="s">
        <v>115</v>
      </c>
      <c r="G11" s="54" t="s">
        <v>107</v>
      </c>
      <c r="H11" s="52" t="s">
        <v>116</v>
      </c>
      <c r="I11" s="57"/>
    </row>
    <row r="12" spans="1:9" ht="12.5">
      <c r="B12" s="454"/>
      <c r="C12" s="51">
        <v>4</v>
      </c>
      <c r="D12" s="52" t="s">
        <v>117</v>
      </c>
      <c r="E12" s="52" t="s">
        <v>118</v>
      </c>
      <c r="F12" s="53" t="s">
        <v>119</v>
      </c>
      <c r="G12" s="54" t="s">
        <v>107</v>
      </c>
      <c r="H12" s="52" t="s">
        <v>120</v>
      </c>
      <c r="I12" s="55"/>
    </row>
    <row r="13" spans="1:9" ht="37.5">
      <c r="B13" s="454"/>
      <c r="C13" s="51">
        <v>5</v>
      </c>
      <c r="D13" s="457" t="s">
        <v>228</v>
      </c>
      <c r="E13" s="456" t="s">
        <v>229</v>
      </c>
      <c r="F13" s="54" t="s">
        <v>121</v>
      </c>
      <c r="G13" s="53" t="s">
        <v>119</v>
      </c>
      <c r="H13" s="456" t="s">
        <v>230</v>
      </c>
      <c r="I13" s="55"/>
    </row>
    <row r="14" spans="1:9" ht="25">
      <c r="B14" s="454"/>
      <c r="C14" s="51">
        <v>6</v>
      </c>
      <c r="D14" s="52" t="s">
        <v>122</v>
      </c>
      <c r="E14" s="52" t="s">
        <v>123</v>
      </c>
      <c r="F14" s="53" t="s">
        <v>119</v>
      </c>
      <c r="G14" s="53" t="s">
        <v>106</v>
      </c>
      <c r="H14" s="52" t="s">
        <v>124</v>
      </c>
      <c r="I14" s="55"/>
    </row>
    <row r="15" spans="1:9" ht="25">
      <c r="B15" s="454"/>
      <c r="C15" s="51">
        <v>7</v>
      </c>
      <c r="D15" s="58" t="s">
        <v>125</v>
      </c>
      <c r="E15" s="58" t="s">
        <v>126</v>
      </c>
      <c r="F15" s="59" t="s">
        <v>115</v>
      </c>
      <c r="G15" s="59" t="s">
        <v>107</v>
      </c>
      <c r="H15" s="58" t="s">
        <v>127</v>
      </c>
      <c r="I15" s="57"/>
    </row>
    <row r="16" spans="1:9" ht="25">
      <c r="B16" s="454"/>
      <c r="C16" s="51">
        <v>8</v>
      </c>
      <c r="D16" s="52" t="s">
        <v>128</v>
      </c>
      <c r="E16" s="52" t="s">
        <v>129</v>
      </c>
      <c r="F16" s="56" t="s">
        <v>115</v>
      </c>
      <c r="G16" s="54" t="s">
        <v>107</v>
      </c>
      <c r="H16" s="52" t="s">
        <v>130</v>
      </c>
      <c r="I16" s="57"/>
    </row>
    <row r="17" spans="2:9" ht="37.5">
      <c r="B17" s="455"/>
      <c r="C17" s="51">
        <v>9</v>
      </c>
      <c r="D17" s="52" t="s">
        <v>131</v>
      </c>
      <c r="E17" s="52" t="s">
        <v>132</v>
      </c>
      <c r="F17" s="56" t="s">
        <v>115</v>
      </c>
      <c r="G17" s="53" t="s">
        <v>106</v>
      </c>
      <c r="H17" s="52" t="s">
        <v>133</v>
      </c>
      <c r="I17" s="55"/>
    </row>
    <row r="18" spans="2:9" ht="25">
      <c r="B18" s="454"/>
      <c r="C18" s="51">
        <v>10</v>
      </c>
      <c r="D18" s="456" t="s">
        <v>233</v>
      </c>
      <c r="E18" s="456" t="s">
        <v>234</v>
      </c>
      <c r="F18" s="56" t="s">
        <v>115</v>
      </c>
      <c r="G18" s="54" t="s">
        <v>107</v>
      </c>
      <c r="H18" s="456" t="s">
        <v>235</v>
      </c>
      <c r="I18" s="55"/>
    </row>
    <row r="19" spans="2:9" ht="16.5" customHeight="1">
      <c r="B19" s="454"/>
      <c r="C19" s="51">
        <v>11</v>
      </c>
      <c r="D19" s="52" t="s">
        <v>134</v>
      </c>
      <c r="E19" s="52" t="s">
        <v>135</v>
      </c>
      <c r="F19" s="53" t="s">
        <v>119</v>
      </c>
      <c r="G19" s="53" t="s">
        <v>106</v>
      </c>
      <c r="H19" s="52" t="s">
        <v>136</v>
      </c>
      <c r="I19" s="55"/>
    </row>
    <row r="20" spans="2:9" ht="25">
      <c r="B20" s="454"/>
      <c r="C20" s="51">
        <v>12</v>
      </c>
      <c r="D20" s="456" t="s">
        <v>231</v>
      </c>
      <c r="E20" s="456" t="s">
        <v>232</v>
      </c>
      <c r="F20" s="53" t="s">
        <v>119</v>
      </c>
      <c r="G20" s="53" t="s">
        <v>106</v>
      </c>
      <c r="H20" s="52" t="s">
        <v>138</v>
      </c>
      <c r="I20" s="55"/>
    </row>
    <row r="21" spans="2:9" ht="37.5">
      <c r="B21" s="454"/>
      <c r="C21" s="51">
        <v>13</v>
      </c>
      <c r="D21" s="456" t="s">
        <v>241</v>
      </c>
      <c r="E21" s="52" t="s">
        <v>137</v>
      </c>
      <c r="F21" s="56" t="s">
        <v>115</v>
      </c>
      <c r="G21" s="56" t="s">
        <v>115</v>
      </c>
      <c r="H21" s="456" t="s">
        <v>244</v>
      </c>
      <c r="I21" s="55"/>
    </row>
    <row r="22" spans="2:9" ht="37.5">
      <c r="C22" s="51">
        <v>14</v>
      </c>
      <c r="D22" s="456" t="s">
        <v>236</v>
      </c>
      <c r="E22" s="52" t="s">
        <v>139</v>
      </c>
      <c r="F22" s="56" t="s">
        <v>115</v>
      </c>
      <c r="G22" s="54" t="s">
        <v>107</v>
      </c>
      <c r="H22" s="456" t="s">
        <v>237</v>
      </c>
      <c r="I22" s="55"/>
    </row>
    <row r="23" spans="2:9" s="137" customFormat="1" ht="25">
      <c r="C23" s="51">
        <v>15</v>
      </c>
      <c r="D23" s="456" t="s">
        <v>238</v>
      </c>
      <c r="E23" s="456" t="s">
        <v>239</v>
      </c>
      <c r="F23" s="56" t="s">
        <v>115</v>
      </c>
      <c r="G23" s="54" t="s">
        <v>107</v>
      </c>
      <c r="H23" s="456" t="s">
        <v>240</v>
      </c>
      <c r="I23" s="55"/>
    </row>
  </sheetData>
  <mergeCells count="5">
    <mergeCell ref="D4:G4"/>
    <mergeCell ref="D5:G5"/>
    <mergeCell ref="D1:G1"/>
    <mergeCell ref="D2:G2"/>
    <mergeCell ref="D3:G3"/>
  </mergeCells>
  <hyperlinks>
    <hyperlink ref="A5" location="Indice!A1" display="Indice" xr:uid="{97A32EED-1327-4DE9-AE38-61BD62C0859B}"/>
  </hyperlink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L33"/>
  <sheetViews>
    <sheetView workbookViewId="0">
      <pane ySplit="6" topLeftCell="A7" activePane="bottomLeft" state="frozen"/>
      <selection pane="bottomLeft" activeCell="A7" sqref="A7"/>
    </sheetView>
  </sheetViews>
  <sheetFormatPr defaultColWidth="14.453125" defaultRowHeight="15.75" customHeight="1"/>
  <cols>
    <col min="2" max="2" width="18.26953125" customWidth="1"/>
    <col min="4" max="4" width="32.81640625" customWidth="1"/>
    <col min="6" max="6" width="16.54296875" customWidth="1"/>
  </cols>
  <sheetData>
    <row r="1" spans="1:12" s="64" customFormat="1" ht="14">
      <c r="D1" s="170" t="s">
        <v>0</v>
      </c>
      <c r="E1" s="170"/>
      <c r="F1" s="170"/>
      <c r="G1" s="170"/>
      <c r="H1" s="67"/>
    </row>
    <row r="2" spans="1:12" s="64" customFormat="1" ht="14.5">
      <c r="A2" s="68"/>
      <c r="D2" s="171" t="s">
        <v>147</v>
      </c>
      <c r="E2" s="172"/>
      <c r="F2" s="172"/>
      <c r="G2" s="172"/>
    </row>
    <row r="3" spans="1:12" s="64" customFormat="1" ht="13">
      <c r="A3" s="66"/>
      <c r="D3" s="171" t="s">
        <v>144</v>
      </c>
      <c r="E3" s="172"/>
      <c r="F3" s="172"/>
      <c r="G3" s="172"/>
    </row>
    <row r="4" spans="1:12" s="64" customFormat="1" ht="13">
      <c r="A4" s="69"/>
      <c r="D4" s="171" t="s">
        <v>145</v>
      </c>
      <c r="E4" s="172"/>
      <c r="F4" s="172"/>
      <c r="G4" s="172"/>
    </row>
    <row r="5" spans="1:12" s="64" customFormat="1" ht="13">
      <c r="A5" s="66" t="s">
        <v>1</v>
      </c>
      <c r="D5" s="171" t="s">
        <v>146</v>
      </c>
      <c r="E5" s="172"/>
      <c r="F5" s="172"/>
      <c r="G5" s="172"/>
    </row>
    <row r="6" spans="1:12" s="65" customFormat="1" ht="15.75" customHeight="1" thickBot="1">
      <c r="A6" s="71" t="s">
        <v>14</v>
      </c>
    </row>
    <row r="7" spans="1:12" ht="14" customHeight="1">
      <c r="A7" s="3"/>
      <c r="B7" s="3"/>
      <c r="D7" s="3"/>
      <c r="E7" s="3"/>
      <c r="F7" s="3"/>
      <c r="G7" s="3"/>
      <c r="H7" s="3"/>
    </row>
    <row r="8" spans="1:12" ht="13">
      <c r="A8" s="3"/>
      <c r="B8" s="3"/>
      <c r="D8" s="458" t="s">
        <v>242</v>
      </c>
      <c r="E8" s="252"/>
      <c r="F8" s="252"/>
      <c r="G8" s="242"/>
      <c r="H8" s="3"/>
    </row>
    <row r="9" spans="1:12" ht="12.5">
      <c r="D9" s="459" t="s">
        <v>243</v>
      </c>
      <c r="E9" s="252"/>
      <c r="F9" s="252"/>
      <c r="G9" s="242"/>
      <c r="L9" s="60"/>
    </row>
    <row r="10" spans="1:12" ht="12.5">
      <c r="D10" s="460" t="s">
        <v>244</v>
      </c>
      <c r="E10" s="243"/>
      <c r="F10" s="243"/>
      <c r="G10" s="244"/>
    </row>
    <row r="11" spans="1:12" ht="12.5">
      <c r="D11" s="246"/>
      <c r="E11" s="247"/>
      <c r="F11" s="247"/>
      <c r="G11" s="248"/>
    </row>
    <row r="12" spans="1:12" ht="12.5">
      <c r="D12" s="4"/>
      <c r="E12" s="4"/>
      <c r="F12" s="4"/>
      <c r="G12" s="4"/>
    </row>
    <row r="13" spans="1:12" ht="13">
      <c r="D13" s="18" t="s">
        <v>89</v>
      </c>
      <c r="E13" s="10">
        <v>0.6</v>
      </c>
      <c r="F13" s="2"/>
    </row>
    <row r="14" spans="1:12" ht="13">
      <c r="D14" s="18" t="s">
        <v>90</v>
      </c>
      <c r="E14" s="11">
        <f t="array" ref="E14">NPV(E13,F28:H28)+E28</f>
        <v>41475172.049005687</v>
      </c>
    </row>
    <row r="15" spans="1:12" ht="13">
      <c r="D15" s="18" t="s">
        <v>91</v>
      </c>
      <c r="E15" s="47">
        <f>IRR(E28:H28,E13)</f>
        <v>25.531230852103256</v>
      </c>
    </row>
    <row r="16" spans="1:12" ht="13">
      <c r="D16" s="13"/>
    </row>
    <row r="18" spans="4:8" ht="13">
      <c r="D18" s="8"/>
      <c r="E18" s="15" t="s">
        <v>77</v>
      </c>
      <c r="F18" s="5" t="s">
        <v>25</v>
      </c>
      <c r="G18" s="5" t="s">
        <v>40</v>
      </c>
      <c r="H18" s="5" t="s">
        <v>41</v>
      </c>
    </row>
    <row r="19" spans="4:8" ht="12.5">
      <c r="D19" s="38" t="s">
        <v>92</v>
      </c>
      <c r="E19" s="19"/>
      <c r="F19" s="61">
        <f>'Modelo de ingresos'!G25*0.98</f>
        <v>43346870</v>
      </c>
      <c r="G19" s="11">
        <f>'Modelo de ingresos'!J25</f>
        <v>69624200</v>
      </c>
      <c r="H19" s="11">
        <f>'Modelo de ingresos'!M25</f>
        <v>82544200</v>
      </c>
    </row>
    <row r="20" spans="4:8" ht="12.5">
      <c r="D20" s="40" t="s">
        <v>49</v>
      </c>
      <c r="E20" s="19"/>
      <c r="F20" s="11">
        <f>'Modelo de egresos'!D10</f>
        <v>1039428</v>
      </c>
      <c r="G20" s="11">
        <f>'Modelo de egresos'!E10</f>
        <v>1247313.6000000001</v>
      </c>
      <c r="H20" s="11">
        <f>'Modelo de egresos'!F10</f>
        <v>1496776.32</v>
      </c>
    </row>
    <row r="21" spans="4:8" ht="12.5">
      <c r="D21" s="40" t="s">
        <v>61</v>
      </c>
      <c r="E21" s="19"/>
      <c r="F21" s="11">
        <f>'Modelo de egresos'!D11</f>
        <v>18078</v>
      </c>
      <c r="G21" s="11">
        <f>'Modelo de egresos'!E11</f>
        <v>18084</v>
      </c>
      <c r="H21" s="11">
        <f>'Modelo de egresos'!F11</f>
        <v>18084</v>
      </c>
    </row>
    <row r="22" spans="4:8" ht="12.5">
      <c r="D22" s="40" t="s">
        <v>9</v>
      </c>
      <c r="E22" s="19"/>
      <c r="F22" s="11">
        <f>'Modelo de egresos'!D12</f>
        <v>13806720</v>
      </c>
      <c r="G22" s="11">
        <f>'Modelo de egresos'!E12</f>
        <v>16866720</v>
      </c>
      <c r="H22" s="11">
        <f>'Modelo de egresos'!F12</f>
        <v>18165600</v>
      </c>
    </row>
    <row r="23" spans="4:8" ht="13">
      <c r="D23" s="18" t="s">
        <v>93</v>
      </c>
      <c r="E23" s="49"/>
      <c r="F23" s="21">
        <f t="shared" ref="F23:H23" si="0">F19-F20-F21-F22</f>
        <v>28482644</v>
      </c>
      <c r="G23" s="21">
        <f t="shared" si="0"/>
        <v>51492082.400000006</v>
      </c>
      <c r="H23" s="21">
        <f t="shared" si="0"/>
        <v>62863739.680000007</v>
      </c>
    </row>
    <row r="24" spans="4:8" ht="12.5">
      <c r="D24" s="40" t="s">
        <v>94</v>
      </c>
      <c r="E24" s="19"/>
      <c r="F24" s="11">
        <f t="shared" ref="F24:H24" si="1">F19*0.03</f>
        <v>1300406.0999999999</v>
      </c>
      <c r="G24" s="11">
        <f t="shared" si="1"/>
        <v>2088726</v>
      </c>
      <c r="H24" s="11">
        <f t="shared" si="1"/>
        <v>2476326</v>
      </c>
    </row>
    <row r="25" spans="4:8" ht="12.5">
      <c r="D25" s="40" t="s">
        <v>95</v>
      </c>
      <c r="E25" s="19"/>
      <c r="F25" s="19"/>
      <c r="G25" s="11">
        <f>(F23-F24-Amortización!F15)*0.35</f>
        <v>9499938.0349999983</v>
      </c>
      <c r="H25" s="11">
        <f>(G23-H24-Amortización!G15)*0.35</f>
        <v>17127824.280000001</v>
      </c>
    </row>
    <row r="26" spans="4:8" ht="13">
      <c r="D26" s="18" t="s">
        <v>96</v>
      </c>
      <c r="E26" s="49"/>
      <c r="F26" s="21">
        <f>F23-F24</f>
        <v>27182237.899999999</v>
      </c>
      <c r="G26" s="21">
        <f t="shared" ref="G26:H26" si="2">G23-G24-G25</f>
        <v>39903418.36500001</v>
      </c>
      <c r="H26" s="21">
        <f t="shared" si="2"/>
        <v>43259589.400000006</v>
      </c>
    </row>
    <row r="27" spans="4:8" ht="12.5">
      <c r="D27" s="40" t="s">
        <v>99</v>
      </c>
      <c r="E27" s="11">
        <f>-'Modelo de inversion'!F34</f>
        <v>-1062539.8181818181</v>
      </c>
      <c r="F27" s="11">
        <f>'Modelo de inversion'!H34</f>
        <v>538000</v>
      </c>
      <c r="G27" s="11">
        <f>'Modelo de inversion'!J34</f>
        <v>499400</v>
      </c>
      <c r="H27" s="11">
        <f>'Modelo de inversion'!L34</f>
        <v>280800</v>
      </c>
    </row>
    <row r="28" spans="4:8" ht="13">
      <c r="D28" s="18" t="s">
        <v>108</v>
      </c>
      <c r="E28" s="21">
        <f>E27</f>
        <v>-1062539.8181818181</v>
      </c>
      <c r="F28" s="21">
        <f t="shared" ref="F28:H28" si="3">F26-F27</f>
        <v>26644237.899999999</v>
      </c>
      <c r="G28" s="21">
        <f t="shared" si="3"/>
        <v>39404018.36500001</v>
      </c>
      <c r="H28" s="21">
        <f t="shared" si="3"/>
        <v>42978789.400000006</v>
      </c>
    </row>
    <row r="31" spans="4:8" ht="12.5">
      <c r="D31" s="461" t="s">
        <v>246</v>
      </c>
      <c r="E31" s="255"/>
      <c r="F31" s="255"/>
      <c r="G31" s="255"/>
      <c r="H31" s="256"/>
    </row>
    <row r="32" spans="4:8" ht="12.5">
      <c r="D32" s="257"/>
      <c r="E32" s="245"/>
      <c r="F32" s="245"/>
      <c r="G32" s="245"/>
      <c r="H32" s="258"/>
    </row>
    <row r="33" spans="4:8" ht="12.5">
      <c r="D33" s="259"/>
      <c r="E33" s="260"/>
      <c r="F33" s="260"/>
      <c r="G33" s="260"/>
      <c r="H33" s="261"/>
    </row>
  </sheetData>
  <mergeCells count="9">
    <mergeCell ref="D10:G11"/>
    <mergeCell ref="D31:H33"/>
    <mergeCell ref="D1:G1"/>
    <mergeCell ref="D4:G4"/>
    <mergeCell ref="D5:G5"/>
    <mergeCell ref="D2:G2"/>
    <mergeCell ref="D3:G3"/>
    <mergeCell ref="D9:G9"/>
    <mergeCell ref="D8:G8"/>
  </mergeCells>
  <hyperlinks>
    <hyperlink ref="A5" location="Indice!A1" display="Indice" xr:uid="{7CD354FA-D17E-4205-80F3-7976DC0A1D08}"/>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H34"/>
  <sheetViews>
    <sheetView workbookViewId="0">
      <pane ySplit="6" topLeftCell="A10" activePane="bottomLeft" state="frozen"/>
      <selection pane="bottomLeft" activeCell="H22" sqref="H22"/>
    </sheetView>
  </sheetViews>
  <sheetFormatPr defaultColWidth="14.453125" defaultRowHeight="15.75" customHeight="1"/>
  <cols>
    <col min="2" max="2" width="18.26953125" customWidth="1"/>
    <col min="4" max="4" width="35.54296875" customWidth="1"/>
  </cols>
  <sheetData>
    <row r="1" spans="1:8" s="64" customFormat="1" ht="14">
      <c r="D1" s="170" t="s">
        <v>0</v>
      </c>
      <c r="E1" s="170"/>
      <c r="F1" s="170"/>
      <c r="G1" s="170"/>
      <c r="H1" s="67"/>
    </row>
    <row r="2" spans="1:8" s="64" customFormat="1" ht="14.5">
      <c r="A2" s="68"/>
      <c r="D2" s="171" t="s">
        <v>147</v>
      </c>
      <c r="E2" s="172"/>
      <c r="F2" s="172"/>
      <c r="G2" s="172"/>
    </row>
    <row r="3" spans="1:8" s="64" customFormat="1" ht="13">
      <c r="A3" s="66"/>
      <c r="D3" s="171" t="s">
        <v>144</v>
      </c>
      <c r="E3" s="172"/>
      <c r="F3" s="172"/>
      <c r="G3" s="172"/>
    </row>
    <row r="4" spans="1:8" s="64" customFormat="1" ht="13">
      <c r="A4" s="69"/>
      <c r="D4" s="171" t="s">
        <v>145</v>
      </c>
      <c r="E4" s="172"/>
      <c r="F4" s="172"/>
      <c r="G4" s="172"/>
    </row>
    <row r="5" spans="1:8" s="64" customFormat="1" ht="13">
      <c r="A5" s="66" t="s">
        <v>1</v>
      </c>
      <c r="D5" s="171" t="s">
        <v>146</v>
      </c>
      <c r="E5" s="172"/>
      <c r="F5" s="172"/>
      <c r="G5" s="172"/>
    </row>
    <row r="6" spans="1:8" s="65" customFormat="1" ht="15.75" customHeight="1" thickBot="1">
      <c r="A6" s="71" t="s">
        <v>15</v>
      </c>
    </row>
    <row r="7" spans="1:8" ht="11.5" customHeight="1">
      <c r="A7" s="3"/>
      <c r="B7" s="3"/>
      <c r="D7" s="3"/>
      <c r="E7" s="3"/>
      <c r="F7" s="3"/>
      <c r="G7" s="3"/>
      <c r="H7" s="3"/>
    </row>
    <row r="8" spans="1:8" ht="13">
      <c r="A8" s="3"/>
      <c r="B8" s="3"/>
      <c r="D8" s="458" t="s">
        <v>245</v>
      </c>
      <c r="E8" s="252"/>
      <c r="F8" s="242"/>
      <c r="G8" s="3"/>
      <c r="H8" s="3"/>
    </row>
    <row r="9" spans="1:8" ht="12.5">
      <c r="D9" s="262" t="s">
        <v>123</v>
      </c>
      <c r="E9" s="252"/>
      <c r="F9" s="242"/>
    </row>
    <row r="10" spans="1:8" ht="12.5">
      <c r="D10" s="263" t="s">
        <v>124</v>
      </c>
      <c r="E10" s="243"/>
      <c r="F10" s="244"/>
    </row>
    <row r="11" spans="1:8" ht="12.5">
      <c r="D11" s="246"/>
      <c r="E11" s="247"/>
      <c r="F11" s="248"/>
    </row>
    <row r="14" spans="1:8" ht="13">
      <c r="D14" s="18" t="s">
        <v>89</v>
      </c>
      <c r="E14" s="10">
        <v>0.6</v>
      </c>
    </row>
    <row r="15" spans="1:8" ht="13">
      <c r="D15" s="18" t="s">
        <v>90</v>
      </c>
      <c r="E15" s="11">
        <f t="array" ref="E15">NPV(E14,F29:H29)+E29</f>
        <v>40872576.292169735</v>
      </c>
    </row>
    <row r="16" spans="1:8" ht="13">
      <c r="D16" s="18" t="s">
        <v>91</v>
      </c>
      <c r="E16" s="47">
        <f>IRR(E29:H29,E14)</f>
        <v>26.17711247947933</v>
      </c>
    </row>
    <row r="17" spans="4:8" ht="13">
      <c r="D17" s="13"/>
    </row>
    <row r="19" spans="4:8" ht="13">
      <c r="D19" s="8"/>
      <c r="E19" s="15" t="s">
        <v>77</v>
      </c>
      <c r="F19" s="5" t="s">
        <v>25</v>
      </c>
      <c r="G19" s="5" t="s">
        <v>40</v>
      </c>
      <c r="H19" s="5" t="s">
        <v>41</v>
      </c>
    </row>
    <row r="20" spans="4:8" ht="12.5">
      <c r="D20" s="38" t="s">
        <v>92</v>
      </c>
      <c r="E20" s="19"/>
      <c r="F20" s="11">
        <f>'Modelo de ingresos'!G25</f>
        <v>44231500</v>
      </c>
      <c r="G20" s="61">
        <f>'Modelo de ingresos'!J25*0.95</f>
        <v>66142990</v>
      </c>
      <c r="H20" s="11">
        <f>'Modelo de ingresos'!M25</f>
        <v>82544200</v>
      </c>
    </row>
    <row r="21" spans="4:8" ht="12.5">
      <c r="D21" s="40" t="s">
        <v>49</v>
      </c>
      <c r="E21" s="19"/>
      <c r="F21" s="11">
        <f>'Modelo de egresos'!D10</f>
        <v>1039428</v>
      </c>
      <c r="G21" s="11">
        <f>'Modelo de egresos'!E10</f>
        <v>1247313.6000000001</v>
      </c>
      <c r="H21" s="11">
        <f>'Modelo de egresos'!F10</f>
        <v>1496776.32</v>
      </c>
    </row>
    <row r="22" spans="4:8" ht="12.5">
      <c r="D22" s="40" t="s">
        <v>61</v>
      </c>
      <c r="E22" s="19"/>
      <c r="F22" s="11">
        <f>'Modelo de egresos'!D11</f>
        <v>18078</v>
      </c>
      <c r="G22" s="11">
        <f>'Modelo de egresos'!E11</f>
        <v>18084</v>
      </c>
      <c r="H22" s="11">
        <f>'Modelo de egresos'!F11</f>
        <v>18084</v>
      </c>
    </row>
    <row r="23" spans="4:8" ht="12.5">
      <c r="D23" s="40" t="s">
        <v>9</v>
      </c>
      <c r="E23" s="19"/>
      <c r="F23" s="11">
        <f>'Modelo de egresos'!D12</f>
        <v>13806720</v>
      </c>
      <c r="G23" s="11">
        <f>'Modelo de egresos'!E12</f>
        <v>16866720</v>
      </c>
      <c r="H23" s="11">
        <f>'Modelo de egresos'!F12</f>
        <v>18165600</v>
      </c>
    </row>
    <row r="24" spans="4:8" ht="13">
      <c r="D24" s="18" t="s">
        <v>93</v>
      </c>
      <c r="E24" s="49"/>
      <c r="F24" s="21">
        <f t="shared" ref="F24:H24" si="0">F20-F21-F22-F23</f>
        <v>29367274</v>
      </c>
      <c r="G24" s="21">
        <f t="shared" si="0"/>
        <v>48010872.399999999</v>
      </c>
      <c r="H24" s="21">
        <f t="shared" si="0"/>
        <v>62863739.680000007</v>
      </c>
    </row>
    <row r="25" spans="4:8" ht="12.5">
      <c r="D25" s="40" t="s">
        <v>94</v>
      </c>
      <c r="E25" s="19"/>
      <c r="F25" s="11">
        <f t="shared" ref="F25:H25" si="1">F20*0.03</f>
        <v>1326945</v>
      </c>
      <c r="G25" s="11">
        <f t="shared" si="1"/>
        <v>1984289.7</v>
      </c>
      <c r="H25" s="11">
        <f t="shared" si="1"/>
        <v>2476326</v>
      </c>
    </row>
    <row r="26" spans="4:8" ht="12.5">
      <c r="D26" s="40" t="s">
        <v>95</v>
      </c>
      <c r="E26" s="19"/>
      <c r="F26" s="19"/>
      <c r="G26" s="11">
        <f>(F24-F25-Amortización!F15)*0.35</f>
        <v>9800269.9199999999</v>
      </c>
      <c r="H26" s="11">
        <f>(G24-H25-Amortización!G15)*0.35</f>
        <v>15909400.779999997</v>
      </c>
    </row>
    <row r="27" spans="4:8" ht="13">
      <c r="D27" s="18" t="s">
        <v>96</v>
      </c>
      <c r="E27" s="49"/>
      <c r="F27" s="21">
        <f>F24-F25</f>
        <v>28040329</v>
      </c>
      <c r="G27" s="21">
        <f t="shared" ref="G27:H27" si="2">G24-G25-G26</f>
        <v>36226312.779999994</v>
      </c>
      <c r="H27" s="21">
        <f t="shared" si="2"/>
        <v>44478012.900000006</v>
      </c>
    </row>
    <row r="28" spans="4:8" ht="12.5">
      <c r="D28" s="40" t="s">
        <v>99</v>
      </c>
      <c r="E28" s="11">
        <f>-'Modelo de inversion'!F34</f>
        <v>-1062539.8181818181</v>
      </c>
      <c r="F28" s="11">
        <f>'Modelo de inversion'!H34</f>
        <v>538000</v>
      </c>
      <c r="G28" s="11">
        <f>'Modelo de inversion'!J34</f>
        <v>499400</v>
      </c>
      <c r="H28" s="11">
        <f>'Modelo de inversion'!L34</f>
        <v>280800</v>
      </c>
    </row>
    <row r="29" spans="4:8" ht="13">
      <c r="D29" s="18" t="s">
        <v>108</v>
      </c>
      <c r="E29" s="21">
        <f>E28</f>
        <v>-1062539.8181818181</v>
      </c>
      <c r="F29" s="21">
        <f t="shared" ref="F29:H29" si="3">F27-F28</f>
        <v>27502329</v>
      </c>
      <c r="G29" s="21">
        <f t="shared" si="3"/>
        <v>35726912.779999994</v>
      </c>
      <c r="H29" s="21">
        <f t="shared" si="3"/>
        <v>44197212.900000006</v>
      </c>
    </row>
    <row r="32" spans="4:8" ht="12.5">
      <c r="D32" s="254" t="s">
        <v>140</v>
      </c>
      <c r="E32" s="255"/>
      <c r="F32" s="255"/>
      <c r="G32" s="255"/>
      <c r="H32" s="256"/>
    </row>
    <row r="33" spans="4:8" ht="12.5">
      <c r="D33" s="257"/>
      <c r="E33" s="245"/>
      <c r="F33" s="245"/>
      <c r="G33" s="245"/>
      <c r="H33" s="258"/>
    </row>
    <row r="34" spans="4:8" ht="12.5">
      <c r="D34" s="259"/>
      <c r="E34" s="260"/>
      <c r="F34" s="260"/>
      <c r="G34" s="260"/>
      <c r="H34" s="261"/>
    </row>
  </sheetData>
  <mergeCells count="9">
    <mergeCell ref="D10:F11"/>
    <mergeCell ref="D32:H34"/>
    <mergeCell ref="D1:G1"/>
    <mergeCell ref="D4:G4"/>
    <mergeCell ref="D5:G5"/>
    <mergeCell ref="D2:G2"/>
    <mergeCell ref="D3:G3"/>
    <mergeCell ref="D8:F8"/>
    <mergeCell ref="D9:F9"/>
  </mergeCells>
  <hyperlinks>
    <hyperlink ref="A5" location="Indice!A1" display="Indice" xr:uid="{EF4BD77E-EB9E-42FE-8021-846820ABA5E1}"/>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H33"/>
  <sheetViews>
    <sheetView workbookViewId="0">
      <pane ySplit="6" topLeftCell="A7" activePane="bottomLeft" state="frozen"/>
      <selection pane="bottomLeft" activeCell="H20" sqref="H20"/>
    </sheetView>
  </sheetViews>
  <sheetFormatPr defaultColWidth="14.453125" defaultRowHeight="15.75" customHeight="1"/>
  <cols>
    <col min="2" max="2" width="18.26953125" customWidth="1"/>
    <col min="4" max="4" width="32.81640625" customWidth="1"/>
    <col min="6" max="6" width="15" customWidth="1"/>
  </cols>
  <sheetData>
    <row r="1" spans="1:8" s="64" customFormat="1" ht="14">
      <c r="D1" s="170" t="s">
        <v>0</v>
      </c>
      <c r="E1" s="170"/>
      <c r="F1" s="170"/>
      <c r="G1" s="170"/>
      <c r="H1" s="67"/>
    </row>
    <row r="2" spans="1:8" s="64" customFormat="1" ht="14.5">
      <c r="A2" s="68"/>
      <c r="D2" s="171" t="s">
        <v>147</v>
      </c>
      <c r="E2" s="172"/>
      <c r="F2" s="172"/>
      <c r="G2" s="172"/>
    </row>
    <row r="3" spans="1:8" s="64" customFormat="1" ht="13">
      <c r="A3" s="66"/>
      <c r="D3" s="171" t="s">
        <v>144</v>
      </c>
      <c r="E3" s="172"/>
      <c r="F3" s="172"/>
      <c r="G3" s="172"/>
    </row>
    <row r="4" spans="1:8" s="64" customFormat="1" ht="13">
      <c r="A4" s="69"/>
      <c r="D4" s="171" t="s">
        <v>145</v>
      </c>
      <c r="E4" s="172"/>
      <c r="F4" s="172"/>
      <c r="G4" s="172"/>
    </row>
    <row r="5" spans="1:8" s="64" customFormat="1" ht="13">
      <c r="A5" s="66" t="s">
        <v>1</v>
      </c>
      <c r="D5" s="171" t="s">
        <v>146</v>
      </c>
      <c r="E5" s="172"/>
      <c r="F5" s="172"/>
      <c r="G5" s="172"/>
    </row>
    <row r="6" spans="1:8" s="65" customFormat="1" ht="15.75" customHeight="1" thickBot="1">
      <c r="A6" s="71" t="s">
        <v>16</v>
      </c>
    </row>
    <row r="7" spans="1:8" ht="12" customHeight="1">
      <c r="A7" s="2"/>
      <c r="B7" s="2"/>
      <c r="D7" s="3"/>
      <c r="E7" s="3"/>
      <c r="F7" s="3"/>
    </row>
    <row r="8" spans="1:8" ht="13">
      <c r="A8" s="2"/>
      <c r="B8" s="2"/>
      <c r="D8" s="458" t="s">
        <v>247</v>
      </c>
      <c r="E8" s="252"/>
      <c r="F8" s="242"/>
    </row>
    <row r="9" spans="1:8" ht="12.5">
      <c r="D9" s="264" t="s">
        <v>105</v>
      </c>
      <c r="E9" s="252"/>
      <c r="F9" s="242"/>
    </row>
    <row r="10" spans="1:8" ht="12.5">
      <c r="D10" s="460" t="s">
        <v>227</v>
      </c>
      <c r="E10" s="243"/>
      <c r="F10" s="244"/>
    </row>
    <row r="11" spans="1:8" ht="12.5">
      <c r="D11" s="246"/>
      <c r="E11" s="247"/>
      <c r="F11" s="248"/>
    </row>
    <row r="13" spans="1:8" ht="13">
      <c r="D13" s="18" t="s">
        <v>89</v>
      </c>
      <c r="E13" s="10">
        <v>0.6</v>
      </c>
    </row>
    <row r="14" spans="1:8" ht="13">
      <c r="D14" s="18" t="s">
        <v>90</v>
      </c>
      <c r="E14" s="11">
        <f t="array" ref="E14">NPV(E13,F28:H28)+E28</f>
        <v>46195705.615411922</v>
      </c>
    </row>
    <row r="15" spans="1:8" ht="13">
      <c r="D15" s="18" t="s">
        <v>91</v>
      </c>
      <c r="E15" s="47">
        <f>IRR(E28:H28,E13)</f>
        <v>26.307733874541992</v>
      </c>
    </row>
    <row r="16" spans="1:8" ht="13">
      <c r="D16" s="13"/>
    </row>
    <row r="18" spans="4:8" ht="13">
      <c r="D18" s="8"/>
      <c r="E18" s="15" t="s">
        <v>77</v>
      </c>
      <c r="F18" s="5" t="s">
        <v>25</v>
      </c>
      <c r="G18" s="5" t="s">
        <v>40</v>
      </c>
      <c r="H18" s="5" t="s">
        <v>41</v>
      </c>
    </row>
    <row r="19" spans="4:8" ht="12.5">
      <c r="D19" s="38" t="s">
        <v>92</v>
      </c>
      <c r="E19" s="19"/>
      <c r="F19" s="11">
        <f>'Modelo de ingresos'!G25</f>
        <v>44231500</v>
      </c>
      <c r="G19" s="11">
        <f>'Modelo de ingresos'!J25</f>
        <v>69624200</v>
      </c>
      <c r="H19" s="11">
        <f>'Modelo de ingresos'!M25</f>
        <v>82544200</v>
      </c>
    </row>
    <row r="20" spans="4:8" ht="12.5">
      <c r="D20" s="40" t="s">
        <v>49</v>
      </c>
      <c r="E20" s="19"/>
      <c r="F20" s="11">
        <f>'Modelo de egresos'!D10</f>
        <v>1039428</v>
      </c>
      <c r="G20" s="11">
        <f>'Modelo de egresos'!E10</f>
        <v>1247313.6000000001</v>
      </c>
      <c r="H20" s="61">
        <f>'Modelo de egresos'!F10*1.35</f>
        <v>2020648.0320000001</v>
      </c>
    </row>
    <row r="21" spans="4:8" ht="12.5">
      <c r="D21" s="40" t="s">
        <v>61</v>
      </c>
      <c r="E21" s="19"/>
      <c r="F21" s="11">
        <f>'Modelo de egresos'!D11</f>
        <v>18078</v>
      </c>
      <c r="G21" s="11">
        <f>'Modelo de egresos'!E11</f>
        <v>18084</v>
      </c>
      <c r="H21" s="11">
        <f>'Modelo de egresos'!F11</f>
        <v>18084</v>
      </c>
    </row>
    <row r="22" spans="4:8" ht="12.5">
      <c r="D22" s="40" t="s">
        <v>9</v>
      </c>
      <c r="E22" s="19"/>
      <c r="F22" s="11">
        <f>'Modelo de egresos'!D12</f>
        <v>13806720</v>
      </c>
      <c r="G22" s="11">
        <f>'Modelo de egresos'!E12</f>
        <v>16866720</v>
      </c>
      <c r="H22" s="61">
        <f>'Modelo de egresos'!F11*1.25</f>
        <v>22605</v>
      </c>
    </row>
    <row r="23" spans="4:8" ht="13">
      <c r="D23" s="18" t="s">
        <v>93</v>
      </c>
      <c r="E23" s="49"/>
      <c r="F23" s="21">
        <f t="shared" ref="F23:H23" si="0">F19-F20-F21-F22</f>
        <v>29367274</v>
      </c>
      <c r="G23" s="21">
        <f t="shared" si="0"/>
        <v>51492082.400000006</v>
      </c>
      <c r="H23" s="21">
        <f t="shared" si="0"/>
        <v>80482862.967999995</v>
      </c>
    </row>
    <row r="24" spans="4:8" ht="12.5">
      <c r="D24" s="40" t="s">
        <v>94</v>
      </c>
      <c r="E24" s="19"/>
      <c r="F24" s="11">
        <f t="shared" ref="F24:H24" si="1">F19*0.03</f>
        <v>1326945</v>
      </c>
      <c r="G24" s="11">
        <f t="shared" si="1"/>
        <v>2088726</v>
      </c>
      <c r="H24" s="11">
        <f t="shared" si="1"/>
        <v>2476326</v>
      </c>
    </row>
    <row r="25" spans="4:8" ht="12.5">
      <c r="D25" s="40" t="s">
        <v>95</v>
      </c>
      <c r="E25" s="19"/>
      <c r="F25" s="19"/>
      <c r="G25" s="11">
        <f>(F23-F24-Amortización!F15)*0.35</f>
        <v>9800269.9199999999</v>
      </c>
      <c r="H25" s="11">
        <f>(G23-H24-Amortización!G15)*0.35</f>
        <v>17127824.280000001</v>
      </c>
    </row>
    <row r="26" spans="4:8" ht="13">
      <c r="D26" s="18" t="s">
        <v>96</v>
      </c>
      <c r="E26" s="49"/>
      <c r="F26" s="21">
        <f>F23-F24</f>
        <v>28040329</v>
      </c>
      <c r="G26" s="21">
        <f t="shared" ref="G26:H26" si="2">G23-G24-G25</f>
        <v>39603086.480000004</v>
      </c>
      <c r="H26" s="21">
        <f t="shared" si="2"/>
        <v>60878712.687999994</v>
      </c>
    </row>
    <row r="27" spans="4:8" ht="12.5">
      <c r="D27" s="40" t="s">
        <v>99</v>
      </c>
      <c r="E27" s="11">
        <f>-'Modelo de inversion'!F34</f>
        <v>-1062539.8181818181</v>
      </c>
      <c r="F27" s="11">
        <f>'Modelo de inversion'!H34</f>
        <v>538000</v>
      </c>
      <c r="G27" s="11">
        <f>'Modelo de inversion'!J34</f>
        <v>499400</v>
      </c>
      <c r="H27" s="11">
        <f>'Modelo de inversion'!L34</f>
        <v>280800</v>
      </c>
    </row>
    <row r="28" spans="4:8" ht="13">
      <c r="D28" s="18" t="s">
        <v>108</v>
      </c>
      <c r="E28" s="21">
        <f>E27</f>
        <v>-1062539.8181818181</v>
      </c>
      <c r="F28" s="21">
        <f t="shared" ref="F28:H28" si="3">F26-F27</f>
        <v>27502329</v>
      </c>
      <c r="G28" s="21">
        <f t="shared" si="3"/>
        <v>39103686.480000004</v>
      </c>
      <c r="H28" s="21">
        <f t="shared" si="3"/>
        <v>60597912.687999994</v>
      </c>
    </row>
    <row r="31" spans="4:8" ht="12.5">
      <c r="D31" s="461" t="s">
        <v>248</v>
      </c>
      <c r="E31" s="255"/>
      <c r="F31" s="255"/>
      <c r="G31" s="255"/>
      <c r="H31" s="256"/>
    </row>
    <row r="32" spans="4:8" ht="12.5">
      <c r="D32" s="257"/>
      <c r="E32" s="245"/>
      <c r="F32" s="245"/>
      <c r="G32" s="245"/>
      <c r="H32" s="258"/>
    </row>
    <row r="33" spans="4:8" ht="12.5">
      <c r="D33" s="259"/>
      <c r="E33" s="260"/>
      <c r="F33" s="260"/>
      <c r="G33" s="260"/>
      <c r="H33" s="261"/>
    </row>
  </sheetData>
  <mergeCells count="9">
    <mergeCell ref="D10:F11"/>
    <mergeCell ref="D31:H33"/>
    <mergeCell ref="D1:G1"/>
    <mergeCell ref="D4:G4"/>
    <mergeCell ref="D5:G5"/>
    <mergeCell ref="D2:G2"/>
    <mergeCell ref="D3:G3"/>
    <mergeCell ref="D8:F8"/>
    <mergeCell ref="D9:F9"/>
  </mergeCells>
  <hyperlinks>
    <hyperlink ref="A5" location="Indice!A1" display="Indice" xr:uid="{FCD5A2D7-D8E8-4DA9-923F-F099BED4FA47}"/>
  </hyperlink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H34"/>
  <sheetViews>
    <sheetView workbookViewId="0">
      <pane ySplit="6" topLeftCell="A7" activePane="bottomLeft" state="frozen"/>
      <selection pane="bottomLeft" activeCell="A5" sqref="A5"/>
    </sheetView>
  </sheetViews>
  <sheetFormatPr defaultColWidth="14.453125" defaultRowHeight="15.75" customHeight="1"/>
  <cols>
    <col min="2" max="2" width="18.26953125" customWidth="1"/>
    <col min="4" max="4" width="32.81640625" customWidth="1"/>
  </cols>
  <sheetData>
    <row r="1" spans="1:8" s="64" customFormat="1" ht="14">
      <c r="D1" s="170" t="s">
        <v>0</v>
      </c>
      <c r="E1" s="170"/>
      <c r="F1" s="170"/>
      <c r="G1" s="170"/>
      <c r="H1" s="67"/>
    </row>
    <row r="2" spans="1:8" s="64" customFormat="1" ht="14.5">
      <c r="A2" s="68"/>
      <c r="D2" s="171" t="s">
        <v>147</v>
      </c>
      <c r="E2" s="172"/>
      <c r="F2" s="172"/>
      <c r="G2" s="172"/>
    </row>
    <row r="3" spans="1:8" s="64" customFormat="1" ht="13">
      <c r="A3" s="66"/>
      <c r="D3" s="171" t="s">
        <v>144</v>
      </c>
      <c r="E3" s="172"/>
      <c r="F3" s="172"/>
      <c r="G3" s="172"/>
    </row>
    <row r="4" spans="1:8" s="64" customFormat="1" ht="13">
      <c r="A4" s="69"/>
      <c r="D4" s="171" t="s">
        <v>145</v>
      </c>
      <c r="E4" s="172"/>
      <c r="F4" s="172"/>
      <c r="G4" s="172"/>
    </row>
    <row r="5" spans="1:8" s="64" customFormat="1" ht="13">
      <c r="A5" s="66" t="s">
        <v>1</v>
      </c>
      <c r="D5" s="171" t="s">
        <v>146</v>
      </c>
      <c r="E5" s="172"/>
      <c r="F5" s="172"/>
      <c r="G5" s="172"/>
    </row>
    <row r="6" spans="1:8" s="65" customFormat="1" ht="15.75" customHeight="1" thickBot="1">
      <c r="A6" s="71" t="s">
        <v>148</v>
      </c>
    </row>
    <row r="7" spans="1:8" ht="14.5" customHeight="1">
      <c r="A7" s="3"/>
      <c r="B7" s="3"/>
      <c r="D7" s="3"/>
      <c r="E7" s="3"/>
      <c r="F7" s="3"/>
    </row>
    <row r="8" spans="1:8" ht="13">
      <c r="A8" s="3"/>
      <c r="B8" s="3"/>
      <c r="D8" s="253" t="s">
        <v>141</v>
      </c>
      <c r="E8" s="252"/>
      <c r="F8" s="242"/>
    </row>
    <row r="9" spans="1:8" ht="12.5">
      <c r="D9" s="264" t="s">
        <v>105</v>
      </c>
      <c r="E9" s="252"/>
      <c r="F9" s="242"/>
    </row>
    <row r="10" spans="1:8" ht="12.5">
      <c r="D10" s="460" t="s">
        <v>227</v>
      </c>
      <c r="E10" s="243"/>
      <c r="F10" s="244"/>
    </row>
    <row r="11" spans="1:8" ht="12.5">
      <c r="D11" s="246"/>
      <c r="E11" s="247"/>
      <c r="F11" s="248"/>
    </row>
    <row r="14" spans="1:8" ht="13">
      <c r="D14" s="18" t="s">
        <v>89</v>
      </c>
      <c r="E14" s="10">
        <v>0.6</v>
      </c>
    </row>
    <row r="15" spans="1:8" ht="13">
      <c r="D15" s="18" t="s">
        <v>90</v>
      </c>
      <c r="E15" s="11">
        <f t="array" ref="E15">NPV(E14,F29:H29)+E29</f>
        <v>43215396.182306454</v>
      </c>
    </row>
    <row r="16" spans="1:8" ht="13">
      <c r="D16" s="18" t="s">
        <v>91</v>
      </c>
      <c r="E16" s="47">
        <f>IRR(E29:H29,E14)</f>
        <v>26.293114657702201</v>
      </c>
    </row>
    <row r="17" spans="4:8" ht="13">
      <c r="D17" s="13"/>
    </row>
    <row r="19" spans="4:8" ht="13">
      <c r="D19" s="8"/>
      <c r="E19" s="15" t="s">
        <v>77</v>
      </c>
      <c r="F19" s="5" t="s">
        <v>25</v>
      </c>
      <c r="G19" s="5" t="s">
        <v>40</v>
      </c>
      <c r="H19" s="5" t="s">
        <v>41</v>
      </c>
    </row>
    <row r="20" spans="4:8" ht="12.5">
      <c r="D20" s="38" t="s">
        <v>92</v>
      </c>
      <c r="E20" s="19"/>
      <c r="F20" s="11">
        <f>'Modelo de ingresos'!G25</f>
        <v>44231500</v>
      </c>
      <c r="G20" s="11">
        <f>'Modelo de ingresos'!J25</f>
        <v>69624200</v>
      </c>
      <c r="H20" s="61">
        <f>'Modelo de ingresos'!M25*1.1</f>
        <v>90798620</v>
      </c>
    </row>
    <row r="21" spans="4:8" ht="12.5">
      <c r="D21" s="40" t="s">
        <v>49</v>
      </c>
      <c r="E21" s="19"/>
      <c r="F21" s="11">
        <f>'Modelo de egresos'!D10</f>
        <v>1039428</v>
      </c>
      <c r="G21" s="11">
        <f>'Modelo de egresos'!E10</f>
        <v>1247313.6000000001</v>
      </c>
      <c r="H21" s="61">
        <f>('Modelo de egresos'!F10*1.2)+(('Costos fijos'!E12)*0.3)</f>
        <v>1802450.8800000001</v>
      </c>
    </row>
    <row r="22" spans="4:8" ht="12.5">
      <c r="D22" s="40" t="s">
        <v>61</v>
      </c>
      <c r="E22" s="19"/>
      <c r="F22" s="11">
        <f>'Modelo de egresos'!D11</f>
        <v>18078</v>
      </c>
      <c r="G22" s="11">
        <f>'Modelo de egresos'!E11</f>
        <v>18084</v>
      </c>
      <c r="H22" s="61">
        <f>'Modelo de egresos'!F11*1.1</f>
        <v>19892.400000000001</v>
      </c>
    </row>
    <row r="23" spans="4:8" ht="12.5">
      <c r="D23" s="40" t="s">
        <v>9</v>
      </c>
      <c r="E23" s="19"/>
      <c r="F23" s="11">
        <f>'Modelo de egresos'!D12</f>
        <v>13806720</v>
      </c>
      <c r="G23" s="11">
        <f>'Modelo de egresos'!E12</f>
        <v>16866720</v>
      </c>
      <c r="H23" s="61">
        <f>('Modelo de egresos'!F12*1.15)-350640</f>
        <v>20539800</v>
      </c>
    </row>
    <row r="24" spans="4:8" ht="13">
      <c r="D24" s="18" t="s">
        <v>93</v>
      </c>
      <c r="E24" s="49"/>
      <c r="F24" s="21">
        <f t="shared" ref="F24:H24" si="0">F20-F21-F22-F23</f>
        <v>29367274</v>
      </c>
      <c r="G24" s="21">
        <f t="shared" si="0"/>
        <v>51492082.400000006</v>
      </c>
      <c r="H24" s="21">
        <f t="shared" si="0"/>
        <v>68436476.719999999</v>
      </c>
    </row>
    <row r="25" spans="4:8" ht="12.5">
      <c r="D25" s="40" t="s">
        <v>94</v>
      </c>
      <c r="E25" s="19"/>
      <c r="F25" s="11">
        <f t="shared" ref="F25:H25" si="1">F20*0.03</f>
        <v>1326945</v>
      </c>
      <c r="G25" s="11">
        <f t="shared" si="1"/>
        <v>2088726</v>
      </c>
      <c r="H25" s="11">
        <f t="shared" si="1"/>
        <v>2723958.6</v>
      </c>
    </row>
    <row r="26" spans="4:8" ht="12.5">
      <c r="D26" s="40" t="s">
        <v>95</v>
      </c>
      <c r="E26" s="19"/>
      <c r="F26" s="19"/>
      <c r="G26" s="11">
        <f>(F24-F25-Amortización!F15)*0.35</f>
        <v>9800269.9199999999</v>
      </c>
      <c r="H26" s="11">
        <f>(G24-H25-Amortización!G15)*0.35</f>
        <v>17041152.870000001</v>
      </c>
    </row>
    <row r="27" spans="4:8" ht="13">
      <c r="D27" s="18" t="s">
        <v>96</v>
      </c>
      <c r="E27" s="49"/>
      <c r="F27" s="21">
        <f>F24-F25</f>
        <v>28040329</v>
      </c>
      <c r="G27" s="21">
        <f t="shared" ref="G27:H27" si="2">G24-G25-G26</f>
        <v>39603086.480000004</v>
      </c>
      <c r="H27" s="21">
        <f t="shared" si="2"/>
        <v>48671365.25</v>
      </c>
    </row>
    <row r="28" spans="4:8" ht="12.5">
      <c r="D28" s="40" t="s">
        <v>99</v>
      </c>
      <c r="E28" s="11">
        <f>-'Modelo de inversion'!F34</f>
        <v>-1062539.8181818181</v>
      </c>
      <c r="F28" s="11">
        <f>'Modelo de inversion'!H34</f>
        <v>538000</v>
      </c>
      <c r="G28" s="11">
        <f>'Modelo de inversion'!J34</f>
        <v>499400</v>
      </c>
      <c r="H28" s="11">
        <f>'Modelo de inversion'!L34</f>
        <v>280800</v>
      </c>
    </row>
    <row r="29" spans="4:8" ht="13">
      <c r="D29" s="18" t="s">
        <v>108</v>
      </c>
      <c r="E29" s="21">
        <f>E28</f>
        <v>-1062539.8181818181</v>
      </c>
      <c r="F29" s="21">
        <f t="shared" ref="F29:H29" si="3">F27-F28</f>
        <v>27502329</v>
      </c>
      <c r="G29" s="21">
        <f t="shared" si="3"/>
        <v>39103686.480000004</v>
      </c>
      <c r="H29" s="21">
        <f t="shared" si="3"/>
        <v>48390565.25</v>
      </c>
    </row>
    <row r="32" spans="4:8" ht="12.5">
      <c r="D32" s="254" t="s">
        <v>142</v>
      </c>
      <c r="E32" s="255"/>
      <c r="F32" s="255"/>
      <c r="G32" s="255"/>
      <c r="H32" s="256"/>
    </row>
    <row r="33" spans="4:8" ht="12.5">
      <c r="D33" s="257"/>
      <c r="E33" s="245"/>
      <c r="F33" s="245"/>
      <c r="G33" s="245"/>
      <c r="H33" s="258"/>
    </row>
    <row r="34" spans="4:8" ht="12.5">
      <c r="D34" s="259"/>
      <c r="E34" s="260"/>
      <c r="F34" s="260"/>
      <c r="G34" s="260"/>
      <c r="H34" s="261"/>
    </row>
  </sheetData>
  <mergeCells count="9">
    <mergeCell ref="D10:F11"/>
    <mergeCell ref="D32:H34"/>
    <mergeCell ref="D1:G1"/>
    <mergeCell ref="D4:G4"/>
    <mergeCell ref="D5:G5"/>
    <mergeCell ref="D2:G2"/>
    <mergeCell ref="D3:G3"/>
    <mergeCell ref="D8:F8"/>
    <mergeCell ref="D9:F9"/>
  </mergeCells>
  <hyperlinks>
    <hyperlink ref="A5" location="Indice!A1" display="Indice" xr:uid="{D24FF85D-91A8-405B-BEA1-47139F97BFF8}"/>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Indice</vt:lpstr>
      <vt:lpstr>Hipótesis</vt:lpstr>
      <vt:lpstr>Proyección de Ingresos</vt:lpstr>
      <vt:lpstr>Modelo de ingresos</vt:lpstr>
      <vt:lpstr>Modelo de egresos</vt:lpstr>
      <vt:lpstr>Costos fijos</vt:lpstr>
      <vt:lpstr>Costos variables</vt:lpstr>
      <vt:lpstr>Costos RRHH</vt:lpstr>
      <vt:lpstr>Modelo de inversion</vt:lpstr>
      <vt:lpstr>Amortización</vt:lpstr>
      <vt:lpstr>Presupuesto financiero</vt:lpstr>
      <vt:lpstr>Matriz de riesgo</vt:lpstr>
      <vt:lpstr>Escenario 1</vt:lpstr>
      <vt:lpstr>Escenario 2</vt:lpstr>
      <vt:lpstr>Escenario 3</vt:lpstr>
      <vt:lpstr>Plan cont. Esc.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Prado Brun, Angel Guillermo</cp:lastModifiedBy>
  <dcterms:modified xsi:type="dcterms:W3CDTF">2019-08-10T20:07:30Z</dcterms:modified>
</cp:coreProperties>
</file>