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ikitzanou/Desktop/xlsx files to be used/"/>
    </mc:Choice>
  </mc:AlternateContent>
  <xr:revisionPtr revIDLastSave="0" documentId="13_ncr:1_{3A71D1D3-E783-D545-BCC3-F2F1E9D16C3B}" xr6:coauthVersionLast="47" xr6:coauthVersionMax="47" xr10:uidLastSave="{00000000-0000-0000-0000-000000000000}"/>
  <bookViews>
    <workbookView xWindow="14060" yWindow="500" windowWidth="28800" windowHeight="16360" xr2:uid="{6ECD75C2-C70F-4C75-A12A-E4BE7BC0F756}"/>
  </bookViews>
  <sheets>
    <sheet name="Metals" sheetId="2" r:id="rId1"/>
    <sheet name="Abbreviations Defined" sheetId="6" r:id="rId2"/>
    <sheet name="Cigarette Smoke" sheetId="1" r:id="rId3"/>
    <sheet name="Plasticizers" sheetId="3" r:id="rId4"/>
    <sheet name="Organic Contaminants" sheetId="4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L20" i="1"/>
  <c r="K20" i="1"/>
  <c r="M14" i="1" l="1"/>
  <c r="L4" i="1"/>
  <c r="M4" i="1" s="1"/>
  <c r="M20" i="1"/>
  <c r="L11" i="1"/>
  <c r="M11" i="1" s="1"/>
  <c r="L22" i="1"/>
  <c r="M22" i="1" s="1"/>
  <c r="L16" i="1"/>
  <c r="M16" i="1" s="1"/>
  <c r="L17" i="1"/>
  <c r="M17" i="1" s="1"/>
  <c r="L18" i="1"/>
  <c r="M18" i="1" s="1"/>
  <c r="L19" i="1"/>
  <c r="M19" i="1" s="1"/>
  <c r="L21" i="1"/>
  <c r="M21" i="1" s="1"/>
  <c r="L15" i="1"/>
  <c r="M15" i="1" s="1"/>
  <c r="L13" i="1"/>
  <c r="M13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J52" i="3"/>
  <c r="J54" i="3"/>
  <c r="N20" i="1" l="1"/>
  <c r="K26" i="4" l="1"/>
  <c r="K22" i="4"/>
  <c r="K15" i="4"/>
  <c r="I67" i="2" l="1"/>
  <c r="I68" i="2"/>
  <c r="I69" i="2"/>
  <c r="I70" i="2"/>
  <c r="I71" i="2"/>
  <c r="I66" i="2"/>
  <c r="I57" i="2"/>
  <c r="I58" i="2"/>
  <c r="I59" i="2"/>
  <c r="I60" i="2"/>
  <c r="I62" i="2"/>
  <c r="I63" i="2"/>
  <c r="I64" i="2"/>
  <c r="I65" i="2"/>
  <c r="I4" i="2"/>
  <c r="I5" i="2"/>
  <c r="I7" i="2"/>
  <c r="I8" i="2"/>
  <c r="I9" i="2"/>
  <c r="J9" i="2" s="1"/>
  <c r="I10" i="2"/>
  <c r="I11" i="2"/>
  <c r="I12" i="2"/>
  <c r="I13" i="2"/>
  <c r="I14" i="2"/>
  <c r="I15" i="2"/>
  <c r="I16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3" i="2"/>
  <c r="I34" i="2"/>
  <c r="I35" i="2"/>
  <c r="I36" i="2"/>
  <c r="I37" i="2"/>
  <c r="I38" i="2"/>
  <c r="I39" i="2"/>
  <c r="I40" i="2"/>
  <c r="I41" i="2"/>
  <c r="I42" i="2"/>
  <c r="I43" i="2"/>
  <c r="I45" i="2"/>
  <c r="I46" i="2"/>
  <c r="I47" i="2"/>
  <c r="I49" i="2"/>
  <c r="I50" i="2"/>
  <c r="I51" i="2"/>
  <c r="I53" i="2"/>
  <c r="I54" i="2"/>
  <c r="I55" i="2"/>
  <c r="I3" i="2"/>
  <c r="I56" i="2"/>
  <c r="J70" i="3"/>
  <c r="J67" i="3"/>
  <c r="K67" i="3" s="1"/>
  <c r="J53" i="3"/>
  <c r="J55" i="3"/>
  <c r="J56" i="3"/>
  <c r="J57" i="3"/>
  <c r="J58" i="3"/>
  <c r="J59" i="3"/>
  <c r="J60" i="3"/>
  <c r="J61" i="3"/>
  <c r="J62" i="3"/>
  <c r="J63" i="3"/>
  <c r="J64" i="3"/>
  <c r="J65" i="3"/>
  <c r="J66" i="3"/>
  <c r="J68" i="3"/>
  <c r="J69" i="3"/>
  <c r="J71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32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" i="3"/>
  <c r="K4" i="4"/>
  <c r="K5" i="4"/>
  <c r="K6" i="4"/>
  <c r="K7" i="4"/>
  <c r="K8" i="4"/>
  <c r="K9" i="4"/>
  <c r="K10" i="4"/>
  <c r="K11" i="4"/>
  <c r="K12" i="4"/>
  <c r="K13" i="4"/>
  <c r="K14" i="4"/>
  <c r="K20" i="4"/>
  <c r="K21" i="4"/>
  <c r="L21" i="4" s="1"/>
  <c r="K25" i="4"/>
  <c r="K27" i="4"/>
  <c r="K28" i="4"/>
  <c r="K29" i="4"/>
  <c r="K24" i="4"/>
  <c r="L24" i="4" s="1"/>
  <c r="K31" i="4"/>
  <c r="K16" i="4"/>
  <c r="K17" i="4"/>
  <c r="K18" i="4"/>
  <c r="K19" i="4"/>
  <c r="K3" i="4"/>
  <c r="M30" i="4"/>
  <c r="K30" i="4" s="1"/>
  <c r="J21" i="4" l="1"/>
  <c r="J22" i="4"/>
  <c r="J30" i="4"/>
  <c r="J25" i="4"/>
  <c r="J29" i="4"/>
  <c r="J28" i="4"/>
  <c r="J27" i="4"/>
  <c r="K3" i="3"/>
  <c r="L17" i="2"/>
  <c r="K17" i="2"/>
  <c r="H17" i="2"/>
  <c r="K48" i="2"/>
  <c r="I48" i="2" s="1"/>
  <c r="J48" i="2" s="1"/>
  <c r="I17" i="2" l="1"/>
  <c r="J17" i="2" s="1"/>
  <c r="K31" i="2"/>
  <c r="K32" i="2"/>
  <c r="J3" i="2"/>
  <c r="L16" i="4" l="1"/>
  <c r="L17" i="4"/>
  <c r="L18" i="4"/>
  <c r="L19" i="4"/>
  <c r="L31" i="4"/>
  <c r="L15" i="4"/>
  <c r="J71" i="2" l="1"/>
  <c r="J9" i="1" l="1"/>
  <c r="J8" i="1"/>
  <c r="I15" i="1"/>
  <c r="I14" i="1"/>
  <c r="J7" i="1"/>
  <c r="J6" i="1"/>
  <c r="J5" i="1"/>
  <c r="J4" i="1"/>
  <c r="L25" i="4" l="1"/>
  <c r="J65" i="2"/>
  <c r="J64" i="2"/>
  <c r="J63" i="2"/>
  <c r="J62" i="2"/>
  <c r="L61" i="2"/>
  <c r="K61" i="2"/>
  <c r="H61" i="2"/>
  <c r="J60" i="2"/>
  <c r="J59" i="2"/>
  <c r="J58" i="2"/>
  <c r="J57" i="2"/>
  <c r="J56" i="2"/>
  <c r="J55" i="2"/>
  <c r="J54" i="2"/>
  <c r="J53" i="2"/>
  <c r="L52" i="2"/>
  <c r="K52" i="2"/>
  <c r="H52" i="2"/>
  <c r="J51" i="2"/>
  <c r="J50" i="2"/>
  <c r="J49" i="2"/>
  <c r="H49" i="2"/>
  <c r="J47" i="2"/>
  <c r="J46" i="2"/>
  <c r="H46" i="2"/>
  <c r="J45" i="2"/>
  <c r="L44" i="2"/>
  <c r="K44" i="2"/>
  <c r="H44" i="2"/>
  <c r="J43" i="2"/>
  <c r="J42" i="2"/>
  <c r="J41" i="2"/>
  <c r="J40" i="2"/>
  <c r="J39" i="2"/>
  <c r="H39" i="2"/>
  <c r="J38" i="2"/>
  <c r="J37" i="2"/>
  <c r="H37" i="2"/>
  <c r="J36" i="2"/>
  <c r="J35" i="2"/>
  <c r="J34" i="2"/>
  <c r="J33" i="2"/>
  <c r="L32" i="2"/>
  <c r="I32" i="2" s="1"/>
  <c r="J32" i="2" s="1"/>
  <c r="H32" i="2"/>
  <c r="L31" i="2"/>
  <c r="I31" i="2" s="1"/>
  <c r="J31" i="2" s="1"/>
  <c r="H31" i="2"/>
  <c r="J30" i="2"/>
  <c r="J29" i="2"/>
  <c r="H29" i="2"/>
  <c r="J28" i="2"/>
  <c r="J27" i="2"/>
  <c r="J26" i="2"/>
  <c r="J25" i="2"/>
  <c r="J24" i="2"/>
  <c r="J23" i="2"/>
  <c r="J22" i="2"/>
  <c r="J21" i="2"/>
  <c r="J20" i="2"/>
  <c r="J19" i="2"/>
  <c r="J18" i="2"/>
  <c r="J16" i="2"/>
  <c r="J15" i="2"/>
  <c r="J14" i="2"/>
  <c r="J13" i="2"/>
  <c r="J12" i="2"/>
  <c r="J11" i="2"/>
  <c r="J10" i="2"/>
  <c r="J8" i="2"/>
  <c r="J7" i="2"/>
  <c r="L6" i="2"/>
  <c r="K6" i="2"/>
  <c r="H6" i="2"/>
  <c r="J5" i="2"/>
  <c r="H4" i="2"/>
  <c r="H3" i="2"/>
  <c r="I61" i="2" l="1"/>
  <c r="I6" i="2"/>
  <c r="J6" i="2" s="1"/>
  <c r="I52" i="2"/>
  <c r="J52" i="2" s="1"/>
  <c r="I44" i="2"/>
  <c r="J44" i="2" s="1"/>
  <c r="J61" i="2"/>
  <c r="J4" i="2"/>
  <c r="J20" i="4" l="1"/>
  <c r="H70" i="2" l="1"/>
  <c r="H69" i="2"/>
  <c r="H66" i="2"/>
  <c r="N23" i="4"/>
  <c r="M23" i="4"/>
  <c r="J23" i="4"/>
  <c r="K23" i="4" l="1"/>
  <c r="L23" i="4" s="1"/>
  <c r="O12" i="1"/>
  <c r="N12" i="1"/>
  <c r="K12" i="1"/>
  <c r="L12" i="1" l="1"/>
  <c r="M12" i="1" s="1"/>
  <c r="J67" i="2"/>
  <c r="J68" i="2"/>
  <c r="J69" i="2"/>
  <c r="J70" i="2"/>
  <c r="L30" i="4"/>
  <c r="L29" i="4"/>
  <c r="L28" i="4"/>
  <c r="L27" i="4"/>
  <c r="L26" i="4"/>
  <c r="L22" i="4"/>
  <c r="L20" i="4"/>
  <c r="L14" i="4"/>
  <c r="L13" i="4"/>
  <c r="L12" i="4"/>
  <c r="L11" i="4"/>
  <c r="L10" i="4"/>
  <c r="L9" i="4"/>
  <c r="L8" i="4"/>
  <c r="L7" i="4"/>
  <c r="L6" i="4"/>
  <c r="L5" i="4"/>
  <c r="L4" i="4"/>
  <c r="L3" i="4"/>
  <c r="K71" i="3"/>
  <c r="K70" i="3"/>
  <c r="K69" i="3"/>
  <c r="K68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J66" i="2"/>
  <c r="O20" i="1" l="1"/>
</calcChain>
</file>

<file path=xl/sharedStrings.xml><?xml version="1.0" encoding="utf-8"?>
<sst xmlns="http://schemas.openxmlformats.org/spreadsheetml/2006/main" count="1368" uniqueCount="434">
  <si>
    <t>SHS &amp; Behavior disorders</t>
  </si>
  <si>
    <t>Reference</t>
  </si>
  <si>
    <t>LCI</t>
  </si>
  <si>
    <t>UCI</t>
  </si>
  <si>
    <t>n</t>
  </si>
  <si>
    <t xml:space="preserve"> </t>
  </si>
  <si>
    <t>Exposure</t>
  </si>
  <si>
    <t>Mental Health Assessment</t>
  </si>
  <si>
    <t>Outcome</t>
  </si>
  <si>
    <t>Age Range</t>
  </si>
  <si>
    <t>OR</t>
  </si>
  <si>
    <t>SE</t>
  </si>
  <si>
    <t>V</t>
  </si>
  <si>
    <t xml:space="preserve"> postnatal</t>
  </si>
  <si>
    <t>Strength and Difficulties Questionnaire (SDQ)</t>
  </si>
  <si>
    <t xml:space="preserve"> ADHD</t>
  </si>
  <si>
    <t>10 yrs</t>
  </si>
  <si>
    <t xml:space="preserve"> general postnatal</t>
  </si>
  <si>
    <t>Teacher Report Form (TRF) and the Disruptive Behavior Disorders Rating Scale (DBD</t>
  </si>
  <si>
    <t>ADHD</t>
  </si>
  <si>
    <t>11 yrs</t>
  </si>
  <si>
    <t xml:space="preserve"> &lt;1hr/day</t>
  </si>
  <si>
    <t>Strengths and Difficulties Questionnaire (SDQ).</t>
  </si>
  <si>
    <t>4-12 yrs</t>
  </si>
  <si>
    <t xml:space="preserve"> &gt;1hr/ day</t>
  </si>
  <si>
    <t>Tawardella 2010-2</t>
  </si>
  <si>
    <t>5-6 yrs</t>
  </si>
  <si>
    <t>Tawardella 2010-1</t>
  </si>
  <si>
    <t>Joo 2017-2</t>
  </si>
  <si>
    <t>postnatal</t>
  </si>
  <si>
    <t>the K-ARS score, Attentiondeficit Diagnosis System score (≥60), and DSM-IV criteria.</t>
  </si>
  <si>
    <t>6-10 yrs</t>
  </si>
  <si>
    <t>Joo 2017-1</t>
  </si>
  <si>
    <t>urine cotintine</t>
  </si>
  <si>
    <t>Cho 2013-3</t>
  </si>
  <si>
    <t>DSM-IV- parent report</t>
  </si>
  <si>
    <t>8-11 yrs</t>
  </si>
  <si>
    <t>Cho 2013-6</t>
  </si>
  <si>
    <t>DSM-IV- teacher report</t>
  </si>
  <si>
    <t>Joo 2017-8</t>
  </si>
  <si>
    <t>Joo 2017-7</t>
  </si>
  <si>
    <t>Cho 2013-2</t>
  </si>
  <si>
    <t>Cho 2013-5</t>
  </si>
  <si>
    <t>Cho 2013-1</t>
  </si>
  <si>
    <t>Cho 2013-4</t>
  </si>
  <si>
    <t>Joo 2017-5</t>
  </si>
  <si>
    <t>ADHD inattention</t>
  </si>
  <si>
    <t>Joo 2017-4</t>
  </si>
  <si>
    <t>Lower CI</t>
  </si>
  <si>
    <t xml:space="preserve">Upper CI </t>
  </si>
  <si>
    <t>Park 2016-7</t>
  </si>
  <si>
    <t>blood Pb</t>
  </si>
  <si>
    <t>ADHD rating scale</t>
  </si>
  <si>
    <t>6-12 yrs</t>
  </si>
  <si>
    <t>DSM-IV</t>
  </si>
  <si>
    <t>3-5 yrs</t>
  </si>
  <si>
    <t>Zhang 2015-1</t>
  </si>
  <si>
    <t xml:space="preserve"> blood Pb (&lt;10 ug/dl)</t>
  </si>
  <si>
    <t>3-7 yrs</t>
  </si>
  <si>
    <t>Roy 2009-3</t>
  </si>
  <si>
    <t>CRS-teacher reported</t>
  </si>
  <si>
    <t>Yousef 2011-1</t>
  </si>
  <si>
    <t>DSM-IV; CBCL</t>
  </si>
  <si>
    <t>5-15 yrs</t>
  </si>
  <si>
    <t>Ha 2009-1</t>
  </si>
  <si>
    <t>blood Pb (1-&lt;1.5ug/dl)</t>
  </si>
  <si>
    <t>CRS- parent reported</t>
  </si>
  <si>
    <t>Ha 2009-2</t>
  </si>
  <si>
    <t>blood Pb (1.5-&lt;2.5ug/dl)</t>
  </si>
  <si>
    <t>Ha 2009-3</t>
  </si>
  <si>
    <t>blood Pb (2.5-&lt;3.5ug/dl)</t>
  </si>
  <si>
    <t>Ha 2009-4</t>
  </si>
  <si>
    <t>blood Pb (3.5+ug/dl)</t>
  </si>
  <si>
    <t>Joo 2017-10</t>
  </si>
  <si>
    <t>Park 2016-1</t>
  </si>
  <si>
    <t>DSM-IV diagnosis</t>
  </si>
  <si>
    <t>Park 2016-2</t>
  </si>
  <si>
    <t>blood Pb (1.13-1.71 ug/dl)</t>
  </si>
  <si>
    <t>Park 2016-3</t>
  </si>
  <si>
    <t>blood Pb (1.72-2.29 ug/dl)</t>
  </si>
  <si>
    <t>Park 2016-4</t>
  </si>
  <si>
    <t>blood Pb (2.3-5.35 ug/dl)</t>
  </si>
  <si>
    <t>Huang 2016-3</t>
  </si>
  <si>
    <t>CRS-R</t>
  </si>
  <si>
    <t>6-13 yrs</t>
  </si>
  <si>
    <t>blood Pb (5-10 ug/dl)</t>
  </si>
  <si>
    <t>DSM-IV-R</t>
  </si>
  <si>
    <t>10-12 yrs</t>
  </si>
  <si>
    <t>blood Pb (&gt;10 ug/dl)</t>
  </si>
  <si>
    <t xml:space="preserve">Wang 2008-1 </t>
  </si>
  <si>
    <t>Wang 2008-2</t>
  </si>
  <si>
    <t>Wang 2008-7</t>
  </si>
  <si>
    <t xml:space="preserve">4-6 yrs </t>
  </si>
  <si>
    <t>Wang 2008-8</t>
  </si>
  <si>
    <t>7-9 yrs</t>
  </si>
  <si>
    <t>Attention-Deficit Hyperactivity Disorder Rating Scale (T-ARS)-IV</t>
  </si>
  <si>
    <t>8-10 yrs</t>
  </si>
  <si>
    <t>Joo 2017-12</t>
  </si>
  <si>
    <t>ADHD - Hyp/Imp</t>
  </si>
  <si>
    <t>CRS-S DSM-IV</t>
  </si>
  <si>
    <t>Nigg 2010-1</t>
  </si>
  <si>
    <t>CRS-R- teacher reported</t>
  </si>
  <si>
    <t>6-17 yrs</t>
  </si>
  <si>
    <t>Nigg 2010-2</t>
  </si>
  <si>
    <t>CRS-R- parent reported</t>
  </si>
  <si>
    <t>Nigg 2010-3</t>
  </si>
  <si>
    <t>ADHD rating scale- teacher reported</t>
  </si>
  <si>
    <t>Boucher 2012-8</t>
  </si>
  <si>
    <t>blood Pb (1.6-2.7 ug/dL)</t>
  </si>
  <si>
    <t>DSM-IV DBD scale</t>
  </si>
  <si>
    <t>8-14 yrs</t>
  </si>
  <si>
    <t>Boucher 2012-9</t>
  </si>
  <si>
    <t>blood Pb (2.7-12.8ug/dL)</t>
  </si>
  <si>
    <t>DSM-IV - teacher reported</t>
  </si>
  <si>
    <t>Park 2016-6</t>
  </si>
  <si>
    <t>ADHD - Hyp</t>
  </si>
  <si>
    <t>Huang 2016-2</t>
  </si>
  <si>
    <t>ADHD - Inat</t>
  </si>
  <si>
    <t>Joo 2017-11</t>
  </si>
  <si>
    <t>Park 2016-5</t>
  </si>
  <si>
    <t>Huang 2016-1</t>
  </si>
  <si>
    <t>Conner's Rating Scales-Revised (CRS-R)</t>
  </si>
  <si>
    <t>Huang 2016-5</t>
  </si>
  <si>
    <t>Boucher 2012-7</t>
  </si>
  <si>
    <t>Boucher 2012-3</t>
  </si>
  <si>
    <t>chidhood blood Pb</t>
  </si>
  <si>
    <t>CBCL DSM-IV (TRF)</t>
  </si>
  <si>
    <t>ADHD attention problems</t>
  </si>
  <si>
    <t>Kim 2010-1</t>
  </si>
  <si>
    <t>Huang 2016-4</t>
  </si>
  <si>
    <t>Wang 2008-5</t>
  </si>
  <si>
    <t>Wang 2008-6</t>
  </si>
  <si>
    <t>Wang 2008-3</t>
  </si>
  <si>
    <t>Wang 2008-4</t>
  </si>
  <si>
    <t>Ha 2009-6</t>
  </si>
  <si>
    <t>Ha 2009-7</t>
  </si>
  <si>
    <t>childhood- blood hg (1.5-&lt;2.5ug/dl)</t>
  </si>
  <si>
    <t>Ha 2009-8</t>
  </si>
  <si>
    <t>childhood- blood Hg (2.5-&lt;3.5ug/dl)</t>
  </si>
  <si>
    <t>Ha 2009-9</t>
  </si>
  <si>
    <t>childhood- blood Hg (3.5-&lt;4.5ug/dl)</t>
  </si>
  <si>
    <t>childhood- blood Hg' (4.5+ug/dl)</t>
  </si>
  <si>
    <t>Yousef 2011-2</t>
  </si>
  <si>
    <t>childhood blood Hg</t>
  </si>
  <si>
    <t>Boucher 2012-1</t>
  </si>
  <si>
    <t>Boucher 2012-4</t>
  </si>
  <si>
    <t>blood Hg (11.4-22.7 ug/L)</t>
  </si>
  <si>
    <t>Boucher 2012-5</t>
  </si>
  <si>
    <t>Blood Hg (22.9-99.3 ug/L)</t>
  </si>
  <si>
    <t>ADHD inattetnion</t>
  </si>
  <si>
    <t>ADHD hyperactive/impulsive</t>
  </si>
  <si>
    <t>Bouchard 2007-2</t>
  </si>
  <si>
    <t>childhood hair Mn</t>
  </si>
  <si>
    <t>hyperactivity</t>
  </si>
  <si>
    <t>6-15 yrs</t>
  </si>
  <si>
    <t>Bouchard 2007-3</t>
  </si>
  <si>
    <t>Inattention</t>
  </si>
  <si>
    <t>ADHD index</t>
  </si>
  <si>
    <t>Oulhote 2014-1</t>
  </si>
  <si>
    <t xml:space="preserve">CRS-P, DSM IV </t>
  </si>
  <si>
    <t>hyperactivity/impulsiviity</t>
  </si>
  <si>
    <t>6-13 yras</t>
  </si>
  <si>
    <t>Oulhote 2014-2</t>
  </si>
  <si>
    <t xml:space="preserve">CRS-T , DSM IV </t>
  </si>
  <si>
    <t>6-13yrs</t>
  </si>
  <si>
    <t>Childhood BPA &amp; phthalates Exposure &amp; Behavior disorders</t>
  </si>
  <si>
    <t>Sex</t>
  </si>
  <si>
    <t>Li 2018-1</t>
  </si>
  <si>
    <t>BPA</t>
  </si>
  <si>
    <t>DSM5 CBCL (2nd quartile)</t>
  </si>
  <si>
    <t>m+f</t>
  </si>
  <si>
    <t>Li 2018-2</t>
  </si>
  <si>
    <t>DSM5 CBCL (3rd quartile)</t>
  </si>
  <si>
    <t>Li 2018-3</t>
  </si>
  <si>
    <t>DSM5 CBCL (4th quartile)</t>
  </si>
  <si>
    <t>Li 2018-4</t>
  </si>
  <si>
    <t>DSM5 CBCL (all)</t>
  </si>
  <si>
    <t>DSM-IV- (both sexes)</t>
  </si>
  <si>
    <t>8-15 yrs</t>
  </si>
  <si>
    <t>MBP</t>
  </si>
  <si>
    <t>CBCL</t>
  </si>
  <si>
    <t>7-11 yrs</t>
  </si>
  <si>
    <t>Won 2016-16</t>
  </si>
  <si>
    <t>MBzP</t>
  </si>
  <si>
    <t>Korean CBCL (both sexes)</t>
  </si>
  <si>
    <t>6-18 yrs</t>
  </si>
  <si>
    <t>Won 2016-20</t>
  </si>
  <si>
    <t>12-18 yrs</t>
  </si>
  <si>
    <t>Won 2016-19</t>
  </si>
  <si>
    <t>6-11 yrs</t>
  </si>
  <si>
    <t>MECPP</t>
  </si>
  <si>
    <t>MEHHP</t>
  </si>
  <si>
    <t>MEHP</t>
  </si>
  <si>
    <t>MEOHP</t>
  </si>
  <si>
    <t>Hu 2017-7</t>
  </si>
  <si>
    <t>MEP</t>
  </si>
  <si>
    <t>Hu 2017-2</t>
  </si>
  <si>
    <t>MMP</t>
  </si>
  <si>
    <t>MnBP</t>
  </si>
  <si>
    <t>m</t>
  </si>
  <si>
    <t>7 yrs</t>
  </si>
  <si>
    <t>DSM-IV- teacher reported (boys)</t>
  </si>
  <si>
    <t>Li 2018-5</t>
  </si>
  <si>
    <t>DSM5 CBCL (boys)</t>
  </si>
  <si>
    <t>Li 2018-7</t>
  </si>
  <si>
    <t>DSM5 CBCL (2nd quartile) boys</t>
  </si>
  <si>
    <t>Li 2018-8</t>
  </si>
  <si>
    <t>DSM5 CBCL (3rd quartile) boys</t>
  </si>
  <si>
    <t>Li 2018-9</t>
  </si>
  <si>
    <t>DSM5 CBCL (4th quartile) boys</t>
  </si>
  <si>
    <t>DSM-IV- (boys)</t>
  </si>
  <si>
    <t>BASC-2 - mother reported (boys)</t>
  </si>
  <si>
    <t>BASC-2 - teacher reported (boys)</t>
  </si>
  <si>
    <t>Tewar 2016-5</t>
  </si>
  <si>
    <t>Tewar 2016-4</t>
  </si>
  <si>
    <t>Won 2016-17</t>
  </si>
  <si>
    <t>Korean CBCL (males)</t>
  </si>
  <si>
    <t>f</t>
  </si>
  <si>
    <t>DSM-IV- teacher reported (girls)</t>
  </si>
  <si>
    <t>Li 2018-6</t>
  </si>
  <si>
    <t>DSM5 CBCL (girls)</t>
  </si>
  <si>
    <t>Li 2018-10</t>
  </si>
  <si>
    <t>DSM5 CBCL (2nd quartile) girls</t>
  </si>
  <si>
    <t>Li 2018-11</t>
  </si>
  <si>
    <t>DSM5 CBCL (3rd quartile) girls</t>
  </si>
  <si>
    <t>Li 2018-12</t>
  </si>
  <si>
    <t>DSM5 CBCL (4th quartile) girls</t>
  </si>
  <si>
    <t>Tewar 2016-3</t>
  </si>
  <si>
    <t>DSM-IV- (girls)</t>
  </si>
  <si>
    <t>BASC-2 - mother reported (girls)</t>
  </si>
  <si>
    <t>BASC-2 - teacher reported (girls)</t>
  </si>
  <si>
    <t>Tewar 2016-2</t>
  </si>
  <si>
    <t>Tewar 2016-1</t>
  </si>
  <si>
    <t>Won 2016-18</t>
  </si>
  <si>
    <t>Korean CBCL (females)</t>
  </si>
  <si>
    <t>OC Class</t>
  </si>
  <si>
    <t>ADHD- Inat</t>
  </si>
  <si>
    <t>ADHD-Hyp/Imp</t>
  </si>
  <si>
    <t>OP</t>
  </si>
  <si>
    <t>Yu 2016-1</t>
  </si>
  <si>
    <t>urinary metabolites- DMP [mod]</t>
  </si>
  <si>
    <t xml:space="preserve">DSM_IV </t>
  </si>
  <si>
    <t>4-15 yrs</t>
  </si>
  <si>
    <t>Yu 2016-2</t>
  </si>
  <si>
    <t>urinary metabolites- DMP [high]</t>
  </si>
  <si>
    <t>Yu 2016-3</t>
  </si>
  <si>
    <t>urinary metabolites- DMTP [mod]</t>
  </si>
  <si>
    <t>Yu 2016-4</t>
  </si>
  <si>
    <t>urinary metabolites- DMTP [high]</t>
  </si>
  <si>
    <t>Yu 2016-5</t>
  </si>
  <si>
    <t>urinary metabolites- DMDTP [mod]</t>
  </si>
  <si>
    <t>Yu 2016-6</t>
  </si>
  <si>
    <t>urinary metabolites- DMDTP [high]</t>
  </si>
  <si>
    <t>Yu 2016-7</t>
  </si>
  <si>
    <t>urinary metabolites- DEP [mod]</t>
  </si>
  <si>
    <t>Yu 2016-8</t>
  </si>
  <si>
    <t>urinary metabolites- DEP [high]</t>
  </si>
  <si>
    <t>Yu 2016-9</t>
  </si>
  <si>
    <t>urinary metabolites- DETP [mod]</t>
  </si>
  <si>
    <t>Yu 2016-10</t>
  </si>
  <si>
    <t>urinary metabolites- DETP [high]</t>
  </si>
  <si>
    <t>Yu 2016-11</t>
  </si>
  <si>
    <t>urinary metabolites- DEDTP [mod]</t>
  </si>
  <si>
    <t>Yu 2016-12</t>
  </si>
  <si>
    <t>urinary metabolites- DEDTP [high]</t>
  </si>
  <si>
    <t>PCB</t>
  </si>
  <si>
    <t>Newman 2014-1</t>
  </si>
  <si>
    <t>blood measurements</t>
  </si>
  <si>
    <t>DSM_IV ADDES (parent)</t>
  </si>
  <si>
    <t>10-17 yrs</t>
  </si>
  <si>
    <t>Newman 2014-3</t>
  </si>
  <si>
    <t>DSM_IV ADDES (teacher(</t>
  </si>
  <si>
    <t>Newman 2014-7</t>
  </si>
  <si>
    <t>DSM_IV CRS (teacher)</t>
  </si>
  <si>
    <t>Boucher 2012-2</t>
  </si>
  <si>
    <t>CBCL (TRF)</t>
  </si>
  <si>
    <t>Newman 2014-6</t>
  </si>
  <si>
    <t>DSM_IV CRS (parent)</t>
  </si>
  <si>
    <t>ADHD-Hyp</t>
  </si>
  <si>
    <t>Newman 2014-9</t>
  </si>
  <si>
    <t>Newman 2014-2</t>
  </si>
  <si>
    <t>Newman 2014-4</t>
  </si>
  <si>
    <t>Newman 2014-5</t>
  </si>
  <si>
    <t>Newman 2014-8</t>
  </si>
  <si>
    <t>Desrosiers 2013-1</t>
  </si>
  <si>
    <t>Tiesler 2011-1</t>
  </si>
  <si>
    <t>Desrosiers 2013-2</t>
  </si>
  <si>
    <t>Padron 2016-1</t>
  </si>
  <si>
    <t>Padron 2016-2</t>
  </si>
  <si>
    <t>parent smoked outside of home (ow/med)</t>
  </si>
  <si>
    <t>&gt;1 cigg/day in child's presence (high)</t>
  </si>
  <si>
    <t>blood Pb (0.18 - 5.35 (ALL) ug/dl)</t>
  </si>
  <si>
    <t>Liu 2014-2</t>
  </si>
  <si>
    <t>DSM-IV (teacher)</t>
  </si>
  <si>
    <t>Liu 2014-1</t>
  </si>
  <si>
    <t>Roy 2009-1</t>
  </si>
  <si>
    <t>Roy 2009-2</t>
  </si>
  <si>
    <t>Nigg 2010-4</t>
  </si>
  <si>
    <t>Boucher 2012-10</t>
  </si>
  <si>
    <t>Bouchard 2007-1</t>
  </si>
  <si>
    <t>childhood blood PCB 153</t>
  </si>
  <si>
    <t xml:space="preserve">ADHD </t>
  </si>
  <si>
    <t>Hu 2017-1</t>
  </si>
  <si>
    <t>Hu 2017-3</t>
  </si>
  <si>
    <t>Hu 2017-4</t>
  </si>
  <si>
    <t>Hu 2017-5</t>
  </si>
  <si>
    <t>Hu 2017-6</t>
  </si>
  <si>
    <t>Won 2016-1</t>
  </si>
  <si>
    <t>Won 2016-2</t>
  </si>
  <si>
    <t>Won 2016-3</t>
  </si>
  <si>
    <t>Won 2016-4</t>
  </si>
  <si>
    <t>Won 2016-5</t>
  </si>
  <si>
    <t>Won 2016-6</t>
  </si>
  <si>
    <t>Won 2016-7</t>
  </si>
  <si>
    <t>Won 2016-8</t>
  </si>
  <si>
    <t>Won 2016-9</t>
  </si>
  <si>
    <t>Won 2016-10</t>
  </si>
  <si>
    <t>Won 2016-11</t>
  </si>
  <si>
    <t>Won 2016-12</t>
  </si>
  <si>
    <t>Won 2016-13</t>
  </si>
  <si>
    <t>Won 2016-14</t>
  </si>
  <si>
    <t>Won 2016-15</t>
  </si>
  <si>
    <t>Won 2016-21</t>
  </si>
  <si>
    <t>Won 2016-22</t>
  </si>
  <si>
    <t>Won 2016-23</t>
  </si>
  <si>
    <t>Won 2016-24</t>
  </si>
  <si>
    <t>Won 2016-25</t>
  </si>
  <si>
    <t>Harley 2013-1</t>
  </si>
  <si>
    <t>Harley 2013-2</t>
  </si>
  <si>
    <t>Harley 2013-3</t>
  </si>
  <si>
    <t>Harley 2013-4</t>
  </si>
  <si>
    <t>DSM-IV-CADS mother reported (boys)</t>
  </si>
  <si>
    <t>Harley 2013-7</t>
  </si>
  <si>
    <t>Harley 2013-5</t>
  </si>
  <si>
    <t>DSM-IV- CADS mother reported (boys)</t>
  </si>
  <si>
    <t>Harley 2013-6</t>
  </si>
  <si>
    <t>DSM-IV- CADS mother reported (girls)</t>
  </si>
  <si>
    <t>Harley 2013-10</t>
  </si>
  <si>
    <t>DSM-IV-CADS mother reported (girls)</t>
  </si>
  <si>
    <t>Harley 2013-9</t>
  </si>
  <si>
    <t>Harley 2013-8</t>
  </si>
  <si>
    <t>Harley 2013-11</t>
  </si>
  <si>
    <t>Harley 2013-12</t>
  </si>
  <si>
    <t>DSM-IV- CADSteacher reported (boys)</t>
  </si>
  <si>
    <t>Harley 2013-13</t>
  </si>
  <si>
    <t>Harley 2013-14</t>
  </si>
  <si>
    <t>DSM-IV- CADS teacher reported (boys)</t>
  </si>
  <si>
    <t>Harley 2013-15</t>
  </si>
  <si>
    <t>Harley 2013-16</t>
  </si>
  <si>
    <t>Harley 2013-17</t>
  </si>
  <si>
    <t>DSM-IV- CADS teacher reported (girls)</t>
  </si>
  <si>
    <t>Harley 2013-18</t>
  </si>
  <si>
    <t>Harley 2013-19</t>
  </si>
  <si>
    <t>Harley 2013-20</t>
  </si>
  <si>
    <t>8-12 yrs</t>
  </si>
  <si>
    <t>Nicolescu 2010-1</t>
  </si>
  <si>
    <t>parents</t>
  </si>
  <si>
    <t>teachers</t>
  </si>
  <si>
    <t>Nicolescu 2010-2</t>
  </si>
  <si>
    <t>Nicolescu 2010-3</t>
  </si>
  <si>
    <t>Nicolescu 2010-4</t>
  </si>
  <si>
    <t>Nicolescu 2010-5</t>
  </si>
  <si>
    <t>Nicolescu 2010-6</t>
  </si>
  <si>
    <t>Nicolescu 2010-7</t>
  </si>
  <si>
    <t>Nicolescu 2010-8</t>
  </si>
  <si>
    <t>ADHD-Inat</t>
  </si>
  <si>
    <t>ADHD - Imp</t>
  </si>
  <si>
    <t>DSM ADHD</t>
  </si>
  <si>
    <t>Boucher 2012-6</t>
  </si>
  <si>
    <t>DSM Control</t>
  </si>
  <si>
    <t>Yousef-3</t>
  </si>
  <si>
    <t>blood mn</t>
  </si>
  <si>
    <t>Manganese</t>
  </si>
  <si>
    <t>Mercury</t>
  </si>
  <si>
    <t>Quiros-alcala 2014-1</t>
  </si>
  <si>
    <t>Pyre</t>
  </si>
  <si>
    <t>urine 3-PBA</t>
  </si>
  <si>
    <t>DSM Iv</t>
  </si>
  <si>
    <t>Wagner-Schuman 2015-1</t>
  </si>
  <si>
    <t>Wagner-Schuman 2015-2</t>
  </si>
  <si>
    <t>Xu-2011-1</t>
  </si>
  <si>
    <t>TCP</t>
  </si>
  <si>
    <t>urine 2,4,5-TCP (&lt;1.03 ug/g)</t>
  </si>
  <si>
    <r>
      <t>urine 2,4,5-TCP (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>1.03 ug/g)</t>
    </r>
  </si>
  <si>
    <t>urine 2,4,6-TCP (&lt;3.58 ug/g)</t>
  </si>
  <si>
    <r>
      <t>urine 2,4,6-TCP (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>3.58 ug/g)</t>
    </r>
  </si>
  <si>
    <t>DSM parent report</t>
  </si>
  <si>
    <t>Xu-2011-2</t>
  </si>
  <si>
    <t>Xu-2011-3</t>
  </si>
  <si>
    <t>Xu-2011-4</t>
  </si>
  <si>
    <t>CRS-R DSM</t>
  </si>
  <si>
    <t>Metal</t>
  </si>
  <si>
    <t>Pb</t>
  </si>
  <si>
    <t>Hg</t>
  </si>
  <si>
    <t>Mn</t>
  </si>
  <si>
    <t>Prental Metal Exposure &amp; ADHD</t>
  </si>
  <si>
    <t>Childhood PhPl Exposure &amp; ADHD</t>
  </si>
  <si>
    <t>Variance</t>
  </si>
  <si>
    <t>Upper Confidence intervaL</t>
  </si>
  <si>
    <t>Teacher Report form</t>
  </si>
  <si>
    <t>TRF</t>
  </si>
  <si>
    <t>Trichloropropane</t>
  </si>
  <si>
    <t>Standard Error</t>
  </si>
  <si>
    <t>Strengths and Difficulties Questionare</t>
  </si>
  <si>
    <t>SDQ</t>
  </si>
  <si>
    <t>Quality Assurance</t>
  </si>
  <si>
    <t>QA</t>
  </si>
  <si>
    <t>Pyrethriod pestcides</t>
  </si>
  <si>
    <t>polycholorinate biphenyls</t>
  </si>
  <si>
    <t>Lead</t>
  </si>
  <si>
    <t>Odds Ratio</t>
  </si>
  <si>
    <t>Oraganophosphate pesticides</t>
  </si>
  <si>
    <t>Organic Contaminants</t>
  </si>
  <si>
    <t>OC</t>
  </si>
  <si>
    <t>Mono-n-butyl phthalate </t>
  </si>
  <si>
    <t>Mono-methyl phthalate</t>
  </si>
  <si>
    <t>Mono-ethyl phthalate</t>
  </si>
  <si>
    <t>Mono-(2-ethyl-5-oxohexyl) phthalate</t>
  </si>
  <si>
    <t>Mono-ethyl-hexyl phthalate</t>
  </si>
  <si>
    <t>Mono(2-ethyl-5-hydroxyhexyl) phthalate</t>
  </si>
  <si>
    <t>Mono(2-ethyl-5-carboxypentyl) phthalate </t>
  </si>
  <si>
    <t>Monobenzyl phthalate</t>
  </si>
  <si>
    <t>Mono-n-butyl-phthalate</t>
  </si>
  <si>
    <t>lLower Confidence Interval</t>
  </si>
  <si>
    <t>Diagnostic and Statistical Manual of Mental Disorders</t>
  </si>
  <si>
    <t>DSM</t>
  </si>
  <si>
    <t>Child Behavior Check List</t>
  </si>
  <si>
    <t>Bisphenol A</t>
  </si>
  <si>
    <t>Inattentive</t>
  </si>
  <si>
    <t>Hyperactive/Impulsive</t>
  </si>
  <si>
    <t>Hyperative</t>
  </si>
  <si>
    <t>Attention Deficient Hyperactivity Disorder</t>
  </si>
  <si>
    <t>Definition</t>
  </si>
  <si>
    <t>Abbreviation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</si>
</sst>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2" fontId="0" fillId="0" borderId="0" xfId="0" applyNumberFormat="1"/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SHS Ciggarette Exposure &amp; ADHD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'[1]T-SHS'!$J$3</c:f>
              <c:strCache>
                <c:ptCount val="1"/>
                <c:pt idx="0">
                  <c:v>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'[1]T-SHS'!$P$4:$P$25</c:f>
                <c:numCache>
                  <c:formatCode>General</c:formatCode>
                  <c:ptCount val="22"/>
                  <c:pt idx="0">
                    <c:v>0.67999999999999994</c:v>
                  </c:pt>
                  <c:pt idx="2">
                    <c:v>1.78</c:v>
                  </c:pt>
                  <c:pt idx="3">
                    <c:v>1.2000000000000002</c:v>
                  </c:pt>
                  <c:pt idx="4">
                    <c:v>-0.54000000000000026</c:v>
                  </c:pt>
                  <c:pt idx="5">
                    <c:v>2.9</c:v>
                  </c:pt>
                  <c:pt idx="6">
                    <c:v>1.1399999999999997</c:v>
                  </c:pt>
                  <c:pt idx="7">
                    <c:v>0.42999999999999994</c:v>
                  </c:pt>
                  <c:pt idx="8">
                    <c:v>1.08</c:v>
                  </c:pt>
                  <c:pt idx="9">
                    <c:v>5.9999999999999831E-2</c:v>
                  </c:pt>
                  <c:pt idx="11">
                    <c:v>1.0362541787601587</c:v>
                  </c:pt>
                  <c:pt idx="12">
                    <c:v>1.4249398918223719</c:v>
                  </c:pt>
                  <c:pt idx="13">
                    <c:v>5.76</c:v>
                  </c:pt>
                  <c:pt idx="14">
                    <c:v>0.10999999999999988</c:v>
                  </c:pt>
                  <c:pt idx="16">
                    <c:v>0.34560016167341434</c:v>
                  </c:pt>
                  <c:pt idx="17">
                    <c:v>0.42731851253995834</c:v>
                  </c:pt>
                  <c:pt idx="18">
                    <c:v>0.39012126077065035</c:v>
                  </c:pt>
                  <c:pt idx="19">
                    <c:v>0.57464798464982514</c:v>
                  </c:pt>
                  <c:pt idx="20">
                    <c:v>0.9700000000000002</c:v>
                  </c:pt>
                  <c:pt idx="21">
                    <c:v>1.0000000000000009E-2</c:v>
                  </c:pt>
                </c:numCache>
              </c:numRef>
            </c:plus>
            <c:minus>
              <c:numRef>
                <c:f>'[1]T-SHS'!$N$4:$N$25</c:f>
                <c:numCache>
                  <c:formatCode>General</c:formatCode>
                  <c:ptCount val="22"/>
                  <c:pt idx="0">
                    <c:v>0.48</c:v>
                  </c:pt>
                  <c:pt idx="2">
                    <c:v>0.91</c:v>
                  </c:pt>
                  <c:pt idx="3">
                    <c:v>0.7</c:v>
                  </c:pt>
                  <c:pt idx="4">
                    <c:v>0.88000000000000012</c:v>
                  </c:pt>
                  <c:pt idx="5">
                    <c:v>1.5100000000000002</c:v>
                  </c:pt>
                  <c:pt idx="6">
                    <c:v>0.77</c:v>
                  </c:pt>
                  <c:pt idx="7">
                    <c:v>0.33000000000000007</c:v>
                  </c:pt>
                  <c:pt idx="8">
                    <c:v>0.68000000000000016</c:v>
                  </c:pt>
                  <c:pt idx="9">
                    <c:v>7.0000000000000062E-2</c:v>
                  </c:pt>
                  <c:pt idx="11">
                    <c:v>0.63075655332286229</c:v>
                  </c:pt>
                  <c:pt idx="12">
                    <c:v>0.78202359336668126</c:v>
                  </c:pt>
                  <c:pt idx="13">
                    <c:v>2.31</c:v>
                  </c:pt>
                  <c:pt idx="14">
                    <c:v>9.000000000000008E-2</c:v>
                  </c:pt>
                  <c:pt idx="16">
                    <c:v>0.27459094148011243</c:v>
                  </c:pt>
                  <c:pt idx="17">
                    <c:v>0.31656534012421034</c:v>
                  </c:pt>
                  <c:pt idx="18">
                    <c:v>0.30737058542876383</c:v>
                  </c:pt>
                  <c:pt idx="19">
                    <c:v>0.40901738150908917</c:v>
                  </c:pt>
                  <c:pt idx="20">
                    <c:v>0.55000000000000004</c:v>
                  </c:pt>
                  <c:pt idx="21">
                    <c:v>9.000000000000008E-2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'[1]T-SHS'!$J$4:$J$25</c:f>
              <c:numCache>
                <c:formatCode>General</c:formatCode>
                <c:ptCount val="22"/>
                <c:pt idx="0">
                  <c:v>1.59</c:v>
                </c:pt>
                <c:pt idx="2">
                  <c:v>1.84</c:v>
                </c:pt>
                <c:pt idx="3">
                  <c:v>1.9</c:v>
                </c:pt>
                <c:pt idx="4">
                  <c:v>2.1800000000000002</c:v>
                </c:pt>
                <c:pt idx="5">
                  <c:v>3.14</c:v>
                </c:pt>
                <c:pt idx="6">
                  <c:v>2.39</c:v>
                </c:pt>
                <c:pt idx="7">
                  <c:v>1.35</c:v>
                </c:pt>
                <c:pt idx="8">
                  <c:v>1.83</c:v>
                </c:pt>
                <c:pt idx="9">
                  <c:v>1.1000000000000001</c:v>
                </c:pt>
                <c:pt idx="11">
                  <c:v>1.6820276496988864</c:v>
                </c:pt>
                <c:pt idx="12">
                  <c:v>1.7332530178673953</c:v>
                </c:pt>
                <c:pt idx="13">
                  <c:v>3.85</c:v>
                </c:pt>
                <c:pt idx="14">
                  <c:v>1.06</c:v>
                </c:pt>
                <c:pt idx="16">
                  <c:v>1.3364274880254721</c:v>
                </c:pt>
                <c:pt idx="17">
                  <c:v>1.2214027581601699</c:v>
                </c:pt>
                <c:pt idx="18">
                  <c:v>1.2586000099294778</c:v>
                </c:pt>
                <c:pt idx="19">
                  <c:v>1.4190675485932571</c:v>
                </c:pt>
                <c:pt idx="20">
                  <c:v>1.27</c:v>
                </c:pt>
                <c:pt idx="21">
                  <c:v>1.1100000000000001</c:v>
                </c:pt>
              </c:numCache>
            </c:numRef>
          </c:xVal>
          <c:yVal>
            <c:numRef>
              <c:f>'[1]T-SHS'!$A$4:$A$27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B-4DF1-82CE-862988F29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512224"/>
        <c:axId val="409511240"/>
      </c:scatterChart>
      <c:valAx>
        <c:axId val="409512224"/>
        <c:scaling>
          <c:logBase val="10"/>
          <c:orientation val="minMax"/>
          <c:max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Odds Ratio (OR)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11240"/>
        <c:crosses val="autoZero"/>
        <c:crossBetween val="midCat"/>
        <c:majorUnit val="10"/>
      </c:valAx>
      <c:valAx>
        <c:axId val="409511240"/>
        <c:scaling>
          <c:orientation val="minMax"/>
          <c:max val="26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Reference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12224"/>
        <c:crossesAt val="1.0000000000000002E-2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SHS Ciggarette Exposure &amp; Conduct Disordesr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'[1]T-SHS'!$J$3</c:f>
              <c:strCache>
                <c:ptCount val="1"/>
                <c:pt idx="0">
                  <c:v>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'[1]T-SHS'!$P$34</c:f>
                <c:numCache>
                  <c:formatCode>General</c:formatCode>
                  <c:ptCount val="1"/>
                  <c:pt idx="0">
                    <c:v>2.4099999999999997</c:v>
                  </c:pt>
                </c:numCache>
              </c:numRef>
            </c:plus>
            <c:minus>
              <c:numRef>
                <c:f>'[1]T-SHS'!$N$34</c:f>
                <c:numCache>
                  <c:formatCode>General</c:formatCode>
                  <c:ptCount val="1"/>
                  <c:pt idx="0">
                    <c:v>1.05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'[1]T-SHS'!$J$34</c:f>
              <c:numCache>
                <c:formatCode>General</c:formatCode>
                <c:ptCount val="1"/>
                <c:pt idx="0">
                  <c:v>1.85</c:v>
                </c:pt>
              </c:numCache>
            </c:numRef>
          </c:xVal>
          <c:yVal>
            <c:numRef>
              <c:f>'T-SHS'!#REF!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1-4673-AA35-8071238E0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512224"/>
        <c:axId val="409511240"/>
      </c:scatterChart>
      <c:valAx>
        <c:axId val="409512224"/>
        <c:scaling>
          <c:logBase val="10"/>
          <c:orientation val="minMax"/>
          <c:max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Odds Ratio (OR)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11240"/>
        <c:crosses val="autoZero"/>
        <c:crossBetween val="midCat"/>
        <c:majorUnit val="10"/>
      </c:valAx>
      <c:valAx>
        <c:axId val="409511240"/>
        <c:scaling>
          <c:orientation val="minMax"/>
          <c:max val="41"/>
          <c:min val="2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Reference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12224"/>
        <c:crossesAt val="1.0000000000000002E-2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121920</xdr:colOff>
      <xdr:row>71</xdr:row>
      <xdr:rowOff>137160</xdr:rowOff>
    </xdr:from>
    <xdr:to>
      <xdr:col>18</xdr:col>
      <xdr:colOff>0</xdr:colOff>
      <xdr:row>122</xdr:row>
      <xdr:rowOff>29995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342286-EA8C-4305-8C19-DC0855CF2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71</xdr:row>
      <xdr:rowOff>137160</xdr:rowOff>
    </xdr:from>
    <xdr:to>
      <xdr:col>19</xdr:col>
      <xdr:colOff>0</xdr:colOff>
      <xdr:row>122</xdr:row>
      <xdr:rowOff>29995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A2CD07-5F17-46BA-B210-D614059D1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0.43654</cdr:x>
      <cdr:y>0.04469</cdr:y>
    </cdr:from>
    <cdr:to>
      <cdr:x>0.43961</cdr:x>
      <cdr:y>0.93884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03853A7-07E9-44E5-8986-A1008CDF07E0}"/>
            </a:ext>
          </a:extLst>
        </cdr:cNvPr>
        <cdr:cNvCxnSpPr/>
      </cdr:nvCxnSpPr>
      <cdr:spPr>
        <a:xfrm xmlns:a="http://schemas.openxmlformats.org/drawingml/2006/main" flipV="1">
          <a:off x="2164084" y="411992"/>
          <a:ext cx="15219" cy="824380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0.43039</cdr:x>
      <cdr:y>0.04634</cdr:y>
    </cdr:from>
    <cdr:to>
      <cdr:x>0.43346</cdr:x>
      <cdr:y>0.94049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03853A7-07E9-44E5-8986-A1008CDF07E0}"/>
            </a:ext>
          </a:extLst>
        </cdr:cNvPr>
        <cdr:cNvCxnSpPr/>
      </cdr:nvCxnSpPr>
      <cdr:spPr>
        <a:xfrm xmlns:a="http://schemas.openxmlformats.org/drawingml/2006/main" flipV="1">
          <a:off x="2133612" y="427232"/>
          <a:ext cx="15219" cy="824380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sepa-my.sharepoint.com/personal/nilsen_frances_epa_gov/Documents/Profile/Documents/Exposure%20Data-Childhood%20ADH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sepa-my.sharepoint.com/personal/nilsen_frances_epa_gov/Documents/FNilsen/Exposure%20Data-Childhood%20ADH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-prenatal"/>
      <sheetName val="T-SHS"/>
      <sheetName val="Metals-childhood"/>
      <sheetName val="Plasticizers-childhood"/>
      <sheetName val="Ocs-childhood"/>
      <sheetName val="studies without needed data"/>
      <sheetName val="Plasticizers-prenatal"/>
      <sheetName val="A-prenatal"/>
      <sheetName val="PlasticizersOCs-Converted data"/>
      <sheetName val="Metals-Converted data"/>
      <sheetName val="T-Converted data"/>
      <sheetName val="C-Converted data"/>
      <sheetName val="A-Converted data"/>
    </sheetNames>
    <sheetDataSet>
      <sheetData sheetId="0"/>
      <sheetData sheetId="1">
        <row r="3">
          <cell r="J3" t="str">
            <v>OR</v>
          </cell>
        </row>
        <row r="4">
          <cell r="A4">
            <v>1</v>
          </cell>
          <cell r="J4">
            <v>1.59</v>
          </cell>
          <cell r="N4">
            <v>0.48</v>
          </cell>
          <cell r="P4">
            <v>0.67999999999999994</v>
          </cell>
        </row>
        <row r="5">
          <cell r="A5">
            <v>2</v>
          </cell>
        </row>
        <row r="6">
          <cell r="A6">
            <v>3</v>
          </cell>
          <cell r="J6">
            <v>1.84</v>
          </cell>
          <cell r="N6">
            <v>0.91</v>
          </cell>
          <cell r="P6">
            <v>1.78</v>
          </cell>
        </row>
        <row r="7">
          <cell r="A7">
            <v>4</v>
          </cell>
          <cell r="J7">
            <v>1.9</v>
          </cell>
          <cell r="N7">
            <v>0.7</v>
          </cell>
          <cell r="P7">
            <v>1.2000000000000002</v>
          </cell>
        </row>
        <row r="8">
          <cell r="A8">
            <v>5</v>
          </cell>
          <cell r="J8">
            <v>2.1800000000000002</v>
          </cell>
          <cell r="N8">
            <v>0.88000000000000012</v>
          </cell>
          <cell r="P8">
            <v>-0.54000000000000026</v>
          </cell>
        </row>
        <row r="9">
          <cell r="A9">
            <v>8</v>
          </cell>
          <cell r="J9">
            <v>3.14</v>
          </cell>
          <cell r="N9">
            <v>1.5100000000000002</v>
          </cell>
          <cell r="P9">
            <v>2.9</v>
          </cell>
        </row>
        <row r="10">
          <cell r="A10">
            <v>9</v>
          </cell>
          <cell r="J10">
            <v>2.39</v>
          </cell>
          <cell r="N10">
            <v>0.77</v>
          </cell>
          <cell r="P10">
            <v>1.1399999999999997</v>
          </cell>
        </row>
        <row r="11">
          <cell r="A11">
            <v>10</v>
          </cell>
          <cell r="J11">
            <v>1.35</v>
          </cell>
          <cell r="N11">
            <v>0.33000000000000007</v>
          </cell>
          <cell r="P11">
            <v>0.42999999999999994</v>
          </cell>
        </row>
        <row r="12">
          <cell r="A12">
            <v>11</v>
          </cell>
          <cell r="J12">
            <v>1.83</v>
          </cell>
          <cell r="N12">
            <v>0.68000000000000016</v>
          </cell>
          <cell r="P12">
            <v>1.08</v>
          </cell>
        </row>
        <row r="13">
          <cell r="A13">
            <v>12</v>
          </cell>
          <cell r="J13">
            <v>1.1000000000000001</v>
          </cell>
          <cell r="N13">
            <v>7.0000000000000062E-2</v>
          </cell>
          <cell r="P13">
            <v>5.9999999999999831E-2</v>
          </cell>
        </row>
        <row r="14">
          <cell r="A14">
            <v>13</v>
          </cell>
        </row>
        <row r="15">
          <cell r="A15">
            <v>14</v>
          </cell>
          <cell r="J15">
            <v>1.6820276496988864</v>
          </cell>
          <cell r="N15">
            <v>0.63075655332286229</v>
          </cell>
          <cell r="P15">
            <v>1.0362541787601587</v>
          </cell>
        </row>
        <row r="16">
          <cell r="A16">
            <v>15</v>
          </cell>
          <cell r="J16">
            <v>1.7332530178673953</v>
          </cell>
          <cell r="N16">
            <v>0.78202359336668126</v>
          </cell>
          <cell r="P16">
            <v>1.4249398918223719</v>
          </cell>
        </row>
        <row r="17">
          <cell r="A17">
            <v>16</v>
          </cell>
          <cell r="J17">
            <v>3.85</v>
          </cell>
          <cell r="N17">
            <v>2.31</v>
          </cell>
          <cell r="P17">
            <v>5.76</v>
          </cell>
        </row>
        <row r="18">
          <cell r="A18">
            <v>17</v>
          </cell>
          <cell r="J18">
            <v>1.06</v>
          </cell>
          <cell r="N18">
            <v>9.000000000000008E-2</v>
          </cell>
          <cell r="P18">
            <v>0.10999999999999988</v>
          </cell>
        </row>
        <row r="19">
          <cell r="A19">
            <v>18</v>
          </cell>
        </row>
        <row r="20">
          <cell r="A20">
            <v>19</v>
          </cell>
          <cell r="J20">
            <v>1.3364274880254721</v>
          </cell>
          <cell r="N20">
            <v>0.27459094148011243</v>
          </cell>
          <cell r="P20">
            <v>0.34560016167341434</v>
          </cell>
        </row>
        <row r="21">
          <cell r="A21">
            <v>20</v>
          </cell>
          <cell r="J21">
            <v>1.2214027581601699</v>
          </cell>
          <cell r="N21">
            <v>0.31656534012421034</v>
          </cell>
          <cell r="P21">
            <v>0.42731851253995834</v>
          </cell>
        </row>
        <row r="22">
          <cell r="A22">
            <v>21</v>
          </cell>
          <cell r="J22">
            <v>1.2586000099294778</v>
          </cell>
          <cell r="N22">
            <v>0.30737058542876383</v>
          </cell>
          <cell r="P22">
            <v>0.39012126077065035</v>
          </cell>
        </row>
        <row r="23">
          <cell r="A23">
            <v>23</v>
          </cell>
          <cell r="J23">
            <v>1.4190675485932571</v>
          </cell>
          <cell r="N23">
            <v>0.40901738150908917</v>
          </cell>
          <cell r="P23">
            <v>0.57464798464982514</v>
          </cell>
        </row>
        <row r="24">
          <cell r="A24">
            <v>24</v>
          </cell>
          <cell r="J24">
            <v>1.27</v>
          </cell>
          <cell r="N24">
            <v>0.55000000000000004</v>
          </cell>
          <cell r="P24">
            <v>0.9700000000000002</v>
          </cell>
        </row>
        <row r="25">
          <cell r="A25">
            <v>25</v>
          </cell>
          <cell r="J25">
            <v>1.1100000000000001</v>
          </cell>
          <cell r="N25">
            <v>9.000000000000008E-2</v>
          </cell>
          <cell r="P25">
            <v>1.0000000000000009E-2</v>
          </cell>
        </row>
        <row r="26">
          <cell r="A26">
            <v>26</v>
          </cell>
        </row>
        <row r="27">
          <cell r="A27">
            <v>42</v>
          </cell>
        </row>
        <row r="34">
          <cell r="J34">
            <v>1.85</v>
          </cell>
          <cell r="N34">
            <v>1.05</v>
          </cell>
          <cell r="P34">
            <v>2.4099999999999997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-prenatal"/>
      <sheetName val="T-SHS"/>
      <sheetName val="Metals-childhood"/>
      <sheetName val="Plasticizers-childhood"/>
      <sheetName val="Ocs-childhood"/>
      <sheetName val="studies without needed data"/>
      <sheetName val="Plasticizers-prenatal"/>
      <sheetName val="A-prenatal"/>
      <sheetName val="PlasticizersOCs-Converted data"/>
      <sheetName val="Metals-Converted data"/>
      <sheetName val="T-Converted data"/>
      <sheetName val="C-Converted data"/>
      <sheetName val="A-Converted data"/>
    </sheetNames>
    <sheetDataSet>
      <sheetData sheetId="0"/>
      <sheetData sheetId="1">
        <row r="3">
          <cell r="J3" t="str">
            <v>OR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10</v>
          </cell>
        </row>
        <row r="12">
          <cell r="A12">
            <v>11</v>
          </cell>
        </row>
        <row r="13">
          <cell r="A13">
            <v>12</v>
          </cell>
        </row>
        <row r="14">
          <cell r="A14">
            <v>13</v>
          </cell>
        </row>
        <row r="15">
          <cell r="A15">
            <v>14</v>
          </cell>
        </row>
        <row r="16">
          <cell r="A16">
            <v>15</v>
          </cell>
        </row>
        <row r="17">
          <cell r="A17">
            <v>16</v>
          </cell>
        </row>
        <row r="18">
          <cell r="A18">
            <v>17</v>
          </cell>
        </row>
        <row r="19">
          <cell r="A19">
            <v>18</v>
          </cell>
        </row>
        <row r="20">
          <cell r="A20">
            <v>19</v>
          </cell>
        </row>
        <row r="21">
          <cell r="A21">
            <v>20</v>
          </cell>
        </row>
        <row r="22">
          <cell r="A22">
            <v>21</v>
          </cell>
        </row>
        <row r="23">
          <cell r="A23">
            <v>23</v>
          </cell>
        </row>
        <row r="24">
          <cell r="A24">
            <v>24</v>
          </cell>
        </row>
        <row r="25">
          <cell r="A25">
            <v>25</v>
          </cell>
        </row>
        <row r="26">
          <cell r="A26">
            <v>26</v>
          </cell>
        </row>
        <row r="27">
          <cell r="A27">
            <v>42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2579D-FD70-4CFA-888A-4877759FBF9C}">
  <dimension ref="A1:L143"/>
  <sheetViews>
    <sheetView tabSelected="1" zoomScale="60" zoomScaleNormal="60" workbookViewId="0">
      <selection activeCell="P16" sqref="P16"/>
    </sheetView>
  </sheetViews>
  <sheetFormatPr baseColWidth="10" defaultColWidth="9.1640625" defaultRowHeight="15" x14ac:dyDescent="0.2"/>
  <cols>
    <col min="1" max="1" width="19.1640625" bestFit="1" customWidth="1"/>
    <col min="2" max="2" width="37.33203125" bestFit="1" customWidth="1"/>
    <col min="3" max="3" width="36.33203125" customWidth="1"/>
    <col min="4" max="4" width="14.6640625" bestFit="1" customWidth="1"/>
    <col min="5" max="5" width="28.6640625" bestFit="1" customWidth="1"/>
    <col min="6" max="6" width="14" bestFit="1" customWidth="1"/>
    <col min="7" max="7" width="19" bestFit="1" customWidth="1"/>
    <col min="8" max="8" width="19" style="1" bestFit="1" customWidth="1"/>
    <col min="9" max="9" width="14.83203125" style="1" bestFit="1" customWidth="1"/>
    <col min="10" max="10" width="17" style="1" bestFit="1" customWidth="1"/>
    <col min="11" max="12" width="14.6640625" style="1" bestFit="1" customWidth="1"/>
  </cols>
  <sheetData>
    <row r="1" spans="1:12" x14ac:dyDescent="0.2">
      <c r="A1" s="19" t="s">
        <v>395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x14ac:dyDescent="0.2">
      <c r="A2" s="3" t="s">
        <v>1</v>
      </c>
      <c r="B2" s="3" t="s">
        <v>6</v>
      </c>
      <c r="C2" s="3" t="s">
        <v>7</v>
      </c>
      <c r="D2" s="3" t="s">
        <v>391</v>
      </c>
      <c r="E2" s="3" t="s">
        <v>8</v>
      </c>
      <c r="F2" s="3" t="s">
        <v>9</v>
      </c>
      <c r="G2" s="9" t="s">
        <v>4</v>
      </c>
      <c r="H2" s="3" t="s">
        <v>10</v>
      </c>
      <c r="I2" s="3" t="s">
        <v>11</v>
      </c>
      <c r="J2" s="3" t="s">
        <v>12</v>
      </c>
      <c r="K2" s="3" t="s">
        <v>48</v>
      </c>
      <c r="L2" s="3" t="s">
        <v>49</v>
      </c>
    </row>
    <row r="3" spans="1:12" x14ac:dyDescent="0.2">
      <c r="A3" t="s">
        <v>50</v>
      </c>
      <c r="B3" t="s">
        <v>51</v>
      </c>
      <c r="C3" t="s">
        <v>52</v>
      </c>
      <c r="D3" t="s">
        <v>392</v>
      </c>
      <c r="E3" t="s">
        <v>19</v>
      </c>
      <c r="F3" t="s">
        <v>53</v>
      </c>
      <c r="G3">
        <v>228</v>
      </c>
      <c r="H3" s="6">
        <f>EXP(1.74)</f>
        <v>5.6973434226719908</v>
      </c>
      <c r="I3" s="6">
        <f t="shared" ref="I3:I34" si="0">(L3-K3)/3.92</f>
        <v>3.0813431271900229</v>
      </c>
      <c r="J3" s="1">
        <f>1/((I3)^2)</f>
        <v>0.10532218857031526</v>
      </c>
      <c r="K3" s="6">
        <v>0.45457152818609398</v>
      </c>
      <c r="L3" s="6">
        <v>12.533436586770984</v>
      </c>
    </row>
    <row r="4" spans="1:12" x14ac:dyDescent="0.2">
      <c r="A4" t="s">
        <v>294</v>
      </c>
      <c r="B4" t="s">
        <v>51</v>
      </c>
      <c r="C4" t="s">
        <v>293</v>
      </c>
      <c r="D4" t="s">
        <v>392</v>
      </c>
      <c r="E4" t="s">
        <v>19</v>
      </c>
      <c r="F4" t="s">
        <v>55</v>
      </c>
      <c r="G4">
        <v>1025</v>
      </c>
      <c r="H4" s="6">
        <f>EXP(0.073)</f>
        <v>1.0757305369147034</v>
      </c>
      <c r="I4" s="6">
        <f t="shared" si="0"/>
        <v>4.8469387755102025E-2</v>
      </c>
      <c r="J4" s="1">
        <f t="shared" ref="J4:J33" si="1">1/((I4)^2)</f>
        <v>425.66204986149609</v>
      </c>
      <c r="K4" s="6">
        <v>0.99</v>
      </c>
      <c r="L4" s="6">
        <v>1.18</v>
      </c>
    </row>
    <row r="5" spans="1:12" x14ac:dyDescent="0.2">
      <c r="A5" t="s">
        <v>56</v>
      </c>
      <c r="B5" t="s">
        <v>57</v>
      </c>
      <c r="C5" t="s">
        <v>54</v>
      </c>
      <c r="D5" t="s">
        <v>392</v>
      </c>
      <c r="E5" t="s">
        <v>19</v>
      </c>
      <c r="F5" s="1" t="s">
        <v>58</v>
      </c>
      <c r="G5">
        <v>243</v>
      </c>
      <c r="H5" s="1">
        <v>2.4</v>
      </c>
      <c r="I5" s="6">
        <f t="shared" si="0"/>
        <v>1.0459183673469388</v>
      </c>
      <c r="J5" s="1">
        <f t="shared" si="1"/>
        <v>0.91412254610350985</v>
      </c>
      <c r="K5" s="1">
        <v>1.1000000000000001</v>
      </c>
      <c r="L5" s="1">
        <v>5.2</v>
      </c>
    </row>
    <row r="6" spans="1:12" x14ac:dyDescent="0.2">
      <c r="A6" t="s">
        <v>295</v>
      </c>
      <c r="B6" t="s">
        <v>51</v>
      </c>
      <c r="C6" t="s">
        <v>60</v>
      </c>
      <c r="D6" t="s">
        <v>392</v>
      </c>
      <c r="E6" t="s">
        <v>19</v>
      </c>
      <c r="F6" t="s">
        <v>58</v>
      </c>
      <c r="G6">
        <v>756</v>
      </c>
      <c r="H6" s="15">
        <f>EXP(0.17)</f>
        <v>1.1853048513203654</v>
      </c>
      <c r="I6" s="6">
        <f t="shared" si="0"/>
        <v>0.11054321800008678</v>
      </c>
      <c r="J6" s="1">
        <f t="shared" si="1"/>
        <v>81.834379510928429</v>
      </c>
      <c r="K6" s="15">
        <f>EXP(0)</f>
        <v>1</v>
      </c>
      <c r="L6" s="15">
        <f>EXP(0.36)</f>
        <v>1.4333294145603401</v>
      </c>
    </row>
    <row r="7" spans="1:12" x14ac:dyDescent="0.2">
      <c r="A7" t="s">
        <v>61</v>
      </c>
      <c r="B7" t="s">
        <v>51</v>
      </c>
      <c r="C7" t="s">
        <v>62</v>
      </c>
      <c r="D7" t="s">
        <v>392</v>
      </c>
      <c r="E7" t="s">
        <v>19</v>
      </c>
      <c r="F7" t="s">
        <v>63</v>
      </c>
      <c r="G7">
        <v>92</v>
      </c>
      <c r="H7" s="1">
        <v>1.052</v>
      </c>
      <c r="I7" s="6">
        <f t="shared" si="0"/>
        <v>1.9642857142857188E-2</v>
      </c>
      <c r="J7" s="1">
        <f t="shared" si="1"/>
        <v>2591.7355371900708</v>
      </c>
      <c r="K7" s="1">
        <v>1.0129999999999999</v>
      </c>
      <c r="L7" s="1">
        <v>1.0900000000000001</v>
      </c>
    </row>
    <row r="8" spans="1:12" x14ac:dyDescent="0.2">
      <c r="A8" t="s">
        <v>64</v>
      </c>
      <c r="B8" t="s">
        <v>65</v>
      </c>
      <c r="C8" t="s">
        <v>66</v>
      </c>
      <c r="D8" t="s">
        <v>392</v>
      </c>
      <c r="E8" t="s">
        <v>19</v>
      </c>
      <c r="F8" t="s">
        <v>31</v>
      </c>
      <c r="G8">
        <v>1778</v>
      </c>
      <c r="H8" s="1">
        <v>1.27</v>
      </c>
      <c r="I8" s="6">
        <f t="shared" si="0"/>
        <v>0.58163265306122458</v>
      </c>
      <c r="J8" s="1">
        <f t="shared" si="1"/>
        <v>2.9559864573714982</v>
      </c>
      <c r="K8" s="1">
        <v>0.56999999999999995</v>
      </c>
      <c r="L8" s="1">
        <v>2.85</v>
      </c>
    </row>
    <row r="9" spans="1:12" x14ac:dyDescent="0.2">
      <c r="A9" t="s">
        <v>67</v>
      </c>
      <c r="B9" t="s">
        <v>68</v>
      </c>
      <c r="C9" t="s">
        <v>66</v>
      </c>
      <c r="D9" t="s">
        <v>392</v>
      </c>
      <c r="E9" t="s">
        <v>19</v>
      </c>
      <c r="F9" t="s">
        <v>31</v>
      </c>
      <c r="G9">
        <v>1778</v>
      </c>
      <c r="H9" s="1">
        <v>1.3</v>
      </c>
      <c r="I9" s="6">
        <f t="shared" si="0"/>
        <v>0.52806122448979598</v>
      </c>
      <c r="J9" s="1">
        <f>1/((I9)^2)</f>
        <v>3.5861747065275726</v>
      </c>
      <c r="K9" s="1">
        <v>0.63</v>
      </c>
      <c r="L9" s="1">
        <v>2.7</v>
      </c>
    </row>
    <row r="10" spans="1:12" x14ac:dyDescent="0.2">
      <c r="A10" t="s">
        <v>69</v>
      </c>
      <c r="B10" t="s">
        <v>70</v>
      </c>
      <c r="C10" t="s">
        <v>66</v>
      </c>
      <c r="D10" t="s">
        <v>392</v>
      </c>
      <c r="E10" t="s">
        <v>19</v>
      </c>
      <c r="F10" t="s">
        <v>31</v>
      </c>
      <c r="G10">
        <v>1778</v>
      </c>
      <c r="H10" s="1">
        <v>1.67</v>
      </c>
      <c r="I10" s="6">
        <f t="shared" si="0"/>
        <v>0.71938775510204089</v>
      </c>
      <c r="J10" s="1">
        <f t="shared" si="1"/>
        <v>1.9322971681504948</v>
      </c>
      <c r="K10" s="1">
        <v>0.78</v>
      </c>
      <c r="L10" s="1">
        <v>3.6</v>
      </c>
    </row>
    <row r="11" spans="1:12" x14ac:dyDescent="0.2">
      <c r="A11" t="s">
        <v>71</v>
      </c>
      <c r="B11" t="s">
        <v>72</v>
      </c>
      <c r="C11" t="s">
        <v>66</v>
      </c>
      <c r="D11" t="s">
        <v>392</v>
      </c>
      <c r="E11" t="s">
        <v>19</v>
      </c>
      <c r="F11" t="s">
        <v>31</v>
      </c>
      <c r="G11">
        <v>1778</v>
      </c>
      <c r="H11" s="1">
        <v>1.96</v>
      </c>
      <c r="I11" s="6">
        <f t="shared" si="0"/>
        <v>1.1096938775510206</v>
      </c>
      <c r="J11" s="1">
        <f t="shared" si="1"/>
        <v>0.81207028669573234</v>
      </c>
      <c r="K11" s="1">
        <v>0.76</v>
      </c>
      <c r="L11" s="1">
        <v>5.1100000000000003</v>
      </c>
    </row>
    <row r="12" spans="1:12" x14ac:dyDescent="0.2">
      <c r="A12" t="s">
        <v>73</v>
      </c>
      <c r="B12" t="s">
        <v>51</v>
      </c>
      <c r="C12" t="s">
        <v>30</v>
      </c>
      <c r="D12" t="s">
        <v>392</v>
      </c>
      <c r="E12" t="s">
        <v>19</v>
      </c>
      <c r="F12" s="1" t="s">
        <v>31</v>
      </c>
      <c r="G12">
        <v>428</v>
      </c>
      <c r="H12" s="1">
        <v>1.28</v>
      </c>
      <c r="I12" s="6">
        <f t="shared" si="0"/>
        <v>0.23979591836734696</v>
      </c>
      <c r="J12" s="1">
        <f t="shared" si="1"/>
        <v>17.390674513354458</v>
      </c>
      <c r="K12" s="1">
        <v>0.89</v>
      </c>
      <c r="L12" s="1">
        <v>1.83</v>
      </c>
    </row>
    <row r="13" spans="1:12" x14ac:dyDescent="0.2">
      <c r="A13" t="s">
        <v>74</v>
      </c>
      <c r="B13" t="s">
        <v>291</v>
      </c>
      <c r="C13" t="s">
        <v>75</v>
      </c>
      <c r="D13" t="s">
        <v>392</v>
      </c>
      <c r="E13" t="s">
        <v>19</v>
      </c>
      <c r="F13" t="s">
        <v>53</v>
      </c>
      <c r="G13">
        <v>228</v>
      </c>
      <c r="H13" s="6">
        <v>1.6</v>
      </c>
      <c r="I13" s="6">
        <f t="shared" si="0"/>
        <v>0.35969387755102045</v>
      </c>
      <c r="J13" s="1">
        <f t="shared" si="1"/>
        <v>7.7291886726019792</v>
      </c>
      <c r="K13" s="6">
        <v>1.04</v>
      </c>
      <c r="L13" s="6">
        <v>2.4500000000000002</v>
      </c>
    </row>
    <row r="14" spans="1:12" x14ac:dyDescent="0.2">
      <c r="A14" t="s">
        <v>76</v>
      </c>
      <c r="B14" t="s">
        <v>77</v>
      </c>
      <c r="C14" t="s">
        <v>75</v>
      </c>
      <c r="D14" t="s">
        <v>392</v>
      </c>
      <c r="E14" t="s">
        <v>19</v>
      </c>
      <c r="F14" t="s">
        <v>53</v>
      </c>
      <c r="G14">
        <v>228</v>
      </c>
      <c r="H14" s="6">
        <v>1.26</v>
      </c>
      <c r="I14" s="6">
        <f t="shared" si="0"/>
        <v>0.58163265306122447</v>
      </c>
      <c r="J14" s="1">
        <f t="shared" si="1"/>
        <v>2.9559864573714991</v>
      </c>
      <c r="K14" s="6">
        <v>0.56000000000000005</v>
      </c>
      <c r="L14" s="6">
        <v>2.84</v>
      </c>
    </row>
    <row r="15" spans="1:12" x14ac:dyDescent="0.2">
      <c r="A15" t="s">
        <v>78</v>
      </c>
      <c r="B15" t="s">
        <v>79</v>
      </c>
      <c r="C15" t="s">
        <v>75</v>
      </c>
      <c r="D15" t="s">
        <v>392</v>
      </c>
      <c r="E15" t="s">
        <v>19</v>
      </c>
      <c r="F15" t="s">
        <v>53</v>
      </c>
      <c r="G15">
        <v>228</v>
      </c>
      <c r="H15" s="6">
        <v>1.26</v>
      </c>
      <c r="I15" s="6">
        <f t="shared" si="0"/>
        <v>0.59183673469387765</v>
      </c>
      <c r="J15" s="1">
        <f t="shared" si="1"/>
        <v>2.8549346016646839</v>
      </c>
      <c r="K15" s="6">
        <v>0.55000000000000004</v>
      </c>
      <c r="L15" s="6">
        <v>2.87</v>
      </c>
    </row>
    <row r="16" spans="1:12" x14ac:dyDescent="0.2">
      <c r="A16" t="s">
        <v>80</v>
      </c>
      <c r="B16" t="s">
        <v>81</v>
      </c>
      <c r="C16" t="s">
        <v>75</v>
      </c>
      <c r="D16" t="s">
        <v>392</v>
      </c>
      <c r="E16" t="s">
        <v>19</v>
      </c>
      <c r="F16" t="s">
        <v>53</v>
      </c>
      <c r="G16">
        <v>228</v>
      </c>
      <c r="H16" s="6">
        <v>2.54</v>
      </c>
      <c r="I16" s="6">
        <f t="shared" si="0"/>
        <v>1.2372448979591839</v>
      </c>
      <c r="J16" s="1">
        <f t="shared" si="1"/>
        <v>0.65326389626952897</v>
      </c>
      <c r="K16" s="6">
        <v>1.0900000000000001</v>
      </c>
      <c r="L16" s="6">
        <v>5.94</v>
      </c>
    </row>
    <row r="17" spans="1:12" x14ac:dyDescent="0.2">
      <c r="A17" t="s">
        <v>122</v>
      </c>
      <c r="B17" t="s">
        <v>51</v>
      </c>
      <c r="C17" t="s">
        <v>390</v>
      </c>
      <c r="D17" t="s">
        <v>392</v>
      </c>
      <c r="E17" t="s">
        <v>19</v>
      </c>
      <c r="F17" t="s">
        <v>84</v>
      </c>
      <c r="G17">
        <v>578</v>
      </c>
      <c r="H17" s="6">
        <f>EXP(0.03)</f>
        <v>1.0304545339535169</v>
      </c>
      <c r="I17" s="6">
        <f t="shared" si="0"/>
        <v>0.13549185063725036</v>
      </c>
      <c r="J17" s="1">
        <f t="shared" ref="J17" si="2">1/((I17)^2)</f>
        <v>54.472041320211744</v>
      </c>
      <c r="K17" s="6">
        <f>EXP(-0.2)</f>
        <v>0.81873075307798182</v>
      </c>
      <c r="L17" s="6">
        <f>EXP(0.3)</f>
        <v>1.3498588075760032</v>
      </c>
    </row>
    <row r="18" spans="1:12" x14ac:dyDescent="0.2">
      <c r="A18" t="s">
        <v>82</v>
      </c>
      <c r="B18" t="s">
        <v>51</v>
      </c>
      <c r="C18" t="s">
        <v>83</v>
      </c>
      <c r="D18" t="s">
        <v>392</v>
      </c>
      <c r="E18" t="s">
        <v>19</v>
      </c>
      <c r="F18" t="s">
        <v>84</v>
      </c>
      <c r="G18">
        <v>578</v>
      </c>
      <c r="H18" s="6">
        <v>1.0202013400267558</v>
      </c>
      <c r="I18" s="6">
        <f t="shared" si="0"/>
        <v>0.13549185063725036</v>
      </c>
      <c r="J18" s="1">
        <f t="shared" si="1"/>
        <v>54.472041320211744</v>
      </c>
      <c r="K18" s="6">
        <v>0.81873075307798182</v>
      </c>
      <c r="L18" s="6">
        <v>1.3498588075760032</v>
      </c>
    </row>
    <row r="19" spans="1:12" x14ac:dyDescent="0.2">
      <c r="A19" t="s">
        <v>91</v>
      </c>
      <c r="B19" t="s">
        <v>85</v>
      </c>
      <c r="C19" t="s">
        <v>86</v>
      </c>
      <c r="D19" t="s">
        <v>392</v>
      </c>
      <c r="E19" t="s">
        <v>19</v>
      </c>
      <c r="F19" t="s">
        <v>87</v>
      </c>
      <c r="G19">
        <v>310</v>
      </c>
      <c r="H19" s="6">
        <v>3.89</v>
      </c>
      <c r="I19" s="6">
        <f t="shared" si="0"/>
        <v>1.6581632653061225</v>
      </c>
      <c r="J19" s="1">
        <f t="shared" si="1"/>
        <v>0.36370177514792901</v>
      </c>
      <c r="K19" s="1">
        <v>1.82</v>
      </c>
      <c r="L19" s="1">
        <v>8.32</v>
      </c>
    </row>
    <row r="20" spans="1:12" x14ac:dyDescent="0.2">
      <c r="A20" t="s">
        <v>93</v>
      </c>
      <c r="B20" t="s">
        <v>88</v>
      </c>
      <c r="C20" t="s">
        <v>86</v>
      </c>
      <c r="D20" t="s">
        <v>392</v>
      </c>
      <c r="E20" t="s">
        <v>19</v>
      </c>
      <c r="F20" t="s">
        <v>87</v>
      </c>
      <c r="G20">
        <v>310</v>
      </c>
      <c r="H20" s="6">
        <v>4.13</v>
      </c>
      <c r="I20" s="6">
        <f t="shared" si="0"/>
        <v>1.653061224489796</v>
      </c>
      <c r="J20" s="1">
        <f t="shared" si="1"/>
        <v>0.36595031245237003</v>
      </c>
      <c r="K20" s="1">
        <v>2.0099999999999998</v>
      </c>
      <c r="L20" s="1">
        <v>8.49</v>
      </c>
    </row>
    <row r="21" spans="1:12" x14ac:dyDescent="0.2">
      <c r="A21" t="s">
        <v>89</v>
      </c>
      <c r="B21" t="s">
        <v>88</v>
      </c>
      <c r="C21" t="s">
        <v>86</v>
      </c>
      <c r="D21" t="s">
        <v>392</v>
      </c>
      <c r="E21" t="s">
        <v>19</v>
      </c>
      <c r="F21" t="s">
        <v>23</v>
      </c>
      <c r="G21">
        <v>1260</v>
      </c>
      <c r="H21" s="6">
        <v>6</v>
      </c>
      <c r="I21" s="6">
        <f t="shared" si="0"/>
        <v>1.1887755102040816</v>
      </c>
      <c r="J21" s="1">
        <f t="shared" si="1"/>
        <v>0.70762032824329058</v>
      </c>
      <c r="K21" s="6">
        <v>4.1100000000000003</v>
      </c>
      <c r="L21" s="6">
        <v>8.77</v>
      </c>
    </row>
    <row r="22" spans="1:12" x14ac:dyDescent="0.2">
      <c r="A22" t="s">
        <v>90</v>
      </c>
      <c r="B22" t="s">
        <v>85</v>
      </c>
      <c r="C22" t="s">
        <v>86</v>
      </c>
      <c r="D22" t="s">
        <v>392</v>
      </c>
      <c r="E22" t="s">
        <v>19</v>
      </c>
      <c r="F22" t="s">
        <v>23</v>
      </c>
      <c r="G22">
        <v>1260</v>
      </c>
      <c r="H22" s="6">
        <v>4.92</v>
      </c>
      <c r="I22" s="6">
        <f t="shared" si="0"/>
        <v>0.89540816326530615</v>
      </c>
      <c r="J22" s="1">
        <f t="shared" si="1"/>
        <v>1.2472626033879595</v>
      </c>
      <c r="K22" s="6">
        <v>3.47</v>
      </c>
      <c r="L22" s="6">
        <v>6.98</v>
      </c>
    </row>
    <row r="23" spans="1:12" x14ac:dyDescent="0.2">
      <c r="A23" t="s">
        <v>132</v>
      </c>
      <c r="B23" t="s">
        <v>85</v>
      </c>
      <c r="C23" t="s">
        <v>86</v>
      </c>
      <c r="D23" t="s">
        <v>392</v>
      </c>
      <c r="E23" t="s">
        <v>19</v>
      </c>
      <c r="F23" t="s">
        <v>92</v>
      </c>
      <c r="G23">
        <v>344</v>
      </c>
      <c r="H23" s="6">
        <v>6.86</v>
      </c>
      <c r="I23" s="6">
        <f t="shared" si="0"/>
        <v>2.9821428571428572</v>
      </c>
      <c r="J23" s="1">
        <f t="shared" si="1"/>
        <v>0.11244576714833804</v>
      </c>
      <c r="K23" s="1">
        <v>3.17</v>
      </c>
      <c r="L23" s="1">
        <v>14.86</v>
      </c>
    </row>
    <row r="24" spans="1:12" x14ac:dyDescent="0.2">
      <c r="A24" t="s">
        <v>133</v>
      </c>
      <c r="B24" t="s">
        <v>88</v>
      </c>
      <c r="C24" t="s">
        <v>86</v>
      </c>
      <c r="D24" t="s">
        <v>392</v>
      </c>
      <c r="E24" t="s">
        <v>19</v>
      </c>
      <c r="F24" t="s">
        <v>92</v>
      </c>
      <c r="G24">
        <v>344</v>
      </c>
      <c r="H24" s="6">
        <v>13.41</v>
      </c>
      <c r="I24" s="6">
        <f t="shared" si="0"/>
        <v>7.8188775510204076</v>
      </c>
      <c r="J24" s="1">
        <f t="shared" si="1"/>
        <v>1.6357283330982599E-2</v>
      </c>
      <c r="K24" s="1">
        <v>5.04</v>
      </c>
      <c r="L24" s="1">
        <v>35.69</v>
      </c>
    </row>
    <row r="25" spans="1:12" x14ac:dyDescent="0.2">
      <c r="A25" t="s">
        <v>130</v>
      </c>
      <c r="B25" t="s">
        <v>85</v>
      </c>
      <c r="C25" t="s">
        <v>86</v>
      </c>
      <c r="D25" t="s">
        <v>392</v>
      </c>
      <c r="E25" t="s">
        <v>19</v>
      </c>
      <c r="F25" t="s">
        <v>94</v>
      </c>
      <c r="G25">
        <v>606</v>
      </c>
      <c r="H25" s="6">
        <v>5.78</v>
      </c>
      <c r="I25" s="6">
        <f t="shared" si="0"/>
        <v>1.7015306122448979</v>
      </c>
      <c r="J25" s="1">
        <f t="shared" si="1"/>
        <v>0.34539851513523601</v>
      </c>
      <c r="K25" s="1">
        <v>3.33</v>
      </c>
      <c r="L25" s="1">
        <v>10</v>
      </c>
    </row>
    <row r="26" spans="1:12" x14ac:dyDescent="0.2">
      <c r="A26" t="s">
        <v>131</v>
      </c>
      <c r="B26" t="s">
        <v>88</v>
      </c>
      <c r="C26" t="s">
        <v>86</v>
      </c>
      <c r="D26" t="s">
        <v>392</v>
      </c>
      <c r="E26" t="s">
        <v>19</v>
      </c>
      <c r="F26" t="s">
        <v>94</v>
      </c>
      <c r="G26">
        <v>606</v>
      </c>
      <c r="H26" s="6">
        <v>8.5299999999999994</v>
      </c>
      <c r="I26" s="6">
        <f t="shared" si="0"/>
        <v>2.7295918367346936</v>
      </c>
      <c r="J26" s="1">
        <f t="shared" si="1"/>
        <v>0.13421608874137481</v>
      </c>
      <c r="K26" s="1">
        <v>4.72</v>
      </c>
      <c r="L26" s="1">
        <v>15.42</v>
      </c>
    </row>
    <row r="27" spans="1:12" x14ac:dyDescent="0.2">
      <c r="A27" s="11" t="s">
        <v>360</v>
      </c>
      <c r="B27" t="s">
        <v>125</v>
      </c>
      <c r="C27" s="11" t="s">
        <v>356</v>
      </c>
      <c r="D27" t="s">
        <v>392</v>
      </c>
      <c r="E27" s="11" t="s">
        <v>19</v>
      </c>
      <c r="F27" s="11" t="s">
        <v>354</v>
      </c>
      <c r="G27" s="11">
        <v>83</v>
      </c>
      <c r="H27" s="12">
        <v>2.1911999999999998</v>
      </c>
      <c r="I27" s="6">
        <f t="shared" si="0"/>
        <v>0.97701530612244902</v>
      </c>
      <c r="J27" s="1">
        <f t="shared" si="1"/>
        <v>1.0476042821482239</v>
      </c>
      <c r="K27" s="1">
        <v>0.99509999999999998</v>
      </c>
      <c r="L27" s="1">
        <v>4.8250000000000002</v>
      </c>
    </row>
    <row r="28" spans="1:12" x14ac:dyDescent="0.2">
      <c r="A28" s="11" t="s">
        <v>364</v>
      </c>
      <c r="B28" t="s">
        <v>125</v>
      </c>
      <c r="C28" s="11" t="s">
        <v>357</v>
      </c>
      <c r="D28" t="s">
        <v>392</v>
      </c>
      <c r="E28" s="11" t="s">
        <v>19</v>
      </c>
      <c r="F28" s="11" t="s">
        <v>354</v>
      </c>
      <c r="G28" s="11">
        <v>83</v>
      </c>
      <c r="H28" s="12">
        <v>1.994</v>
      </c>
      <c r="I28" s="6">
        <f t="shared" si="0"/>
        <v>0.88931122448979594</v>
      </c>
      <c r="J28" s="1">
        <f t="shared" si="1"/>
        <v>1.2644231899738714</v>
      </c>
      <c r="K28" s="1">
        <v>0.90949999999999998</v>
      </c>
      <c r="L28" s="1">
        <v>4.3956</v>
      </c>
    </row>
    <row r="29" spans="1:12" x14ac:dyDescent="0.2">
      <c r="A29" t="s">
        <v>114</v>
      </c>
      <c r="B29" t="s">
        <v>51</v>
      </c>
      <c r="C29" t="s">
        <v>52</v>
      </c>
      <c r="D29" t="s">
        <v>392</v>
      </c>
      <c r="E29" t="s">
        <v>115</v>
      </c>
      <c r="F29" t="s">
        <v>53</v>
      </c>
      <c r="G29">
        <v>228</v>
      </c>
      <c r="H29" s="6">
        <f>EXP(1.04)</f>
        <v>2.8292170143515598</v>
      </c>
      <c r="I29" s="6">
        <f t="shared" si="0"/>
        <v>0.60421940660825924</v>
      </c>
      <c r="J29" s="1">
        <f t="shared" si="1"/>
        <v>2.7391174831289824</v>
      </c>
      <c r="K29" s="6">
        <v>0.87284263248871941</v>
      </c>
      <c r="L29" s="6">
        <v>3.2413827063930958</v>
      </c>
    </row>
    <row r="30" spans="1:12" x14ac:dyDescent="0.2">
      <c r="A30" t="s">
        <v>116</v>
      </c>
      <c r="B30" t="s">
        <v>51</v>
      </c>
      <c r="C30" t="s">
        <v>83</v>
      </c>
      <c r="D30" t="s">
        <v>392</v>
      </c>
      <c r="E30" t="s">
        <v>115</v>
      </c>
      <c r="F30" t="s">
        <v>84</v>
      </c>
      <c r="G30">
        <v>578</v>
      </c>
      <c r="H30" s="6">
        <v>3.3201169227365472</v>
      </c>
      <c r="I30" s="6">
        <f t="shared" si="0"/>
        <v>1.5406115539170018</v>
      </c>
      <c r="J30" s="1">
        <f t="shared" si="1"/>
        <v>0.42132157487748201</v>
      </c>
      <c r="K30" s="6">
        <v>1.3498588075760032</v>
      </c>
      <c r="L30" s="6">
        <v>7.3890560989306504</v>
      </c>
    </row>
    <row r="31" spans="1:12" x14ac:dyDescent="0.2">
      <c r="A31" t="s">
        <v>128</v>
      </c>
      <c r="B31" t="s">
        <v>51</v>
      </c>
      <c r="C31" t="s">
        <v>95</v>
      </c>
      <c r="D31" t="s">
        <v>392</v>
      </c>
      <c r="E31" t="s">
        <v>115</v>
      </c>
      <c r="F31" t="s">
        <v>96</v>
      </c>
      <c r="G31">
        <v>275</v>
      </c>
      <c r="H31" s="6">
        <f>EXP(0.7)</f>
        <v>2.0137527074704766</v>
      </c>
      <c r="I31" s="6">
        <f t="shared" si="0"/>
        <v>8.4790582619758403</v>
      </c>
      <c r="J31" s="1">
        <f>1/((I31)^2)</f>
        <v>1.3909283567175627E-2</v>
      </c>
      <c r="K31" s="6">
        <f>-EXP(-2.1)</f>
        <v>-0.12245642825298191</v>
      </c>
      <c r="L31" s="6">
        <f>EXP(3.5)</f>
        <v>33.115451958692312</v>
      </c>
    </row>
    <row r="32" spans="1:12" x14ac:dyDescent="0.2">
      <c r="A32" t="s">
        <v>59</v>
      </c>
      <c r="B32" t="s">
        <v>51</v>
      </c>
      <c r="C32" t="s">
        <v>113</v>
      </c>
      <c r="D32" t="s">
        <v>392</v>
      </c>
      <c r="E32" t="s">
        <v>115</v>
      </c>
      <c r="F32" t="s">
        <v>58</v>
      </c>
      <c r="G32">
        <v>756</v>
      </c>
      <c r="H32" s="15">
        <f>EXP(0.13)</f>
        <v>1.1388283833246218</v>
      </c>
      <c r="I32" s="6">
        <f t="shared" si="0"/>
        <v>9.925238990400001E-2</v>
      </c>
      <c r="J32" s="1">
        <f>1/((I32)^2)</f>
        <v>101.51215653571779</v>
      </c>
      <c r="K32" s="15">
        <f>EXP(-0.04)</f>
        <v>0.96078943915232318</v>
      </c>
      <c r="L32" s="15">
        <f>EXP(0.3)</f>
        <v>1.3498588075760032</v>
      </c>
    </row>
    <row r="33" spans="1:12" x14ac:dyDescent="0.2">
      <c r="A33" s="11" t="s">
        <v>358</v>
      </c>
      <c r="B33" t="s">
        <v>125</v>
      </c>
      <c r="C33" s="11" t="s">
        <v>356</v>
      </c>
      <c r="D33" t="s">
        <v>392</v>
      </c>
      <c r="E33" t="s">
        <v>115</v>
      </c>
      <c r="F33" s="11" t="s">
        <v>354</v>
      </c>
      <c r="G33" s="11">
        <v>83</v>
      </c>
      <c r="H33" s="12">
        <v>2.6004999999999998</v>
      </c>
      <c r="I33" s="6">
        <f t="shared" si="0"/>
        <v>1.1678826530612245</v>
      </c>
      <c r="J33" s="1">
        <f t="shared" si="1"/>
        <v>0.73316476386918539</v>
      </c>
      <c r="K33" s="1">
        <v>1.1754</v>
      </c>
      <c r="L33" s="1">
        <v>5.7534999999999998</v>
      </c>
    </row>
    <row r="34" spans="1:12" x14ac:dyDescent="0.2">
      <c r="A34" s="11" t="s">
        <v>362</v>
      </c>
      <c r="B34" t="s">
        <v>125</v>
      </c>
      <c r="C34" s="11" t="s">
        <v>357</v>
      </c>
      <c r="D34" t="s">
        <v>392</v>
      </c>
      <c r="E34" t="s">
        <v>115</v>
      </c>
      <c r="F34" s="11" t="s">
        <v>354</v>
      </c>
      <c r="G34" s="11">
        <v>83</v>
      </c>
      <c r="H34" s="12">
        <v>1.8835999999999999</v>
      </c>
      <c r="I34" s="6">
        <f t="shared" si="0"/>
        <v>0.83573979591836722</v>
      </c>
      <c r="J34" s="1">
        <f t="shared" ref="J34:J55" si="3">1/((I34)^2)</f>
        <v>1.4317191521360007</v>
      </c>
      <c r="K34" s="1">
        <v>0.85819999999999996</v>
      </c>
      <c r="L34" s="1">
        <v>4.1342999999999996</v>
      </c>
    </row>
    <row r="35" spans="1:12" x14ac:dyDescent="0.2">
      <c r="A35" t="s">
        <v>97</v>
      </c>
      <c r="B35" t="s">
        <v>51</v>
      </c>
      <c r="C35" t="s">
        <v>30</v>
      </c>
      <c r="D35" t="s">
        <v>392</v>
      </c>
      <c r="E35" t="s">
        <v>98</v>
      </c>
      <c r="F35" s="1" t="s">
        <v>31</v>
      </c>
      <c r="G35">
        <v>118</v>
      </c>
      <c r="H35" s="1">
        <v>1.04</v>
      </c>
      <c r="I35" s="6">
        <f t="shared" ref="I35:I71" si="4">(L35-K35)/3.92</f>
        <v>0.39285714285714279</v>
      </c>
      <c r="J35" s="1">
        <f t="shared" si="3"/>
        <v>6.4793388429752081</v>
      </c>
      <c r="K35" s="1">
        <v>0.53</v>
      </c>
      <c r="L35" s="1">
        <v>2.0699999999999998</v>
      </c>
    </row>
    <row r="36" spans="1:12" x14ac:dyDescent="0.2">
      <c r="A36" t="s">
        <v>122</v>
      </c>
      <c r="B36" t="s">
        <v>51</v>
      </c>
      <c r="C36" t="s">
        <v>99</v>
      </c>
      <c r="D36" t="s">
        <v>392</v>
      </c>
      <c r="E36" t="s">
        <v>98</v>
      </c>
      <c r="F36" t="s">
        <v>84</v>
      </c>
      <c r="G36">
        <v>578</v>
      </c>
      <c r="H36" s="6">
        <v>3.0041660239464334</v>
      </c>
      <c r="I36" s="6">
        <f t="shared" si="4"/>
        <v>1.5733809542781838</v>
      </c>
      <c r="J36" s="1">
        <f t="shared" si="3"/>
        <v>0.40395428795783761</v>
      </c>
      <c r="K36" s="6">
        <v>1.2214027581601699</v>
      </c>
      <c r="L36" s="6">
        <v>7.3890560989306504</v>
      </c>
    </row>
    <row r="37" spans="1:12" x14ac:dyDescent="0.2">
      <c r="A37" t="s">
        <v>103</v>
      </c>
      <c r="B37" t="s">
        <v>51</v>
      </c>
      <c r="C37" t="s">
        <v>101</v>
      </c>
      <c r="D37" t="s">
        <v>392</v>
      </c>
      <c r="E37" t="s">
        <v>98</v>
      </c>
      <c r="F37" t="s">
        <v>102</v>
      </c>
      <c r="G37">
        <v>236</v>
      </c>
      <c r="H37" s="6">
        <f>EXP(0.14)</f>
        <v>1.1502737988572274</v>
      </c>
      <c r="I37" s="6">
        <f t="shared" si="4"/>
        <v>6.9175618075371051E-2</v>
      </c>
      <c r="J37" s="1">
        <f t="shared" si="3"/>
        <v>208.97479294913265</v>
      </c>
      <c r="K37" s="6">
        <v>1.0226527637746341</v>
      </c>
      <c r="L37" s="6">
        <v>1.2938211866300886</v>
      </c>
    </row>
    <row r="38" spans="1:12" x14ac:dyDescent="0.2">
      <c r="A38" t="s">
        <v>100</v>
      </c>
      <c r="B38" t="s">
        <v>51</v>
      </c>
      <c r="C38" t="s">
        <v>104</v>
      </c>
      <c r="D38" t="s">
        <v>392</v>
      </c>
      <c r="E38" t="s">
        <v>98</v>
      </c>
      <c r="F38" t="s">
        <v>102</v>
      </c>
      <c r="G38">
        <v>236</v>
      </c>
      <c r="H38" s="6">
        <v>1.2969300866657718</v>
      </c>
      <c r="I38" s="6">
        <f t="shared" si="4"/>
        <v>9.1070194976259761E-2</v>
      </c>
      <c r="J38" s="1">
        <f t="shared" si="3"/>
        <v>120.57227828589193</v>
      </c>
      <c r="K38" s="6">
        <v>1.1306582666794804</v>
      </c>
      <c r="L38" s="6">
        <v>1.4876534309864187</v>
      </c>
    </row>
    <row r="39" spans="1:12" x14ac:dyDescent="0.2">
      <c r="A39" t="s">
        <v>105</v>
      </c>
      <c r="B39" t="s">
        <v>51</v>
      </c>
      <c r="C39" t="s">
        <v>106</v>
      </c>
      <c r="D39" t="s">
        <v>392</v>
      </c>
      <c r="E39" t="s">
        <v>98</v>
      </c>
      <c r="F39" t="s">
        <v>102</v>
      </c>
      <c r="G39">
        <v>236</v>
      </c>
      <c r="H39" s="6">
        <f>EXP(0.11)</f>
        <v>1.1162780704588713</v>
      </c>
      <c r="I39" s="6">
        <f t="shared" si="4"/>
        <v>6.7131169591701262E-2</v>
      </c>
      <c r="J39" s="1">
        <f t="shared" si="3"/>
        <v>221.8970724601387</v>
      </c>
      <c r="K39" s="6">
        <v>0.99242880697613134</v>
      </c>
      <c r="L39" s="6">
        <v>1.2555829917756003</v>
      </c>
    </row>
    <row r="40" spans="1:12" x14ac:dyDescent="0.2">
      <c r="A40" s="1" t="s">
        <v>274</v>
      </c>
      <c r="B40" t="s">
        <v>108</v>
      </c>
      <c r="C40" t="s">
        <v>109</v>
      </c>
      <c r="D40" t="s">
        <v>392</v>
      </c>
      <c r="E40" t="s">
        <v>98</v>
      </c>
      <c r="F40" t="s">
        <v>110</v>
      </c>
      <c r="G40">
        <v>94</v>
      </c>
      <c r="H40" s="1">
        <v>4.01</v>
      </c>
      <c r="I40" s="6">
        <f t="shared" si="4"/>
        <v>3.614795918367347</v>
      </c>
      <c r="J40" s="1">
        <f t="shared" si="3"/>
        <v>7.6530126914386196E-2</v>
      </c>
      <c r="K40" s="1">
        <v>1.06</v>
      </c>
      <c r="L40" s="1">
        <v>15.23</v>
      </c>
    </row>
    <row r="41" spans="1:12" x14ac:dyDescent="0.2">
      <c r="A41" s="1" t="s">
        <v>124</v>
      </c>
      <c r="B41" t="s">
        <v>112</v>
      </c>
      <c r="C41" t="s">
        <v>109</v>
      </c>
      <c r="D41" t="s">
        <v>392</v>
      </c>
      <c r="E41" t="s">
        <v>98</v>
      </c>
      <c r="F41" t="s">
        <v>110</v>
      </c>
      <c r="G41">
        <v>91</v>
      </c>
      <c r="H41" s="1">
        <v>5.52</v>
      </c>
      <c r="I41" s="6">
        <f t="shared" si="4"/>
        <v>5.2908163265306127</v>
      </c>
      <c r="J41" s="1">
        <f t="shared" si="3"/>
        <v>3.5723551636694002E-2</v>
      </c>
      <c r="K41" s="1">
        <v>1.38</v>
      </c>
      <c r="L41" s="1">
        <v>22.12</v>
      </c>
    </row>
    <row r="42" spans="1:12" x14ac:dyDescent="0.2">
      <c r="A42" s="11" t="s">
        <v>359</v>
      </c>
      <c r="B42" t="s">
        <v>125</v>
      </c>
      <c r="C42" s="11" t="s">
        <v>356</v>
      </c>
      <c r="D42" t="s">
        <v>392</v>
      </c>
      <c r="E42" s="11" t="s">
        <v>366</v>
      </c>
      <c r="F42" s="11" t="s">
        <v>354</v>
      </c>
      <c r="G42" s="11">
        <v>83</v>
      </c>
      <c r="H42" s="12">
        <v>2.6109</v>
      </c>
      <c r="I42" s="6">
        <f t="shared" si="4"/>
        <v>1.1725510204081635</v>
      </c>
      <c r="J42" s="1">
        <f t="shared" si="3"/>
        <v>0.72733837526859868</v>
      </c>
      <c r="K42" s="1">
        <v>1.1800999999999999</v>
      </c>
      <c r="L42" s="1">
        <v>5.7765000000000004</v>
      </c>
    </row>
    <row r="43" spans="1:12" x14ac:dyDescent="0.2">
      <c r="A43" s="11" t="s">
        <v>363</v>
      </c>
      <c r="B43" t="s">
        <v>125</v>
      </c>
      <c r="C43" s="11" t="s">
        <v>357</v>
      </c>
      <c r="D43" t="s">
        <v>392</v>
      </c>
      <c r="E43" s="11" t="s">
        <v>366</v>
      </c>
      <c r="F43" s="11" t="s">
        <v>354</v>
      </c>
      <c r="G43" s="11">
        <v>83</v>
      </c>
      <c r="H43" s="12">
        <v>2.3822999999999999</v>
      </c>
      <c r="I43" s="6">
        <f t="shared" si="4"/>
        <v>0.96869897959183682</v>
      </c>
      <c r="J43" s="1">
        <f t="shared" si="3"/>
        <v>1.0656689583309031</v>
      </c>
      <c r="K43" s="1">
        <v>1.1476999999999999</v>
      </c>
      <c r="L43" s="1">
        <v>4.9450000000000003</v>
      </c>
    </row>
    <row r="44" spans="1:12" x14ac:dyDescent="0.2">
      <c r="A44" t="s">
        <v>296</v>
      </c>
      <c r="B44" t="s">
        <v>51</v>
      </c>
      <c r="C44" t="s">
        <v>113</v>
      </c>
      <c r="D44" t="s">
        <v>392</v>
      </c>
      <c r="E44" t="s">
        <v>117</v>
      </c>
      <c r="F44" t="s">
        <v>58</v>
      </c>
      <c r="G44">
        <v>756</v>
      </c>
      <c r="H44" s="15">
        <f>EXP(0.24)</f>
        <v>1.2712491503214047</v>
      </c>
      <c r="I44" s="6">
        <f t="shared" si="4"/>
        <v>0.12397612938067791</v>
      </c>
      <c r="J44" s="1">
        <f t="shared" si="3"/>
        <v>65.061467299175803</v>
      </c>
      <c r="K44" s="15">
        <f>EXP(0.05)</f>
        <v>1.0512710963760241</v>
      </c>
      <c r="L44" s="15">
        <f>EXP(0.43)</f>
        <v>1.5372575235482815</v>
      </c>
    </row>
    <row r="45" spans="1:12" x14ac:dyDescent="0.2">
      <c r="A45" t="s">
        <v>118</v>
      </c>
      <c r="B45" t="s">
        <v>51</v>
      </c>
      <c r="C45" t="s">
        <v>30</v>
      </c>
      <c r="D45" t="s">
        <v>392</v>
      </c>
      <c r="E45" t="s">
        <v>117</v>
      </c>
      <c r="F45" s="1" t="s">
        <v>31</v>
      </c>
      <c r="G45">
        <v>310</v>
      </c>
      <c r="H45" s="1">
        <v>1.63</v>
      </c>
      <c r="I45" s="6">
        <f t="shared" si="4"/>
        <v>0.39540816326530615</v>
      </c>
      <c r="J45" s="1">
        <f t="shared" si="3"/>
        <v>6.3960041623309039</v>
      </c>
      <c r="K45" s="1">
        <v>1.03</v>
      </c>
      <c r="L45" s="1">
        <v>2.58</v>
      </c>
    </row>
    <row r="46" spans="1:12" x14ac:dyDescent="0.2">
      <c r="A46" t="s">
        <v>119</v>
      </c>
      <c r="B46" t="s">
        <v>51</v>
      </c>
      <c r="C46" t="s">
        <v>52</v>
      </c>
      <c r="D46" t="s">
        <v>392</v>
      </c>
      <c r="E46" t="s">
        <v>117</v>
      </c>
      <c r="F46" t="s">
        <v>53</v>
      </c>
      <c r="G46">
        <v>228</v>
      </c>
      <c r="H46" s="6">
        <f>EXP(0.69)</f>
        <v>1.9937155332430823</v>
      </c>
      <c r="I46" s="6">
        <f t="shared" si="4"/>
        <v>0.99255845146875454</v>
      </c>
      <c r="J46" s="1">
        <f t="shared" si="3"/>
        <v>1.0150508908190541</v>
      </c>
      <c r="K46" s="6">
        <v>0.45840601130522352</v>
      </c>
      <c r="L46" s="6">
        <v>4.3492351410627412</v>
      </c>
    </row>
    <row r="47" spans="1:12" x14ac:dyDescent="0.2">
      <c r="A47" t="s">
        <v>120</v>
      </c>
      <c r="B47" t="s">
        <v>51</v>
      </c>
      <c r="C47" t="s">
        <v>121</v>
      </c>
      <c r="D47" t="s">
        <v>392</v>
      </c>
      <c r="E47" t="s">
        <v>117</v>
      </c>
      <c r="F47" t="s">
        <v>84</v>
      </c>
      <c r="G47">
        <v>578</v>
      </c>
      <c r="H47" s="6">
        <v>0.97044553354850815</v>
      </c>
      <c r="I47" s="6">
        <f t="shared" si="4"/>
        <v>0.12259809629552347</v>
      </c>
      <c r="J47" s="1">
        <f t="shared" si="3"/>
        <v>66.532301511121389</v>
      </c>
      <c r="K47" s="6">
        <v>0.74081822068171788</v>
      </c>
      <c r="L47" s="6">
        <v>1.2214027581601699</v>
      </c>
    </row>
    <row r="48" spans="1:12" x14ac:dyDescent="0.2">
      <c r="A48" t="s">
        <v>129</v>
      </c>
      <c r="B48" t="s">
        <v>51</v>
      </c>
      <c r="C48" t="s">
        <v>99</v>
      </c>
      <c r="D48" t="s">
        <v>392</v>
      </c>
      <c r="E48" t="s">
        <v>117</v>
      </c>
      <c r="F48" t="s">
        <v>84</v>
      </c>
      <c r="G48">
        <v>578</v>
      </c>
      <c r="H48" s="6">
        <v>1</v>
      </c>
      <c r="I48" s="6">
        <f t="shared" si="4"/>
        <v>0.15536749665670543</v>
      </c>
      <c r="J48" s="1">
        <f t="shared" si="3"/>
        <v>41.426635532079459</v>
      </c>
      <c r="K48" s="6">
        <f>EXP(-0.3)</f>
        <v>0.74081822068171788</v>
      </c>
      <c r="L48" s="6">
        <v>1.3498588075760032</v>
      </c>
    </row>
    <row r="49" spans="1:12" x14ac:dyDescent="0.2">
      <c r="A49" t="s">
        <v>297</v>
      </c>
      <c r="B49" t="s">
        <v>51</v>
      </c>
      <c r="C49" t="s">
        <v>106</v>
      </c>
      <c r="D49" t="s">
        <v>392</v>
      </c>
      <c r="E49" t="s">
        <v>117</v>
      </c>
      <c r="F49" t="s">
        <v>102</v>
      </c>
      <c r="G49">
        <v>236</v>
      </c>
      <c r="H49" s="6">
        <f>EXP(0.09)</f>
        <v>1.0941742837052104</v>
      </c>
      <c r="I49" s="6">
        <f t="shared" si="4"/>
        <v>0.1553674966567041</v>
      </c>
      <c r="J49" s="1">
        <f t="shared" si="3"/>
        <v>41.426635532080169</v>
      </c>
      <c r="K49" s="6">
        <v>1.74081822068172</v>
      </c>
      <c r="L49" s="6">
        <v>2.3498588075760001</v>
      </c>
    </row>
    <row r="50" spans="1:12" s="13" customFormat="1" x14ac:dyDescent="0.2">
      <c r="A50" s="1" t="s">
        <v>145</v>
      </c>
      <c r="B50" t="s">
        <v>108</v>
      </c>
      <c r="C50" t="s">
        <v>109</v>
      </c>
      <c r="D50" t="s">
        <v>392</v>
      </c>
      <c r="E50" t="s">
        <v>117</v>
      </c>
      <c r="F50" t="s">
        <v>110</v>
      </c>
      <c r="G50">
        <v>94</v>
      </c>
      <c r="H50" s="1">
        <v>1.06</v>
      </c>
      <c r="I50" s="6">
        <f t="shared" si="4"/>
        <v>0.57142857142857151</v>
      </c>
      <c r="J50" s="1">
        <f t="shared" si="3"/>
        <v>3.0624999999999991</v>
      </c>
      <c r="K50" s="1">
        <v>0.42</v>
      </c>
      <c r="L50" s="1">
        <v>2.66</v>
      </c>
    </row>
    <row r="51" spans="1:12" x14ac:dyDescent="0.2">
      <c r="A51" s="1" t="s">
        <v>368</v>
      </c>
      <c r="B51" t="s">
        <v>112</v>
      </c>
      <c r="C51" t="s">
        <v>109</v>
      </c>
      <c r="D51" t="s">
        <v>392</v>
      </c>
      <c r="E51" t="s">
        <v>117</v>
      </c>
      <c r="F51" t="s">
        <v>110</v>
      </c>
      <c r="G51">
        <v>91</v>
      </c>
      <c r="H51" s="1">
        <v>1.01</v>
      </c>
      <c r="I51" s="6">
        <f t="shared" si="4"/>
        <v>0.57653061224489799</v>
      </c>
      <c r="J51" s="1">
        <f t="shared" si="3"/>
        <v>3.008536298848774</v>
      </c>
      <c r="K51" s="1">
        <v>0.38</v>
      </c>
      <c r="L51" s="1">
        <v>2.64</v>
      </c>
    </row>
    <row r="52" spans="1:12" x14ac:dyDescent="0.2">
      <c r="A52" t="s">
        <v>144</v>
      </c>
      <c r="B52" t="s">
        <v>125</v>
      </c>
      <c r="C52" t="s">
        <v>126</v>
      </c>
      <c r="D52" t="s">
        <v>392</v>
      </c>
      <c r="E52" t="s">
        <v>117</v>
      </c>
      <c r="F52" t="s">
        <v>110</v>
      </c>
      <c r="G52">
        <v>275</v>
      </c>
      <c r="H52" s="1">
        <f>EXP(0.08)</f>
        <v>1.0832870676749586</v>
      </c>
      <c r="I52" s="6">
        <f t="shared" si="4"/>
        <v>7.2053223330619684E-2</v>
      </c>
      <c r="J52" s="1">
        <f t="shared" si="3"/>
        <v>192.61636030911691</v>
      </c>
      <c r="K52" s="1">
        <f>EXP(-0.05)</f>
        <v>0.95122942450071402</v>
      </c>
      <c r="L52" s="1">
        <f>EXP(0.21)</f>
        <v>1.2336780599567432</v>
      </c>
    </row>
    <row r="53" spans="1:12" x14ac:dyDescent="0.2">
      <c r="A53" t="s">
        <v>292</v>
      </c>
      <c r="B53" t="s">
        <v>51</v>
      </c>
      <c r="C53" t="s">
        <v>293</v>
      </c>
      <c r="D53" t="s">
        <v>392</v>
      </c>
      <c r="E53" t="s">
        <v>117</v>
      </c>
      <c r="F53" t="s">
        <v>55</v>
      </c>
      <c r="G53">
        <v>1025</v>
      </c>
      <c r="H53" s="6">
        <v>1.07</v>
      </c>
      <c r="I53" s="6">
        <f t="shared" si="4"/>
        <v>4.5918367346938757E-2</v>
      </c>
      <c r="J53" s="1">
        <f t="shared" si="3"/>
        <v>474.27160493827199</v>
      </c>
      <c r="K53" s="6">
        <v>0.98</v>
      </c>
      <c r="L53" s="6">
        <v>1.1599999999999999</v>
      </c>
    </row>
    <row r="54" spans="1:12" ht="15" customHeight="1" x14ac:dyDescent="0.2">
      <c r="A54" s="11" t="s">
        <v>355</v>
      </c>
      <c r="B54" t="s">
        <v>125</v>
      </c>
      <c r="C54" s="11" t="s">
        <v>356</v>
      </c>
      <c r="D54" t="s">
        <v>392</v>
      </c>
      <c r="E54" t="s">
        <v>117</v>
      </c>
      <c r="F54" s="11" t="s">
        <v>354</v>
      </c>
      <c r="G54" s="11">
        <v>83</v>
      </c>
      <c r="H54" s="12">
        <v>1.4702</v>
      </c>
      <c r="I54" s="6">
        <f t="shared" si="4"/>
        <v>0.64913265306122447</v>
      </c>
      <c r="J54" s="1">
        <f t="shared" si="3"/>
        <v>2.3731931622260816</v>
      </c>
      <c r="K54" s="1">
        <v>0.67200000000000004</v>
      </c>
      <c r="L54" s="1">
        <v>3.2166000000000001</v>
      </c>
    </row>
    <row r="55" spans="1:12" ht="15" customHeight="1" x14ac:dyDescent="0.2">
      <c r="A55" s="11" t="s">
        <v>361</v>
      </c>
      <c r="B55" t="s">
        <v>125</v>
      </c>
      <c r="C55" s="11" t="s">
        <v>357</v>
      </c>
      <c r="D55" t="s">
        <v>392</v>
      </c>
      <c r="E55" t="s">
        <v>117</v>
      </c>
      <c r="F55" s="11" t="s">
        <v>354</v>
      </c>
      <c r="G55" s="11">
        <v>83</v>
      </c>
      <c r="H55" s="12">
        <v>1.5373000000000001</v>
      </c>
      <c r="I55" s="6">
        <f t="shared" si="4"/>
        <v>0.67874999999999996</v>
      </c>
      <c r="J55" s="1">
        <f t="shared" si="3"/>
        <v>2.1706025796255033</v>
      </c>
      <c r="K55" s="1">
        <v>0.70269999999999999</v>
      </c>
      <c r="L55" s="1">
        <v>3.3633999999999999</v>
      </c>
    </row>
    <row r="56" spans="1:12" x14ac:dyDescent="0.2">
      <c r="A56" t="s">
        <v>134</v>
      </c>
      <c r="B56" t="s">
        <v>136</v>
      </c>
      <c r="C56" t="s">
        <v>66</v>
      </c>
      <c r="D56" t="s">
        <v>393</v>
      </c>
      <c r="E56" t="s">
        <v>19</v>
      </c>
      <c r="F56" t="s">
        <v>31</v>
      </c>
      <c r="G56">
        <v>1778</v>
      </c>
      <c r="H56" s="1">
        <v>1.04</v>
      </c>
      <c r="I56" s="1">
        <f t="shared" si="4"/>
        <v>0.33163265306122447</v>
      </c>
      <c r="J56" s="1">
        <f t="shared" ref="J56:J65" si="5">1/((I56)^2)</f>
        <v>9.092544378698225</v>
      </c>
      <c r="K56" s="1">
        <v>0.57999999999999996</v>
      </c>
      <c r="L56" s="1">
        <v>1.88</v>
      </c>
    </row>
    <row r="57" spans="1:12" x14ac:dyDescent="0.2">
      <c r="A57" t="s">
        <v>135</v>
      </c>
      <c r="B57" t="s">
        <v>138</v>
      </c>
      <c r="C57" t="s">
        <v>66</v>
      </c>
      <c r="D57" t="s">
        <v>393</v>
      </c>
      <c r="E57" t="s">
        <v>19</v>
      </c>
      <c r="F57" t="s">
        <v>31</v>
      </c>
      <c r="G57">
        <v>1778</v>
      </c>
      <c r="H57" s="1">
        <v>1.03</v>
      </c>
      <c r="I57" s="1">
        <f t="shared" si="4"/>
        <v>0.34183673469387754</v>
      </c>
      <c r="J57" s="1">
        <f t="shared" si="5"/>
        <v>8.5578079750501228</v>
      </c>
      <c r="K57" s="1">
        <v>0.56000000000000005</v>
      </c>
      <c r="L57" s="1">
        <v>1.9</v>
      </c>
    </row>
    <row r="58" spans="1:12" x14ac:dyDescent="0.2">
      <c r="A58" t="s">
        <v>137</v>
      </c>
      <c r="B58" t="s">
        <v>140</v>
      </c>
      <c r="C58" t="s">
        <v>66</v>
      </c>
      <c r="D58" t="s">
        <v>393</v>
      </c>
      <c r="E58" t="s">
        <v>19</v>
      </c>
      <c r="F58" t="s">
        <v>31</v>
      </c>
      <c r="G58">
        <v>1778</v>
      </c>
      <c r="H58" s="1">
        <v>0.83</v>
      </c>
      <c r="I58" s="1">
        <f t="shared" si="4"/>
        <v>0.31122448979591838</v>
      </c>
      <c r="J58" s="1">
        <f t="shared" si="5"/>
        <v>10.324106423004569</v>
      </c>
      <c r="K58" s="1">
        <v>0.42</v>
      </c>
      <c r="L58" s="1">
        <v>1.64</v>
      </c>
    </row>
    <row r="59" spans="1:12" x14ac:dyDescent="0.2">
      <c r="A59" t="s">
        <v>139</v>
      </c>
      <c r="B59" t="s">
        <v>141</v>
      </c>
      <c r="C59" t="s">
        <v>66</v>
      </c>
      <c r="D59" t="s">
        <v>393</v>
      </c>
      <c r="E59" t="s">
        <v>19</v>
      </c>
      <c r="F59" t="s">
        <v>31</v>
      </c>
      <c r="G59">
        <v>1778</v>
      </c>
      <c r="H59" s="1">
        <v>0.64</v>
      </c>
      <c r="I59" s="1">
        <f t="shared" si="4"/>
        <v>0.30612244897959184</v>
      </c>
      <c r="J59" s="1">
        <f t="shared" si="5"/>
        <v>10.671111111111111</v>
      </c>
      <c r="K59" s="1">
        <v>0.28000000000000003</v>
      </c>
      <c r="L59" s="1">
        <v>1.48</v>
      </c>
    </row>
    <row r="60" spans="1:12" x14ac:dyDescent="0.2">
      <c r="A60" t="s">
        <v>142</v>
      </c>
      <c r="B60" t="s">
        <v>143</v>
      </c>
      <c r="C60" t="s">
        <v>62</v>
      </c>
      <c r="D60" t="s">
        <v>393</v>
      </c>
      <c r="E60" t="s">
        <v>19</v>
      </c>
      <c r="F60" t="s">
        <v>63</v>
      </c>
      <c r="G60">
        <v>92</v>
      </c>
      <c r="H60" s="1">
        <v>1.2629999999999999</v>
      </c>
      <c r="I60" s="1">
        <f t="shared" si="4"/>
        <v>0.23469387755102039</v>
      </c>
      <c r="J60" s="1">
        <f t="shared" si="5"/>
        <v>18.155009451795845</v>
      </c>
      <c r="K60" s="1">
        <v>0.88300000000000001</v>
      </c>
      <c r="L60" s="1">
        <v>1.8029999999999999</v>
      </c>
    </row>
    <row r="61" spans="1:12" x14ac:dyDescent="0.2">
      <c r="A61" s="1" t="s">
        <v>147</v>
      </c>
      <c r="B61" t="s">
        <v>143</v>
      </c>
      <c r="C61" t="s">
        <v>126</v>
      </c>
      <c r="D61" t="s">
        <v>393</v>
      </c>
      <c r="E61" t="s">
        <v>127</v>
      </c>
      <c r="F61" t="s">
        <v>110</v>
      </c>
      <c r="G61">
        <v>275</v>
      </c>
      <c r="H61" s="1">
        <f>EXP(-0.11)</f>
        <v>0.89583413529652822</v>
      </c>
      <c r="I61" s="1">
        <f t="shared" si="4"/>
        <v>6.4197385429110215E-2</v>
      </c>
      <c r="J61" s="1">
        <f t="shared" si="5"/>
        <v>242.64163191896452</v>
      </c>
      <c r="K61" s="1">
        <f>EXP(-0.25)</f>
        <v>0.77880078307140488</v>
      </c>
      <c r="L61" s="1">
        <f>EXP(0.03)</f>
        <v>1.0304545339535169</v>
      </c>
    </row>
    <row r="62" spans="1:12" x14ac:dyDescent="0.2">
      <c r="A62" s="1" t="s">
        <v>123</v>
      </c>
      <c r="B62" t="s">
        <v>146</v>
      </c>
      <c r="C62" t="s">
        <v>109</v>
      </c>
      <c r="D62" t="s">
        <v>393</v>
      </c>
      <c r="E62" t="s">
        <v>46</v>
      </c>
      <c r="F62" t="s">
        <v>110</v>
      </c>
      <c r="G62">
        <v>91</v>
      </c>
      <c r="H62" s="1">
        <v>2.77</v>
      </c>
      <c r="I62" s="1">
        <f t="shared" si="4"/>
        <v>1.6964285714285716</v>
      </c>
      <c r="J62" s="1">
        <f t="shared" si="5"/>
        <v>0.34747922437673123</v>
      </c>
      <c r="K62" s="1">
        <v>1</v>
      </c>
      <c r="L62" s="1">
        <v>7.65</v>
      </c>
    </row>
    <row r="63" spans="1:12" x14ac:dyDescent="0.2">
      <c r="A63" s="1" t="s">
        <v>107</v>
      </c>
      <c r="B63" t="s">
        <v>148</v>
      </c>
      <c r="C63" t="s">
        <v>109</v>
      </c>
      <c r="D63" t="s">
        <v>393</v>
      </c>
      <c r="E63" t="s">
        <v>149</v>
      </c>
      <c r="F63" t="s">
        <v>110</v>
      </c>
      <c r="G63">
        <v>88</v>
      </c>
      <c r="H63" s="1">
        <v>2.87</v>
      </c>
      <c r="I63" s="1">
        <f t="shared" si="4"/>
        <v>1.7602040816326532</v>
      </c>
      <c r="J63" s="1">
        <f t="shared" si="5"/>
        <v>0.32275572358748161</v>
      </c>
      <c r="K63" s="1">
        <v>1.04</v>
      </c>
      <c r="L63" s="1">
        <v>7.94</v>
      </c>
    </row>
    <row r="64" spans="1:12" x14ac:dyDescent="0.2">
      <c r="A64" s="1" t="s">
        <v>111</v>
      </c>
      <c r="B64" t="s">
        <v>146</v>
      </c>
      <c r="C64" t="s">
        <v>109</v>
      </c>
      <c r="D64" t="s">
        <v>393</v>
      </c>
      <c r="E64" t="s">
        <v>150</v>
      </c>
      <c r="F64" t="s">
        <v>110</v>
      </c>
      <c r="G64">
        <v>91</v>
      </c>
      <c r="H64" s="1">
        <v>0.95</v>
      </c>
      <c r="I64" s="1">
        <f t="shared" si="4"/>
        <v>0.68877551020408168</v>
      </c>
      <c r="J64" s="1">
        <f t="shared" si="5"/>
        <v>2.1078737997256511</v>
      </c>
      <c r="K64" s="1">
        <v>0.3</v>
      </c>
      <c r="L64" s="1">
        <v>3</v>
      </c>
    </row>
    <row r="65" spans="1:12" ht="15" customHeight="1" x14ac:dyDescent="0.2">
      <c r="A65" s="1" t="s">
        <v>298</v>
      </c>
      <c r="B65" t="s">
        <v>148</v>
      </c>
      <c r="C65" t="s">
        <v>109</v>
      </c>
      <c r="D65" t="s">
        <v>393</v>
      </c>
      <c r="E65" t="s">
        <v>150</v>
      </c>
      <c r="F65" t="s">
        <v>110</v>
      </c>
      <c r="G65">
        <v>88</v>
      </c>
      <c r="H65" s="1">
        <v>2.92</v>
      </c>
      <c r="I65" s="1">
        <f t="shared" si="4"/>
        <v>1.7780612244897958</v>
      </c>
      <c r="J65" s="1">
        <f t="shared" si="5"/>
        <v>0.31630537927457092</v>
      </c>
      <c r="K65" s="1">
        <v>1.07</v>
      </c>
      <c r="L65" s="1">
        <v>8.0399999999999991</v>
      </c>
    </row>
    <row r="66" spans="1:12" x14ac:dyDescent="0.2">
      <c r="A66" s="1" t="s">
        <v>299</v>
      </c>
      <c r="B66" t="s">
        <v>152</v>
      </c>
      <c r="C66" t="s">
        <v>83</v>
      </c>
      <c r="D66" t="s">
        <v>394</v>
      </c>
      <c r="E66" t="s">
        <v>153</v>
      </c>
      <c r="F66" t="s">
        <v>154</v>
      </c>
      <c r="G66">
        <v>44</v>
      </c>
      <c r="H66" s="6">
        <f>EXP(1.478)</f>
        <v>4.3841685695939479</v>
      </c>
      <c r="I66" s="12">
        <f t="shared" si="4"/>
        <v>2.1955917645655365</v>
      </c>
      <c r="J66" s="1">
        <f t="shared" ref="J66:J70" si="6">1/((I66)^2)</f>
        <v>0.20744205867396839</v>
      </c>
      <c r="K66" s="6">
        <v>1.8399161501281565</v>
      </c>
      <c r="L66" s="6">
        <v>10.446635867225059</v>
      </c>
    </row>
    <row r="67" spans="1:12" x14ac:dyDescent="0.2">
      <c r="A67" s="1" t="s">
        <v>151</v>
      </c>
      <c r="B67" t="s">
        <v>152</v>
      </c>
      <c r="C67" t="s">
        <v>83</v>
      </c>
      <c r="D67" t="s">
        <v>394</v>
      </c>
      <c r="E67" t="s">
        <v>156</v>
      </c>
      <c r="F67" t="s">
        <v>154</v>
      </c>
      <c r="G67">
        <v>39</v>
      </c>
      <c r="H67" s="6">
        <v>1.27634433048945</v>
      </c>
      <c r="I67" s="12">
        <f t="shared" si="4"/>
        <v>0.72237524525462615</v>
      </c>
      <c r="J67" s="1">
        <f t="shared" si="6"/>
        <v>1.9163476133131578</v>
      </c>
      <c r="K67" s="6">
        <v>0.49</v>
      </c>
      <c r="L67" s="6">
        <v>3.3217109613981344</v>
      </c>
    </row>
    <row r="68" spans="1:12" x14ac:dyDescent="0.2">
      <c r="A68" s="1" t="s">
        <v>155</v>
      </c>
      <c r="B68" t="s">
        <v>152</v>
      </c>
      <c r="C68" t="s">
        <v>83</v>
      </c>
      <c r="D68" t="s">
        <v>394</v>
      </c>
      <c r="E68" t="s">
        <v>157</v>
      </c>
      <c r="F68" t="s">
        <v>154</v>
      </c>
      <c r="G68">
        <v>44</v>
      </c>
      <c r="H68" s="6">
        <v>1.8057933061082023</v>
      </c>
      <c r="I68" s="12">
        <f t="shared" si="4"/>
        <v>0.91703673328179081</v>
      </c>
      <c r="J68" s="1">
        <f t="shared" si="6"/>
        <v>1.1891223319662596</v>
      </c>
      <c r="K68" s="6">
        <v>0.75045169030033454</v>
      </c>
      <c r="L68" s="6">
        <v>4.3452356847649547</v>
      </c>
    </row>
    <row r="69" spans="1:12" x14ac:dyDescent="0.2">
      <c r="A69" s="1" t="s">
        <v>158</v>
      </c>
      <c r="B69" t="s">
        <v>152</v>
      </c>
      <c r="C69" t="s">
        <v>159</v>
      </c>
      <c r="D69" t="s">
        <v>394</v>
      </c>
      <c r="E69" t="s">
        <v>160</v>
      </c>
      <c r="F69" t="s">
        <v>161</v>
      </c>
      <c r="G69">
        <v>375</v>
      </c>
      <c r="H69" s="1">
        <f>EXP(0.82)</f>
        <v>2.2704998375324057</v>
      </c>
      <c r="I69" s="12">
        <f t="shared" si="4"/>
        <v>0.11479591836734698</v>
      </c>
      <c r="J69" s="1">
        <f t="shared" si="6"/>
        <v>75.883456790123404</v>
      </c>
      <c r="K69" s="1">
        <v>2.0499999999999998</v>
      </c>
      <c r="L69" s="1">
        <v>2.5</v>
      </c>
    </row>
    <row r="70" spans="1:12" x14ac:dyDescent="0.2">
      <c r="A70" s="1" t="s">
        <v>162</v>
      </c>
      <c r="B70" t="s">
        <v>152</v>
      </c>
      <c r="C70" t="s">
        <v>163</v>
      </c>
      <c r="D70" t="s">
        <v>394</v>
      </c>
      <c r="E70" t="s">
        <v>160</v>
      </c>
      <c r="F70" t="s">
        <v>164</v>
      </c>
      <c r="G70">
        <v>375</v>
      </c>
      <c r="H70" s="1">
        <f>EXP(0.53)</f>
        <v>1.6989323086185506</v>
      </c>
      <c r="I70" s="12">
        <f t="shared" si="4"/>
        <v>0.38775510204081631</v>
      </c>
      <c r="J70" s="1">
        <f t="shared" si="6"/>
        <v>6.6509695290858728</v>
      </c>
      <c r="K70" s="1">
        <v>1.1000000000000001</v>
      </c>
      <c r="L70" s="1">
        <v>2.62</v>
      </c>
    </row>
    <row r="71" spans="1:12" x14ac:dyDescent="0.2">
      <c r="A71" s="1" t="s">
        <v>370</v>
      </c>
      <c r="B71" t="s">
        <v>371</v>
      </c>
      <c r="C71" t="s">
        <v>62</v>
      </c>
      <c r="E71" t="s">
        <v>19</v>
      </c>
      <c r="G71">
        <v>92</v>
      </c>
      <c r="H71" s="1">
        <v>1.8009999999999999</v>
      </c>
      <c r="I71" s="12">
        <f t="shared" si="4"/>
        <v>0.47295918367346934</v>
      </c>
      <c r="J71" s="1">
        <f t="shared" ref="J71" si="7">1/((I71)^2)</f>
        <v>4.4704647463311504</v>
      </c>
      <c r="K71" s="1">
        <v>1.099</v>
      </c>
      <c r="L71" s="1">
        <v>2.9529999999999998</v>
      </c>
    </row>
    <row r="72" spans="1:12" x14ac:dyDescent="0.2">
      <c r="A72" s="1"/>
    </row>
    <row r="74" spans="1:12" x14ac:dyDescent="0.2">
      <c r="H74"/>
      <c r="I74"/>
      <c r="J74"/>
      <c r="K74"/>
      <c r="L74"/>
    </row>
    <row r="75" spans="1:12" x14ac:dyDescent="0.2">
      <c r="H75"/>
      <c r="I75"/>
      <c r="J75"/>
      <c r="K75"/>
      <c r="L75"/>
    </row>
    <row r="76" spans="1:12" x14ac:dyDescent="0.2">
      <c r="H76"/>
      <c r="I76"/>
      <c r="J76"/>
      <c r="K76"/>
      <c r="L76"/>
    </row>
    <row r="77" spans="1:12" x14ac:dyDescent="0.2">
      <c r="H77"/>
      <c r="I77"/>
      <c r="J77"/>
      <c r="K77"/>
      <c r="L77"/>
    </row>
    <row r="78" spans="1:12" x14ac:dyDescent="0.2">
      <c r="H78"/>
      <c r="I78"/>
      <c r="J78"/>
      <c r="K78"/>
      <c r="L78"/>
    </row>
    <row r="79" spans="1:12" x14ac:dyDescent="0.2">
      <c r="H79"/>
      <c r="I79"/>
      <c r="J79"/>
      <c r="K79"/>
      <c r="L79"/>
    </row>
    <row r="80" spans="1:12" x14ac:dyDescent="0.2">
      <c r="H80"/>
      <c r="I80"/>
      <c r="J80"/>
      <c r="K80"/>
      <c r="L80"/>
    </row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</sheetData>
  <mergeCells count="1">
    <mergeCell ref="A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ECC6-5DA1-4B2E-BB2B-CD1FA651640B}">
  <dimension ref="B3:C35"/>
  <sheetViews>
    <sheetView workbookViewId="0">
      <selection activeCell="E20" sqref="E20"/>
    </sheetView>
  </sheetViews>
  <sheetFormatPr baseColWidth="10" defaultColWidth="9.1640625" defaultRowHeight="15" x14ac:dyDescent="0.2"/>
  <cols>
    <col min="2" max="2" width="15.5" style="16" bestFit="1" customWidth="1"/>
    <col min="3" max="3" width="49" bestFit="1" customWidth="1"/>
  </cols>
  <sheetData>
    <row r="3" spans="2:3" x14ac:dyDescent="0.2">
      <c r="B3" s="18" t="s">
        <v>433</v>
      </c>
      <c r="C3" s="2" t="s">
        <v>432</v>
      </c>
    </row>
    <row r="4" spans="2:3" x14ac:dyDescent="0.2">
      <c r="B4" s="17" t="s">
        <v>19</v>
      </c>
      <c r="C4" t="s">
        <v>431</v>
      </c>
    </row>
    <row r="5" spans="2:3" x14ac:dyDescent="0.2">
      <c r="B5" s="16" t="s">
        <v>115</v>
      </c>
      <c r="C5" t="s">
        <v>430</v>
      </c>
    </row>
    <row r="6" spans="2:3" x14ac:dyDescent="0.2">
      <c r="B6" s="16" t="s">
        <v>98</v>
      </c>
      <c r="C6" t="s">
        <v>429</v>
      </c>
    </row>
    <row r="7" spans="2:3" x14ac:dyDescent="0.2">
      <c r="B7" s="16" t="s">
        <v>117</v>
      </c>
      <c r="C7" t="s">
        <v>428</v>
      </c>
    </row>
    <row r="8" spans="2:3" x14ac:dyDescent="0.2">
      <c r="B8" s="16" t="s">
        <v>168</v>
      </c>
      <c r="C8" t="s">
        <v>427</v>
      </c>
    </row>
    <row r="9" spans="2:3" x14ac:dyDescent="0.2">
      <c r="B9" s="16" t="s">
        <v>180</v>
      </c>
      <c r="C9" t="s">
        <v>426</v>
      </c>
    </row>
    <row r="10" spans="2:3" x14ac:dyDescent="0.2">
      <c r="B10" s="16" t="s">
        <v>425</v>
      </c>
      <c r="C10" t="s">
        <v>424</v>
      </c>
    </row>
    <row r="11" spans="2:3" x14ac:dyDescent="0.2">
      <c r="B11" s="16" t="s">
        <v>393</v>
      </c>
      <c r="C11" t="s">
        <v>373</v>
      </c>
    </row>
    <row r="12" spans="2:3" x14ac:dyDescent="0.2">
      <c r="B12" s="16" t="s">
        <v>2</v>
      </c>
      <c r="C12" t="s">
        <v>423</v>
      </c>
    </row>
    <row r="13" spans="2:3" x14ac:dyDescent="0.2">
      <c r="B13" s="16" t="s">
        <v>179</v>
      </c>
      <c r="C13" t="s">
        <v>422</v>
      </c>
    </row>
    <row r="14" spans="2:3" x14ac:dyDescent="0.2">
      <c r="B14" s="16" t="s">
        <v>183</v>
      </c>
      <c r="C14" t="s">
        <v>421</v>
      </c>
    </row>
    <row r="15" spans="2:3" x14ac:dyDescent="0.2">
      <c r="B15" s="16" t="s">
        <v>190</v>
      </c>
      <c r="C15" t="s">
        <v>420</v>
      </c>
    </row>
    <row r="16" spans="2:3" x14ac:dyDescent="0.2">
      <c r="B16" s="16" t="s">
        <v>191</v>
      </c>
      <c r="C16" t="s">
        <v>419</v>
      </c>
    </row>
    <row r="17" spans="2:3" x14ac:dyDescent="0.2">
      <c r="B17" s="16" t="s">
        <v>192</v>
      </c>
      <c r="C17" t="s">
        <v>418</v>
      </c>
    </row>
    <row r="18" spans="2:3" x14ac:dyDescent="0.2">
      <c r="B18" s="16" t="s">
        <v>193</v>
      </c>
      <c r="C18" t="s">
        <v>417</v>
      </c>
    </row>
    <row r="19" spans="2:3" x14ac:dyDescent="0.2">
      <c r="B19" s="16" t="s">
        <v>195</v>
      </c>
      <c r="C19" t="s">
        <v>416</v>
      </c>
    </row>
    <row r="20" spans="2:3" x14ac:dyDescent="0.2">
      <c r="B20" s="16" t="s">
        <v>197</v>
      </c>
      <c r="C20" t="s">
        <v>415</v>
      </c>
    </row>
    <row r="21" spans="2:3" x14ac:dyDescent="0.2">
      <c r="B21" s="16" t="s">
        <v>394</v>
      </c>
      <c r="C21" t="s">
        <v>372</v>
      </c>
    </row>
    <row r="22" spans="2:3" x14ac:dyDescent="0.2">
      <c r="B22" s="16" t="s">
        <v>198</v>
      </c>
      <c r="C22" t="s">
        <v>414</v>
      </c>
    </row>
    <row r="23" spans="2:3" x14ac:dyDescent="0.2">
      <c r="B23" s="16" t="s">
        <v>413</v>
      </c>
      <c r="C23" t="s">
        <v>412</v>
      </c>
    </row>
    <row r="24" spans="2:3" x14ac:dyDescent="0.2">
      <c r="B24" s="16" t="s">
        <v>238</v>
      </c>
      <c r="C24" t="s">
        <v>411</v>
      </c>
    </row>
    <row r="25" spans="2:3" x14ac:dyDescent="0.2">
      <c r="B25" s="16" t="s">
        <v>10</v>
      </c>
      <c r="C25" t="s">
        <v>410</v>
      </c>
    </row>
    <row r="26" spans="2:3" x14ac:dyDescent="0.2">
      <c r="B26" s="16" t="s">
        <v>392</v>
      </c>
      <c r="C26" t="s">
        <v>409</v>
      </c>
    </row>
    <row r="27" spans="2:3" x14ac:dyDescent="0.2">
      <c r="B27" s="16" t="s">
        <v>265</v>
      </c>
      <c r="C27" t="s">
        <v>408</v>
      </c>
    </row>
    <row r="28" spans="2:3" x14ac:dyDescent="0.2">
      <c r="B28" s="16" t="s">
        <v>375</v>
      </c>
      <c r="C28" t="s">
        <v>407</v>
      </c>
    </row>
    <row r="29" spans="2:3" x14ac:dyDescent="0.2">
      <c r="B29" s="16" t="s">
        <v>406</v>
      </c>
      <c r="C29" t="s">
        <v>405</v>
      </c>
    </row>
    <row r="30" spans="2:3" x14ac:dyDescent="0.2">
      <c r="B30" s="16" t="s">
        <v>404</v>
      </c>
      <c r="C30" t="s">
        <v>403</v>
      </c>
    </row>
    <row r="31" spans="2:3" x14ac:dyDescent="0.2">
      <c r="B31" s="16" t="s">
        <v>11</v>
      </c>
      <c r="C31" t="s">
        <v>402</v>
      </c>
    </row>
    <row r="32" spans="2:3" x14ac:dyDescent="0.2">
      <c r="B32" s="16" t="s">
        <v>381</v>
      </c>
      <c r="C32" t="s">
        <v>401</v>
      </c>
    </row>
    <row r="33" spans="2:3" x14ac:dyDescent="0.2">
      <c r="B33" s="16" t="s">
        <v>400</v>
      </c>
      <c r="C33" t="s">
        <v>399</v>
      </c>
    </row>
    <row r="34" spans="2:3" x14ac:dyDescent="0.2">
      <c r="B34" s="16" t="s">
        <v>3</v>
      </c>
      <c r="C34" t="s">
        <v>398</v>
      </c>
    </row>
    <row r="35" spans="2:3" x14ac:dyDescent="0.2">
      <c r="B35" s="16" t="s">
        <v>12</v>
      </c>
      <c r="C35" t="s">
        <v>397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C7BD-3F36-46C0-8956-258D07D4D704}">
  <dimension ref="A2:O24"/>
  <sheetViews>
    <sheetView zoomScale="90" zoomScaleNormal="90" workbookViewId="0">
      <selection activeCell="C31" sqref="C31"/>
    </sheetView>
  </sheetViews>
  <sheetFormatPr baseColWidth="10" defaultColWidth="8.83203125" defaultRowHeight="15" x14ac:dyDescent="0.2"/>
  <cols>
    <col min="1" max="1" width="20.33203125" bestFit="1" customWidth="1"/>
    <col min="2" max="2" width="1.6640625" bestFit="1" customWidth="1"/>
    <col min="3" max="3" width="24" style="1" customWidth="1"/>
    <col min="4" max="4" width="50" style="1" customWidth="1"/>
    <col min="5" max="5" width="1.6640625" style="1" bestFit="1" customWidth="1"/>
    <col min="6" max="6" width="24.1640625" bestFit="1" customWidth="1"/>
    <col min="7" max="7" width="9.83203125" style="1" bestFit="1" customWidth="1"/>
    <col min="8" max="8" width="6.6640625" bestFit="1" customWidth="1"/>
    <col min="9" max="9" width="10.6640625" bestFit="1" customWidth="1"/>
    <col min="10" max="10" width="12.1640625" bestFit="1" customWidth="1"/>
    <col min="11" max="12" width="5" customWidth="1"/>
    <col min="13" max="13" width="13.33203125" bestFit="1" customWidth="1"/>
    <col min="14" max="14" width="8.5" bestFit="1" customWidth="1"/>
    <col min="15" max="15" width="5" style="1" bestFit="1" customWidth="1"/>
  </cols>
  <sheetData>
    <row r="2" spans="1:15" x14ac:dyDescent="0.2">
      <c r="A2" s="19" t="s">
        <v>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5" x14ac:dyDescent="0.2">
      <c r="A3" s="2" t="s">
        <v>1</v>
      </c>
      <c r="B3" s="2" t="s">
        <v>5</v>
      </c>
      <c r="C3" s="3" t="s">
        <v>6</v>
      </c>
      <c r="D3" s="3" t="s">
        <v>7</v>
      </c>
      <c r="E3" s="2" t="s">
        <v>5</v>
      </c>
      <c r="F3" s="2" t="s">
        <v>8</v>
      </c>
      <c r="G3" s="3" t="s">
        <v>9</v>
      </c>
      <c r="H3" s="3" t="s">
        <v>4</v>
      </c>
      <c r="I3" s="3" t="s">
        <v>367</v>
      </c>
      <c r="J3" s="3" t="s">
        <v>369</v>
      </c>
      <c r="K3" s="2" t="s">
        <v>10</v>
      </c>
      <c r="L3" s="3" t="s">
        <v>11</v>
      </c>
      <c r="M3" s="3" t="s">
        <v>12</v>
      </c>
      <c r="N3" s="2" t="s">
        <v>2</v>
      </c>
      <c r="O3" s="2" t="s">
        <v>3</v>
      </c>
    </row>
    <row r="4" spans="1:15" x14ac:dyDescent="0.2">
      <c r="A4" s="4" t="s">
        <v>285</v>
      </c>
      <c r="B4" s="2" t="s">
        <v>5</v>
      </c>
      <c r="C4" s="5" t="s">
        <v>13</v>
      </c>
      <c r="D4" s="5" t="s">
        <v>14</v>
      </c>
      <c r="E4" s="2" t="s">
        <v>5</v>
      </c>
      <c r="F4" s="4" t="s">
        <v>15</v>
      </c>
      <c r="G4" s="1" t="s">
        <v>16</v>
      </c>
      <c r="H4" s="1">
        <v>374</v>
      </c>
      <c r="I4" s="1">
        <v>65</v>
      </c>
      <c r="J4" s="1">
        <f t="shared" ref="J4:J9" si="0">H4-I4</f>
        <v>309</v>
      </c>
      <c r="K4" s="8">
        <v>1.59</v>
      </c>
      <c r="L4" s="6">
        <f>(O4-N4)/3.92</f>
        <v>0.29591836734693877</v>
      </c>
      <c r="M4" s="6">
        <f>1/((L4)^2)</f>
        <v>11.419738406658739</v>
      </c>
      <c r="N4">
        <v>1.1100000000000001</v>
      </c>
      <c r="O4">
        <v>2.27</v>
      </c>
    </row>
    <row r="5" spans="1:15" x14ac:dyDescent="0.2">
      <c r="A5" s="4" t="s">
        <v>286</v>
      </c>
      <c r="B5" s="2" t="s">
        <v>5</v>
      </c>
      <c r="C5" s="5" t="s">
        <v>17</v>
      </c>
      <c r="D5" s="5" t="s">
        <v>18</v>
      </c>
      <c r="E5" s="2" t="s">
        <v>5</v>
      </c>
      <c r="F5" s="4" t="s">
        <v>19</v>
      </c>
      <c r="G5" s="1" t="s">
        <v>20</v>
      </c>
      <c r="H5" s="1">
        <v>255</v>
      </c>
      <c r="I5" s="1">
        <v>55</v>
      </c>
      <c r="J5" s="1">
        <f t="shared" si="0"/>
        <v>200</v>
      </c>
      <c r="K5" s="8">
        <v>1.84</v>
      </c>
      <c r="L5" s="6">
        <f t="shared" ref="L5:L21" si="1">(O5-N5)/3.92</f>
        <v>0.68622448979591832</v>
      </c>
      <c r="M5" s="6">
        <f t="shared" ref="M5:M22" si="2">1/((L5)^2)</f>
        <v>2.1235748538577415</v>
      </c>
      <c r="N5">
        <v>0.93</v>
      </c>
      <c r="O5">
        <v>3.62</v>
      </c>
    </row>
    <row r="6" spans="1:15" x14ac:dyDescent="0.2">
      <c r="A6" s="4" t="s">
        <v>287</v>
      </c>
      <c r="B6" s="2" t="s">
        <v>5</v>
      </c>
      <c r="C6" s="5" t="s">
        <v>21</v>
      </c>
      <c r="D6" s="5" t="s">
        <v>22</v>
      </c>
      <c r="E6" s="2" t="s">
        <v>5</v>
      </c>
      <c r="F6" s="4" t="s">
        <v>19</v>
      </c>
      <c r="G6" s="1" t="s">
        <v>23</v>
      </c>
      <c r="H6" s="1">
        <v>2357</v>
      </c>
      <c r="I6" s="1">
        <v>182</v>
      </c>
      <c r="J6" s="1">
        <f t="shared" si="0"/>
        <v>2175</v>
      </c>
      <c r="K6" s="8">
        <v>2.1800000000000002</v>
      </c>
      <c r="L6" s="6">
        <f t="shared" si="1"/>
        <v>0.59693877551020402</v>
      </c>
      <c r="M6" s="6">
        <f t="shared" si="2"/>
        <v>2.8063408576229096</v>
      </c>
      <c r="N6">
        <v>1.3</v>
      </c>
      <c r="O6">
        <v>3.64</v>
      </c>
    </row>
    <row r="7" spans="1:15" x14ac:dyDescent="0.2">
      <c r="A7" s="4" t="s">
        <v>288</v>
      </c>
      <c r="B7" s="2" t="s">
        <v>5</v>
      </c>
      <c r="C7" s="5" t="s">
        <v>24</v>
      </c>
      <c r="D7" s="5" t="s">
        <v>22</v>
      </c>
      <c r="E7" s="2" t="s">
        <v>5</v>
      </c>
      <c r="F7" s="4" t="s">
        <v>19</v>
      </c>
      <c r="G7" s="1" t="s">
        <v>23</v>
      </c>
      <c r="H7" s="1">
        <v>2357</v>
      </c>
      <c r="I7" s="1">
        <v>182</v>
      </c>
      <c r="J7" s="1">
        <f t="shared" si="0"/>
        <v>2175</v>
      </c>
      <c r="K7" s="8">
        <v>3.14</v>
      </c>
      <c r="L7" s="6">
        <f t="shared" si="1"/>
        <v>1.125</v>
      </c>
      <c r="M7" s="6">
        <f t="shared" si="2"/>
        <v>0.79012345679012341</v>
      </c>
      <c r="N7">
        <v>1.63</v>
      </c>
      <c r="O7">
        <v>6.04</v>
      </c>
    </row>
    <row r="8" spans="1:15" x14ac:dyDescent="0.2">
      <c r="A8" s="4" t="s">
        <v>25</v>
      </c>
      <c r="B8" s="2" t="s">
        <v>5</v>
      </c>
      <c r="C8" s="5" t="s">
        <v>290</v>
      </c>
      <c r="D8" s="5" t="s">
        <v>14</v>
      </c>
      <c r="E8" s="2" t="s">
        <v>5</v>
      </c>
      <c r="F8" s="4" t="s">
        <v>19</v>
      </c>
      <c r="G8" s="1" t="s">
        <v>26</v>
      </c>
      <c r="H8" s="1">
        <v>5494</v>
      </c>
      <c r="I8" s="1">
        <v>550</v>
      </c>
      <c r="J8" s="1">
        <f t="shared" si="0"/>
        <v>4944</v>
      </c>
      <c r="K8" s="8">
        <v>2.39</v>
      </c>
      <c r="L8" s="6">
        <f t="shared" si="1"/>
        <v>0.48724489795918363</v>
      </c>
      <c r="M8" s="6">
        <f t="shared" si="2"/>
        <v>4.2121652366985565</v>
      </c>
      <c r="N8">
        <v>1.62</v>
      </c>
      <c r="O8">
        <v>3.53</v>
      </c>
    </row>
    <row r="9" spans="1:15" x14ac:dyDescent="0.2">
      <c r="A9" s="4" t="s">
        <v>27</v>
      </c>
      <c r="B9" s="2" t="s">
        <v>5</v>
      </c>
      <c r="C9" s="5" t="s">
        <v>289</v>
      </c>
      <c r="D9" s="5" t="s">
        <v>14</v>
      </c>
      <c r="E9" s="2" t="s">
        <v>5</v>
      </c>
      <c r="F9" s="4" t="s">
        <v>19</v>
      </c>
      <c r="G9" s="1" t="s">
        <v>26</v>
      </c>
      <c r="H9" s="1">
        <v>5494</v>
      </c>
      <c r="I9" s="1">
        <v>550</v>
      </c>
      <c r="J9" s="1">
        <f t="shared" si="0"/>
        <v>4944</v>
      </c>
      <c r="K9" s="8">
        <v>1.35</v>
      </c>
      <c r="L9" s="6">
        <f t="shared" si="1"/>
        <v>0.19387755102040816</v>
      </c>
      <c r="M9" s="6">
        <f t="shared" si="2"/>
        <v>26.603878116343491</v>
      </c>
      <c r="N9">
        <v>1.02</v>
      </c>
      <c r="O9">
        <v>1.78</v>
      </c>
    </row>
    <row r="10" spans="1:15" x14ac:dyDescent="0.2">
      <c r="A10" s="4" t="s">
        <v>28</v>
      </c>
      <c r="B10" s="2" t="s">
        <v>5</v>
      </c>
      <c r="C10" s="5" t="s">
        <v>29</v>
      </c>
      <c r="D10" s="5" t="s">
        <v>30</v>
      </c>
      <c r="E10" s="2" t="s">
        <v>5</v>
      </c>
      <c r="F10" s="4" t="s">
        <v>19</v>
      </c>
      <c r="G10" s="1" t="s">
        <v>31</v>
      </c>
      <c r="H10" s="1">
        <v>426</v>
      </c>
      <c r="I10" s="1">
        <v>213</v>
      </c>
      <c r="J10" s="1">
        <v>213</v>
      </c>
      <c r="K10" s="6">
        <v>1.83</v>
      </c>
      <c r="L10" s="6">
        <f t="shared" si="1"/>
        <v>0.44897959183673475</v>
      </c>
      <c r="M10" s="6">
        <f t="shared" si="2"/>
        <v>4.9607438016528915</v>
      </c>
      <c r="N10">
        <v>1.1499999999999999</v>
      </c>
      <c r="O10" s="1">
        <v>2.91</v>
      </c>
    </row>
    <row r="11" spans="1:15" x14ac:dyDescent="0.2">
      <c r="A11" s="4" t="s">
        <v>32</v>
      </c>
      <c r="B11" s="2" t="s">
        <v>5</v>
      </c>
      <c r="C11" s="5" t="s">
        <v>33</v>
      </c>
      <c r="D11" s="5" t="s">
        <v>30</v>
      </c>
      <c r="E11" s="2" t="s">
        <v>5</v>
      </c>
      <c r="F11" s="4" t="s">
        <v>19</v>
      </c>
      <c r="G11" s="1" t="s">
        <v>31</v>
      </c>
      <c r="H11" s="1">
        <v>428</v>
      </c>
      <c r="I11">
        <v>214</v>
      </c>
      <c r="J11">
        <v>214</v>
      </c>
      <c r="K11" s="6">
        <v>1.1000000000000001</v>
      </c>
      <c r="L11" s="6">
        <f>(O11-N11)/3.92</f>
        <v>3.3163265306122423E-2</v>
      </c>
      <c r="M11" s="6">
        <f t="shared" si="2"/>
        <v>909.25443786982385</v>
      </c>
      <c r="N11" s="1">
        <v>1.03</v>
      </c>
      <c r="O11" s="1">
        <v>1.1599999999999999</v>
      </c>
    </row>
    <row r="12" spans="1:15" x14ac:dyDescent="0.2">
      <c r="A12" s="4" t="s">
        <v>34</v>
      </c>
      <c r="B12" s="2" t="s">
        <v>5</v>
      </c>
      <c r="C12" s="5" t="s">
        <v>33</v>
      </c>
      <c r="D12" s="5" t="s">
        <v>35</v>
      </c>
      <c r="E12" s="2" t="s">
        <v>5</v>
      </c>
      <c r="F12" s="4" t="s">
        <v>19</v>
      </c>
      <c r="G12" s="7" t="s">
        <v>36</v>
      </c>
      <c r="H12" s="1">
        <v>885</v>
      </c>
      <c r="I12" s="1">
        <v>143</v>
      </c>
      <c r="J12" s="1">
        <v>742</v>
      </c>
      <c r="K12" s="8">
        <f>EXP(0.52)</f>
        <v>1.6820276496988864</v>
      </c>
      <c r="L12" s="6">
        <f t="shared" si="1"/>
        <v>0.42525783981709719</v>
      </c>
      <c r="M12" s="6">
        <f t="shared" si="2"/>
        <v>5.5296207028439621</v>
      </c>
      <c r="N12">
        <f>EXP(0.05)</f>
        <v>1.0512710963760241</v>
      </c>
      <c r="O12" s="1">
        <f>EXP(1)</f>
        <v>2.7182818284590451</v>
      </c>
    </row>
    <row r="13" spans="1:15" x14ac:dyDescent="0.2">
      <c r="A13" s="4" t="s">
        <v>37</v>
      </c>
      <c r="B13" s="2" t="s">
        <v>5</v>
      </c>
      <c r="C13" s="5" t="s">
        <v>33</v>
      </c>
      <c r="D13" s="5" t="s">
        <v>38</v>
      </c>
      <c r="E13" s="2" t="s">
        <v>5</v>
      </c>
      <c r="F13" s="4" t="s">
        <v>19</v>
      </c>
      <c r="G13" s="7" t="s">
        <v>36</v>
      </c>
      <c r="H13" s="1">
        <v>885</v>
      </c>
      <c r="I13" s="1">
        <v>143</v>
      </c>
      <c r="J13" s="1">
        <v>742</v>
      </c>
      <c r="K13" s="8">
        <v>1.7332530178673953</v>
      </c>
      <c r="L13" s="6">
        <f t="shared" si="1"/>
        <v>0.56300088907884016</v>
      </c>
      <c r="M13" s="6">
        <f t="shared" si="2"/>
        <v>3.154872689902497</v>
      </c>
      <c r="N13" s="8">
        <v>0.95122942450071402</v>
      </c>
      <c r="O13" s="1">
        <v>3.1581929096897672</v>
      </c>
    </row>
    <row r="14" spans="1:15" x14ac:dyDescent="0.2">
      <c r="A14" s="4" t="s">
        <v>39</v>
      </c>
      <c r="B14" s="2" t="s">
        <v>5</v>
      </c>
      <c r="C14" s="5" t="s">
        <v>29</v>
      </c>
      <c r="D14" s="5" t="s">
        <v>30</v>
      </c>
      <c r="E14" s="2" t="s">
        <v>5</v>
      </c>
      <c r="F14" s="4" t="s">
        <v>278</v>
      </c>
      <c r="G14" s="1" t="s">
        <v>31</v>
      </c>
      <c r="H14" s="1">
        <v>116</v>
      </c>
      <c r="I14" s="1">
        <f>H14/2</f>
        <v>58</v>
      </c>
      <c r="J14" s="1">
        <v>58</v>
      </c>
      <c r="K14" s="8">
        <v>3.85</v>
      </c>
      <c r="L14" s="6">
        <f>(O14-N14)/3.92</f>
        <v>2.0586734693877551</v>
      </c>
      <c r="M14" s="6">
        <f t="shared" si="2"/>
        <v>0.23595276153974901</v>
      </c>
      <c r="N14">
        <v>1.54</v>
      </c>
      <c r="O14" s="1">
        <v>9.61</v>
      </c>
    </row>
    <row r="15" spans="1:15" x14ac:dyDescent="0.2">
      <c r="A15" s="4" t="s">
        <v>40</v>
      </c>
      <c r="B15" s="2" t="s">
        <v>5</v>
      </c>
      <c r="C15" s="5" t="s">
        <v>33</v>
      </c>
      <c r="D15" s="5" t="s">
        <v>30</v>
      </c>
      <c r="E15" s="2" t="s">
        <v>5</v>
      </c>
      <c r="F15" s="4" t="s">
        <v>278</v>
      </c>
      <c r="G15" s="1" t="s">
        <v>31</v>
      </c>
      <c r="H15" s="1">
        <v>118</v>
      </c>
      <c r="I15" s="1">
        <f>H15/2</f>
        <v>59</v>
      </c>
      <c r="J15" s="1">
        <v>59</v>
      </c>
      <c r="K15" s="8">
        <v>1.06</v>
      </c>
      <c r="L15" s="6">
        <f t="shared" si="1"/>
        <v>5.1020408163265293E-2</v>
      </c>
      <c r="M15" s="6">
        <f t="shared" si="2"/>
        <v>384.1600000000002</v>
      </c>
      <c r="N15">
        <v>0.97</v>
      </c>
      <c r="O15" s="6">
        <v>1.17</v>
      </c>
    </row>
    <row r="16" spans="1:15" x14ac:dyDescent="0.2">
      <c r="A16" s="4" t="s">
        <v>41</v>
      </c>
      <c r="B16" s="2" t="s">
        <v>5</v>
      </c>
      <c r="C16" s="5" t="s">
        <v>33</v>
      </c>
      <c r="D16" s="5" t="s">
        <v>35</v>
      </c>
      <c r="E16" s="2" t="s">
        <v>5</v>
      </c>
      <c r="F16" s="4" t="s">
        <v>237</v>
      </c>
      <c r="G16" s="7" t="s">
        <v>36</v>
      </c>
      <c r="H16" s="1">
        <v>885</v>
      </c>
      <c r="I16" s="1">
        <v>143</v>
      </c>
      <c r="J16" s="1">
        <v>742</v>
      </c>
      <c r="K16" s="8">
        <v>1.3364274880254721</v>
      </c>
      <c r="L16" s="6">
        <f t="shared" si="1"/>
        <v>0.15821201611059357</v>
      </c>
      <c r="M16" s="6">
        <f t="shared" si="2"/>
        <v>39.950394327608244</v>
      </c>
      <c r="N16">
        <v>1.0618365465453596</v>
      </c>
      <c r="O16" s="1">
        <v>1.6820276496988864</v>
      </c>
    </row>
    <row r="17" spans="1:15" x14ac:dyDescent="0.2">
      <c r="A17" s="4" t="s">
        <v>42</v>
      </c>
      <c r="B17" s="2" t="s">
        <v>5</v>
      </c>
      <c r="C17" s="5" t="s">
        <v>33</v>
      </c>
      <c r="D17" s="5" t="s">
        <v>38</v>
      </c>
      <c r="E17" s="2" t="s">
        <v>5</v>
      </c>
      <c r="F17" s="4" t="s">
        <v>237</v>
      </c>
      <c r="G17" s="7" t="s">
        <v>36</v>
      </c>
      <c r="H17" s="1">
        <v>885</v>
      </c>
      <c r="I17" s="1">
        <v>143</v>
      </c>
      <c r="J17" s="1">
        <v>742</v>
      </c>
      <c r="K17" s="8">
        <v>1.2214027581601699</v>
      </c>
      <c r="L17" s="6">
        <f t="shared" si="1"/>
        <v>0.18976628894494099</v>
      </c>
      <c r="M17" s="6">
        <f t="shared" si="2"/>
        <v>27.769104236965148</v>
      </c>
      <c r="N17">
        <v>0.90483741803595952</v>
      </c>
      <c r="O17" s="1">
        <v>1.6487212707001282</v>
      </c>
    </row>
    <row r="18" spans="1:15" x14ac:dyDescent="0.2">
      <c r="A18" s="4" t="s">
        <v>43</v>
      </c>
      <c r="B18" s="2" t="s">
        <v>5</v>
      </c>
      <c r="C18" s="5" t="s">
        <v>33</v>
      </c>
      <c r="D18" s="5" t="s">
        <v>35</v>
      </c>
      <c r="E18" s="2" t="s">
        <v>5</v>
      </c>
      <c r="F18" s="4" t="s">
        <v>365</v>
      </c>
      <c r="G18" s="7" t="s">
        <v>36</v>
      </c>
      <c r="H18" s="1">
        <v>885</v>
      </c>
      <c r="I18" s="1">
        <v>143</v>
      </c>
      <c r="J18" s="1">
        <v>742</v>
      </c>
      <c r="K18" s="8">
        <v>1.2586000099294778</v>
      </c>
      <c r="L18" s="6">
        <f t="shared" si="1"/>
        <v>0.1779315934182179</v>
      </c>
      <c r="M18" s="6">
        <f t="shared" si="2"/>
        <v>31.58594421728235</v>
      </c>
      <c r="N18" s="8">
        <v>0.95122942450071402</v>
      </c>
      <c r="O18" s="1">
        <v>1.6487212707001282</v>
      </c>
    </row>
    <row r="19" spans="1:15" x14ac:dyDescent="0.2">
      <c r="A19" s="4" t="s">
        <v>44</v>
      </c>
      <c r="B19" s="2" t="s">
        <v>5</v>
      </c>
      <c r="C19" s="5" t="s">
        <v>33</v>
      </c>
      <c r="D19" s="5" t="s">
        <v>38</v>
      </c>
      <c r="E19" s="2" t="s">
        <v>5</v>
      </c>
      <c r="F19" s="4" t="s">
        <v>365</v>
      </c>
      <c r="G19" s="7" t="s">
        <v>36</v>
      </c>
      <c r="H19" s="1">
        <v>885</v>
      </c>
      <c r="I19" s="1">
        <v>143</v>
      </c>
      <c r="J19" s="1">
        <v>742</v>
      </c>
      <c r="K19" s="8">
        <v>1.4190675485932571</v>
      </c>
      <c r="L19" s="6">
        <f t="shared" si="1"/>
        <v>0.25093504238747816</v>
      </c>
      <c r="M19" s="6">
        <f t="shared" si="2"/>
        <v>15.880982707137193</v>
      </c>
      <c r="N19" s="8">
        <v>1.0100501670841679</v>
      </c>
      <c r="O19" s="1">
        <v>1.9937155332430823</v>
      </c>
    </row>
    <row r="20" spans="1:15" x14ac:dyDescent="0.2">
      <c r="A20" s="4" t="s">
        <v>284</v>
      </c>
      <c r="B20" s="2"/>
      <c r="C20" s="5" t="s">
        <v>17</v>
      </c>
      <c r="D20" s="5" t="s">
        <v>18</v>
      </c>
      <c r="E20" s="2"/>
      <c r="F20" s="4" t="s">
        <v>365</v>
      </c>
      <c r="G20" s="1" t="s">
        <v>20</v>
      </c>
      <c r="H20" s="1">
        <v>253</v>
      </c>
      <c r="I20" s="1">
        <v>53</v>
      </c>
      <c r="J20" s="1">
        <v>200</v>
      </c>
      <c r="K20" s="8">
        <f>EXP(0.143)</f>
        <v>1.1537298016660105</v>
      </c>
      <c r="L20" s="6">
        <f>EXP(0.135)</f>
        <v>1.1445367843513146</v>
      </c>
      <c r="M20" s="6">
        <f t="shared" si="2"/>
        <v>0.76337949433685315</v>
      </c>
      <c r="N20">
        <f>EXP(LN(K20)-(1.96*L20))</f>
        <v>0.12242066428095684</v>
      </c>
      <c r="O20">
        <f>EXP(LN(K20)+1.96*L20)</f>
        <v>10.873102699372875</v>
      </c>
    </row>
    <row r="21" spans="1:15" x14ac:dyDescent="0.2">
      <c r="A21" s="4" t="s">
        <v>45</v>
      </c>
      <c r="B21" s="2" t="s">
        <v>5</v>
      </c>
      <c r="C21" s="5" t="s">
        <v>29</v>
      </c>
      <c r="D21" s="5" t="s">
        <v>30</v>
      </c>
      <c r="E21" s="2" t="s">
        <v>5</v>
      </c>
      <c r="F21" s="4" t="s">
        <v>365</v>
      </c>
      <c r="G21" s="1" t="s">
        <v>31</v>
      </c>
      <c r="H21" s="1">
        <v>310</v>
      </c>
      <c r="I21" s="1">
        <v>155</v>
      </c>
      <c r="J21" s="1">
        <v>155</v>
      </c>
      <c r="K21" s="8">
        <v>1.27</v>
      </c>
      <c r="L21" s="6">
        <f t="shared" si="1"/>
        <v>0.38775510204081637</v>
      </c>
      <c r="M21" s="6">
        <f t="shared" si="2"/>
        <v>6.6509695290858719</v>
      </c>
      <c r="N21">
        <v>0.72</v>
      </c>
      <c r="O21" s="1">
        <v>2.2400000000000002</v>
      </c>
    </row>
    <row r="22" spans="1:15" x14ac:dyDescent="0.2">
      <c r="A22" s="4" t="s">
        <v>47</v>
      </c>
      <c r="B22" s="2" t="s">
        <v>5</v>
      </c>
      <c r="C22" s="5" t="s">
        <v>33</v>
      </c>
      <c r="D22" s="5" t="s">
        <v>30</v>
      </c>
      <c r="E22" s="2" t="s">
        <v>5</v>
      </c>
      <c r="F22" s="4" t="s">
        <v>365</v>
      </c>
      <c r="G22" s="1" t="s">
        <v>31</v>
      </c>
      <c r="H22" s="1">
        <v>310</v>
      </c>
      <c r="I22" s="1">
        <v>155</v>
      </c>
      <c r="J22" s="1">
        <v>155</v>
      </c>
      <c r="K22" s="8">
        <v>1.1100000000000001</v>
      </c>
      <c r="L22" s="6">
        <f>(O22-N22)/3.92</f>
        <v>4.8469387755102025E-2</v>
      </c>
      <c r="M22" s="6">
        <f t="shared" si="2"/>
        <v>425.66204986149609</v>
      </c>
      <c r="N22">
        <v>1.02</v>
      </c>
      <c r="O22" s="1">
        <v>1.21</v>
      </c>
    </row>
    <row r="23" spans="1:15" x14ac:dyDescent="0.2">
      <c r="E23"/>
      <c r="I23" s="1"/>
      <c r="O23"/>
    </row>
    <row r="24" spans="1:15" x14ac:dyDescent="0.2">
      <c r="E24"/>
      <c r="G24" s="1" t="s">
        <v>5</v>
      </c>
    </row>
  </sheetData>
  <sortState xmlns:xlrd2="http://schemas.microsoft.com/office/spreadsheetml/2017/richdata2" ref="A4:I22">
    <sortCondition ref="F4:F22"/>
  </sortState>
  <mergeCells count="1">
    <mergeCell ref="A2:O2"/>
  </mergeCells>
  <conditionalFormatting sqref="I11:J11">
    <cfRule type="cellIs" dxfId="0" priority="1" operator="greaterThan">
      <formula>1000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2FA7-11AD-4EEC-88F5-6649C0F7DE65}">
  <dimension ref="A1:M88"/>
  <sheetViews>
    <sheetView zoomScale="70" zoomScaleNormal="70" workbookViewId="0">
      <selection activeCell="B2" sqref="B1:B1048576"/>
    </sheetView>
  </sheetViews>
  <sheetFormatPr baseColWidth="10" defaultColWidth="8.83203125" defaultRowHeight="15" x14ac:dyDescent="0.2"/>
  <cols>
    <col min="1" max="1" width="19.1640625" bestFit="1" customWidth="1"/>
    <col min="2" max="2" width="25.83203125" customWidth="1"/>
    <col min="3" max="3" width="36.33203125" customWidth="1"/>
    <col min="4" max="4" width="4.83203125" bestFit="1" customWidth="1"/>
    <col min="5" max="5" width="1.6640625" bestFit="1" customWidth="1"/>
    <col min="6" max="6" width="19.1640625" bestFit="1" customWidth="1"/>
    <col min="7" max="7" width="9.83203125" bestFit="1" customWidth="1"/>
    <col min="8" max="8" width="8.6640625" bestFit="1" customWidth="1"/>
    <col min="9" max="11" width="9.1640625" style="1"/>
    <col min="12" max="12" width="11.5" style="1" bestFit="1" customWidth="1"/>
    <col min="13" max="13" width="12" style="1" bestFit="1" customWidth="1"/>
  </cols>
  <sheetData>
    <row r="1" spans="1:13" x14ac:dyDescent="0.2">
      <c r="A1" s="19" t="s">
        <v>165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x14ac:dyDescent="0.2">
      <c r="A2" s="3" t="s">
        <v>1</v>
      </c>
      <c r="B2" s="3" t="s">
        <v>6</v>
      </c>
      <c r="C2" s="3" t="s">
        <v>7</v>
      </c>
      <c r="D2" s="3" t="s">
        <v>166</v>
      </c>
      <c r="E2" s="3"/>
      <c r="F2" s="3" t="s">
        <v>8</v>
      </c>
      <c r="G2" s="3" t="s">
        <v>9</v>
      </c>
      <c r="H2" s="9" t="s">
        <v>4</v>
      </c>
      <c r="I2" s="3" t="s">
        <v>10</v>
      </c>
      <c r="J2" s="3" t="s">
        <v>11</v>
      </c>
      <c r="K2" s="3" t="s">
        <v>12</v>
      </c>
      <c r="L2" s="3" t="s">
        <v>48</v>
      </c>
      <c r="M2" s="3" t="s">
        <v>49</v>
      </c>
    </row>
    <row r="3" spans="1:13" x14ac:dyDescent="0.2">
      <c r="A3" s="1" t="s">
        <v>167</v>
      </c>
      <c r="B3" t="s">
        <v>168</v>
      </c>
      <c r="C3" t="s">
        <v>169</v>
      </c>
      <c r="D3" t="s">
        <v>170</v>
      </c>
      <c r="E3" t="s">
        <v>5</v>
      </c>
      <c r="F3" t="s">
        <v>19</v>
      </c>
      <c r="G3" t="s">
        <v>53</v>
      </c>
      <c r="H3">
        <v>116</v>
      </c>
      <c r="I3" s="1">
        <v>1.79</v>
      </c>
      <c r="J3" s="1">
        <f t="shared" ref="J3:J34" si="0">(M3-L3)/3.92</f>
        <v>0.61734693877551017</v>
      </c>
      <c r="K3" s="1">
        <f>1/((J3)^2)</f>
        <v>2.623864490130456</v>
      </c>
      <c r="L3" s="1">
        <v>0.95</v>
      </c>
      <c r="M3" s="1">
        <v>3.37</v>
      </c>
    </row>
    <row r="4" spans="1:13" x14ac:dyDescent="0.2">
      <c r="A4" s="1" t="s">
        <v>171</v>
      </c>
      <c r="B4" t="s">
        <v>168</v>
      </c>
      <c r="C4" t="s">
        <v>172</v>
      </c>
      <c r="D4" t="s">
        <v>170</v>
      </c>
      <c r="E4" t="s">
        <v>5</v>
      </c>
      <c r="F4" t="s">
        <v>19</v>
      </c>
      <c r="G4" t="s">
        <v>53</v>
      </c>
      <c r="H4">
        <v>116</v>
      </c>
      <c r="I4" s="1">
        <v>7.44</v>
      </c>
      <c r="J4" s="1">
        <f t="shared" si="0"/>
        <v>2.5994897959183674</v>
      </c>
      <c r="K4" s="1">
        <f t="shared" ref="K4:K51" si="1">1/((J4)^2)</f>
        <v>0.14798706808133202</v>
      </c>
      <c r="L4" s="1">
        <v>3.91</v>
      </c>
      <c r="M4" s="1">
        <v>14.1</v>
      </c>
    </row>
    <row r="5" spans="1:13" x14ac:dyDescent="0.2">
      <c r="A5" s="1" t="s">
        <v>173</v>
      </c>
      <c r="B5" t="s">
        <v>168</v>
      </c>
      <c r="C5" t="s">
        <v>174</v>
      </c>
      <c r="D5" t="s">
        <v>170</v>
      </c>
      <c r="E5" t="s">
        <v>5</v>
      </c>
      <c r="F5" t="s">
        <v>19</v>
      </c>
      <c r="G5" t="s">
        <v>53</v>
      </c>
      <c r="H5">
        <v>117</v>
      </c>
      <c r="I5" s="1">
        <v>9.41</v>
      </c>
      <c r="J5" s="1">
        <f t="shared" si="0"/>
        <v>3.3647959183673475</v>
      </c>
      <c r="K5" s="1">
        <f t="shared" si="1"/>
        <v>8.8324775644470679E-2</v>
      </c>
      <c r="L5" s="1">
        <v>4.91</v>
      </c>
      <c r="M5" s="1">
        <v>18.100000000000001</v>
      </c>
    </row>
    <row r="6" spans="1:13" x14ac:dyDescent="0.2">
      <c r="A6" s="1" t="s">
        <v>175</v>
      </c>
      <c r="B6" t="s">
        <v>168</v>
      </c>
      <c r="C6" t="s">
        <v>176</v>
      </c>
      <c r="D6" t="s">
        <v>170</v>
      </c>
      <c r="E6" t="s">
        <v>5</v>
      </c>
      <c r="F6" t="s">
        <v>19</v>
      </c>
      <c r="G6" t="s">
        <v>53</v>
      </c>
      <c r="H6">
        <v>465</v>
      </c>
      <c r="I6" s="1">
        <v>4.2</v>
      </c>
      <c r="J6" s="1">
        <f t="shared" si="0"/>
        <v>0.91836734693877553</v>
      </c>
      <c r="K6" s="1">
        <f t="shared" si="1"/>
        <v>1.1856790123456789</v>
      </c>
      <c r="L6" s="1">
        <v>2.77</v>
      </c>
      <c r="M6" s="1">
        <v>6.37</v>
      </c>
    </row>
    <row r="7" spans="1:13" x14ac:dyDescent="0.2">
      <c r="A7" s="1" t="s">
        <v>232</v>
      </c>
      <c r="B7" t="s">
        <v>168</v>
      </c>
      <c r="C7" t="s">
        <v>177</v>
      </c>
      <c r="D7" t="s">
        <v>170</v>
      </c>
      <c r="E7" t="s">
        <v>5</v>
      </c>
      <c r="F7" t="s">
        <v>19</v>
      </c>
      <c r="G7" t="s">
        <v>178</v>
      </c>
      <c r="H7">
        <v>454</v>
      </c>
      <c r="I7" s="1">
        <v>5.68</v>
      </c>
      <c r="J7" s="1">
        <f t="shared" si="0"/>
        <v>4.6428571428571423</v>
      </c>
      <c r="K7" s="1">
        <f t="shared" si="1"/>
        <v>4.6390532544378707E-2</v>
      </c>
      <c r="L7" s="1">
        <v>1.63</v>
      </c>
      <c r="M7" s="1">
        <v>19.829999999999998</v>
      </c>
    </row>
    <row r="8" spans="1:13" x14ac:dyDescent="0.2">
      <c r="A8" s="1" t="s">
        <v>231</v>
      </c>
      <c r="B8" t="s">
        <v>168</v>
      </c>
      <c r="C8" t="s">
        <v>177</v>
      </c>
      <c r="D8" t="s">
        <v>170</v>
      </c>
      <c r="E8" t="s">
        <v>5</v>
      </c>
      <c r="F8" t="s">
        <v>301</v>
      </c>
      <c r="G8" t="s">
        <v>178</v>
      </c>
      <c r="H8">
        <v>460</v>
      </c>
      <c r="I8" s="1">
        <v>3.82</v>
      </c>
      <c r="J8" s="1">
        <f t="shared" si="0"/>
        <v>2.8290816326530615</v>
      </c>
      <c r="K8" s="1">
        <f t="shared" si="1"/>
        <v>0.12494216920173576</v>
      </c>
      <c r="L8" s="1">
        <v>1.19</v>
      </c>
      <c r="M8" s="1">
        <v>12.28</v>
      </c>
    </row>
    <row r="9" spans="1:13" x14ac:dyDescent="0.2">
      <c r="A9" s="1" t="s">
        <v>227</v>
      </c>
      <c r="B9" t="s">
        <v>168</v>
      </c>
      <c r="C9" t="s">
        <v>177</v>
      </c>
      <c r="D9" t="s">
        <v>170</v>
      </c>
      <c r="E9" t="s">
        <v>5</v>
      </c>
      <c r="F9" t="s">
        <v>301</v>
      </c>
      <c r="G9" t="s">
        <v>178</v>
      </c>
      <c r="H9">
        <v>459</v>
      </c>
      <c r="I9" s="1">
        <v>4.51</v>
      </c>
      <c r="J9" s="1">
        <f t="shared" si="0"/>
        <v>6.0510204081632661</v>
      </c>
      <c r="K9" s="1">
        <f t="shared" si="1"/>
        <v>2.7311324644745179E-2</v>
      </c>
      <c r="L9" s="1">
        <v>0.83</v>
      </c>
      <c r="M9" s="1">
        <v>24.55</v>
      </c>
    </row>
    <row r="10" spans="1:13" x14ac:dyDescent="0.2">
      <c r="A10" s="1" t="s">
        <v>304</v>
      </c>
      <c r="B10" t="s">
        <v>179</v>
      </c>
      <c r="C10" t="s">
        <v>180</v>
      </c>
      <c r="D10" t="s">
        <v>170</v>
      </c>
      <c r="E10" t="s">
        <v>5</v>
      </c>
      <c r="F10" t="s">
        <v>117</v>
      </c>
      <c r="G10" t="s">
        <v>181</v>
      </c>
      <c r="H10">
        <v>311</v>
      </c>
      <c r="I10" s="6">
        <v>0.74</v>
      </c>
      <c r="J10" s="1">
        <f t="shared" si="0"/>
        <v>0.22704081632653064</v>
      </c>
      <c r="K10" s="1">
        <f t="shared" si="1"/>
        <v>19.399570761267512</v>
      </c>
      <c r="L10" s="6">
        <v>0.42</v>
      </c>
      <c r="M10" s="6">
        <v>1.31</v>
      </c>
    </row>
    <row r="11" spans="1:13" x14ac:dyDescent="0.2">
      <c r="A11" s="1" t="s">
        <v>307</v>
      </c>
      <c r="B11" t="s">
        <v>183</v>
      </c>
      <c r="C11" t="s">
        <v>184</v>
      </c>
      <c r="D11" t="s">
        <v>170</v>
      </c>
      <c r="E11" t="s">
        <v>5</v>
      </c>
      <c r="F11" t="s">
        <v>117</v>
      </c>
      <c r="G11" t="s">
        <v>185</v>
      </c>
      <c r="H11">
        <v>1723</v>
      </c>
      <c r="I11" s="6">
        <v>1.0832870676749586</v>
      </c>
      <c r="J11" s="1">
        <f t="shared" si="0"/>
        <v>0.14532586202865352</v>
      </c>
      <c r="K11" s="1">
        <f t="shared" si="1"/>
        <v>47.349367774362463</v>
      </c>
      <c r="L11" s="6">
        <v>0.835270211411272</v>
      </c>
      <c r="M11" s="6">
        <v>1.4049475905635938</v>
      </c>
    </row>
    <row r="12" spans="1:13" x14ac:dyDescent="0.2">
      <c r="A12" s="1" t="s">
        <v>309</v>
      </c>
      <c r="B12" t="s">
        <v>183</v>
      </c>
      <c r="C12" t="s">
        <v>184</v>
      </c>
      <c r="D12" t="s">
        <v>170</v>
      </c>
      <c r="E12" t="s">
        <v>5</v>
      </c>
      <c r="F12" t="s">
        <v>117</v>
      </c>
      <c r="G12" t="s">
        <v>187</v>
      </c>
      <c r="H12">
        <v>972</v>
      </c>
      <c r="I12" s="6">
        <v>1.1274968515793757</v>
      </c>
      <c r="J12" s="1">
        <f t="shared" si="0"/>
        <v>0.20343760083032697</v>
      </c>
      <c r="K12" s="1">
        <f t="shared" si="1"/>
        <v>24.1622597621168</v>
      </c>
      <c r="L12" s="6">
        <v>0.80251879796247849</v>
      </c>
      <c r="M12" s="6">
        <v>1.5999941932173602</v>
      </c>
    </row>
    <row r="13" spans="1:13" x14ac:dyDescent="0.2">
      <c r="A13" s="1" t="s">
        <v>308</v>
      </c>
      <c r="B13" t="s">
        <v>183</v>
      </c>
      <c r="C13" t="s">
        <v>184</v>
      </c>
      <c r="D13" t="s">
        <v>170</v>
      </c>
      <c r="E13" t="s">
        <v>5</v>
      </c>
      <c r="F13" t="s">
        <v>117</v>
      </c>
      <c r="G13" t="s">
        <v>189</v>
      </c>
      <c r="H13">
        <v>751</v>
      </c>
      <c r="I13" s="6">
        <v>1.0618365465453596</v>
      </c>
      <c r="J13" s="1">
        <f t="shared" si="0"/>
        <v>0.2185055772264182</v>
      </c>
      <c r="K13" s="1">
        <f t="shared" si="1"/>
        <v>20.944738713134015</v>
      </c>
      <c r="L13" s="6">
        <v>0.71177032276260965</v>
      </c>
      <c r="M13" s="6">
        <v>1.5683121854901689</v>
      </c>
    </row>
    <row r="14" spans="1:13" x14ac:dyDescent="0.2">
      <c r="A14" s="1" t="s">
        <v>303</v>
      </c>
      <c r="B14" t="s">
        <v>183</v>
      </c>
      <c r="C14" t="s">
        <v>180</v>
      </c>
      <c r="D14" t="s">
        <v>170</v>
      </c>
      <c r="E14" t="s">
        <v>5</v>
      </c>
      <c r="F14" t="s">
        <v>117</v>
      </c>
      <c r="G14" t="s">
        <v>181</v>
      </c>
      <c r="H14">
        <v>311</v>
      </c>
      <c r="I14" s="6">
        <v>1</v>
      </c>
      <c r="J14" s="1">
        <f t="shared" si="0"/>
        <v>0.18223965787615912</v>
      </c>
      <c r="K14" s="1">
        <f t="shared" si="1"/>
        <v>30.110239999572659</v>
      </c>
      <c r="L14" s="6">
        <v>0.70468808971871344</v>
      </c>
      <c r="M14" s="6">
        <v>1.4190675485932571</v>
      </c>
    </row>
    <row r="15" spans="1:13" x14ac:dyDescent="0.2">
      <c r="A15" s="1" t="s">
        <v>313</v>
      </c>
      <c r="B15" t="s">
        <v>190</v>
      </c>
      <c r="C15" t="s">
        <v>184</v>
      </c>
      <c r="D15" t="s">
        <v>170</v>
      </c>
      <c r="E15" t="s">
        <v>5</v>
      </c>
      <c r="F15" t="s">
        <v>117</v>
      </c>
      <c r="G15" t="s">
        <v>185</v>
      </c>
      <c r="H15">
        <v>1723</v>
      </c>
      <c r="I15" s="6">
        <v>1.1502737988572274</v>
      </c>
      <c r="J15" s="1">
        <f t="shared" si="0"/>
        <v>0.26663780869090703</v>
      </c>
      <c r="K15" s="1">
        <f t="shared" si="1"/>
        <v>14.06554410876033</v>
      </c>
      <c r="L15" s="6">
        <v>0.74081822068171788</v>
      </c>
      <c r="M15" s="6">
        <v>1.7860384307500734</v>
      </c>
    </row>
    <row r="16" spans="1:13" x14ac:dyDescent="0.2">
      <c r="A16" s="1" t="s">
        <v>314</v>
      </c>
      <c r="B16" t="s">
        <v>190</v>
      </c>
      <c r="C16" t="s">
        <v>184</v>
      </c>
      <c r="D16" t="s">
        <v>170</v>
      </c>
      <c r="E16" t="s">
        <v>5</v>
      </c>
      <c r="F16" t="s">
        <v>117</v>
      </c>
      <c r="G16" t="s">
        <v>189</v>
      </c>
      <c r="H16">
        <v>751</v>
      </c>
      <c r="I16" s="6">
        <v>3.03</v>
      </c>
      <c r="J16" s="1">
        <f t="shared" si="0"/>
        <v>1.2372448979591837</v>
      </c>
      <c r="K16" s="1">
        <f t="shared" si="1"/>
        <v>0.65326389626952919</v>
      </c>
      <c r="L16" s="6">
        <v>1.45</v>
      </c>
      <c r="M16" s="6">
        <v>6.3</v>
      </c>
    </row>
    <row r="17" spans="1:13" x14ac:dyDescent="0.2">
      <c r="A17" s="1" t="s">
        <v>315</v>
      </c>
      <c r="B17" t="s">
        <v>190</v>
      </c>
      <c r="C17" t="s">
        <v>184</v>
      </c>
      <c r="D17" t="s">
        <v>170</v>
      </c>
      <c r="E17" t="s">
        <v>5</v>
      </c>
      <c r="F17" t="s">
        <v>117</v>
      </c>
      <c r="G17" t="s">
        <v>187</v>
      </c>
      <c r="H17">
        <v>972</v>
      </c>
      <c r="I17" s="6">
        <v>1.73</v>
      </c>
      <c r="J17" s="1">
        <f t="shared" si="0"/>
        <v>0.70408163265306134</v>
      </c>
      <c r="K17" s="1">
        <f t="shared" si="1"/>
        <v>2.0172232724217594</v>
      </c>
      <c r="L17" s="6">
        <v>0.84</v>
      </c>
      <c r="M17" s="6">
        <v>3.6</v>
      </c>
    </row>
    <row r="18" spans="1:13" x14ac:dyDescent="0.2">
      <c r="A18" s="1" t="s">
        <v>306</v>
      </c>
      <c r="B18" t="s">
        <v>191</v>
      </c>
      <c r="C18" t="s">
        <v>180</v>
      </c>
      <c r="D18" t="s">
        <v>170</v>
      </c>
      <c r="E18" t="s">
        <v>5</v>
      </c>
      <c r="F18" t="s">
        <v>117</v>
      </c>
      <c r="G18" t="s">
        <v>181</v>
      </c>
      <c r="H18">
        <v>311</v>
      </c>
      <c r="I18" s="6">
        <v>1.8221188003905089</v>
      </c>
      <c r="J18" s="1">
        <f t="shared" si="0"/>
        <v>0.58087526538238521</v>
      </c>
      <c r="K18" s="1">
        <f t="shared" si="1"/>
        <v>2.9636999457186519</v>
      </c>
      <c r="L18" s="6">
        <v>1.0100501670841679</v>
      </c>
      <c r="M18" s="6">
        <v>3.2870812073831179</v>
      </c>
    </row>
    <row r="19" spans="1:13" x14ac:dyDescent="0.2">
      <c r="A19" s="1" t="s">
        <v>319</v>
      </c>
      <c r="B19" t="s">
        <v>191</v>
      </c>
      <c r="C19" t="s">
        <v>184</v>
      </c>
      <c r="D19" t="s">
        <v>170</v>
      </c>
      <c r="E19" t="s">
        <v>5</v>
      </c>
      <c r="F19" t="s">
        <v>117</v>
      </c>
      <c r="G19" t="s">
        <v>185</v>
      </c>
      <c r="H19">
        <v>1723</v>
      </c>
      <c r="I19" s="6">
        <v>1.3364274880254721</v>
      </c>
      <c r="J19" s="1">
        <f t="shared" si="0"/>
        <v>0.27039452728551516</v>
      </c>
      <c r="K19" s="1">
        <f t="shared" si="1"/>
        <v>13.677420694499776</v>
      </c>
      <c r="L19" s="6">
        <v>0.91393118527122819</v>
      </c>
      <c r="M19" s="6">
        <v>1.9738777322304477</v>
      </c>
    </row>
    <row r="20" spans="1:13" x14ac:dyDescent="0.2">
      <c r="A20" s="1" t="s">
        <v>320</v>
      </c>
      <c r="B20" t="s">
        <v>191</v>
      </c>
      <c r="C20" t="s">
        <v>184</v>
      </c>
      <c r="D20" t="s">
        <v>170</v>
      </c>
      <c r="E20" t="s">
        <v>5</v>
      </c>
      <c r="F20" t="s">
        <v>117</v>
      </c>
      <c r="G20" t="s">
        <v>189</v>
      </c>
      <c r="H20">
        <v>751</v>
      </c>
      <c r="I20" s="6">
        <v>1.9347923344020317</v>
      </c>
      <c r="J20" s="1">
        <f t="shared" si="0"/>
        <v>0.49223239848580236</v>
      </c>
      <c r="K20" s="1">
        <f t="shared" si="1"/>
        <v>4.1272389105506759</v>
      </c>
      <c r="L20" s="6">
        <v>1.1972173631218102</v>
      </c>
      <c r="M20" s="6">
        <v>3.1267683651861553</v>
      </c>
    </row>
    <row r="21" spans="1:13" x14ac:dyDescent="0.2">
      <c r="A21" s="1" t="s">
        <v>321</v>
      </c>
      <c r="B21" t="s">
        <v>191</v>
      </c>
      <c r="C21" t="s">
        <v>184</v>
      </c>
      <c r="D21" t="s">
        <v>170</v>
      </c>
      <c r="E21" t="s">
        <v>5</v>
      </c>
      <c r="F21" t="s">
        <v>117</v>
      </c>
      <c r="G21" t="s">
        <v>187</v>
      </c>
      <c r="H21">
        <v>972</v>
      </c>
      <c r="I21" s="6">
        <v>1.0618365465453596</v>
      </c>
      <c r="J21" s="1">
        <f t="shared" si="0"/>
        <v>0.3854801891758643</v>
      </c>
      <c r="K21" s="1">
        <f t="shared" si="1"/>
        <v>6.7297026134810833</v>
      </c>
      <c r="L21" s="6">
        <v>0.54335086907449981</v>
      </c>
      <c r="M21" s="6">
        <v>2.0544332106438876</v>
      </c>
    </row>
    <row r="22" spans="1:13" x14ac:dyDescent="0.2">
      <c r="A22" s="1" t="s">
        <v>194</v>
      </c>
      <c r="B22" t="s">
        <v>192</v>
      </c>
      <c r="C22" t="s">
        <v>180</v>
      </c>
      <c r="D22" t="s">
        <v>170</v>
      </c>
      <c r="E22" t="s">
        <v>5</v>
      </c>
      <c r="F22" t="s">
        <v>117</v>
      </c>
      <c r="G22" t="s">
        <v>181</v>
      </c>
      <c r="H22">
        <v>311</v>
      </c>
      <c r="I22" s="6">
        <v>2.3869108535242765</v>
      </c>
      <c r="J22" s="1">
        <f t="shared" si="0"/>
        <v>0.90857241888164386</v>
      </c>
      <c r="K22" s="1">
        <f t="shared" si="1"/>
        <v>1.2113814026268601</v>
      </c>
      <c r="L22" s="6">
        <v>1.1972173631218102</v>
      </c>
      <c r="M22" s="6">
        <v>4.7588212451378542</v>
      </c>
    </row>
    <row r="23" spans="1:13" x14ac:dyDescent="0.2">
      <c r="A23" s="1" t="s">
        <v>305</v>
      </c>
      <c r="B23" t="s">
        <v>193</v>
      </c>
      <c r="C23" t="s">
        <v>180</v>
      </c>
      <c r="D23" t="s">
        <v>170</v>
      </c>
      <c r="E23" t="s">
        <v>5</v>
      </c>
      <c r="F23" t="s">
        <v>117</v>
      </c>
      <c r="G23" t="s">
        <v>181</v>
      </c>
      <c r="H23">
        <v>311</v>
      </c>
      <c r="I23" s="6">
        <v>1.8964808793049515</v>
      </c>
      <c r="J23" s="1">
        <f t="shared" si="0"/>
        <v>0.60724968420849124</v>
      </c>
      <c r="K23" s="1">
        <f t="shared" si="1"/>
        <v>2.711848382264872</v>
      </c>
      <c r="L23" s="6">
        <v>1.0408107741923882</v>
      </c>
      <c r="M23" s="6">
        <v>3.4212295362896734</v>
      </c>
    </row>
    <row r="24" spans="1:13" x14ac:dyDescent="0.2">
      <c r="A24" s="1" t="s">
        <v>316</v>
      </c>
      <c r="B24" t="s">
        <v>193</v>
      </c>
      <c r="C24" t="s">
        <v>184</v>
      </c>
      <c r="D24" t="s">
        <v>170</v>
      </c>
      <c r="E24" t="s">
        <v>5</v>
      </c>
      <c r="F24" t="s">
        <v>117</v>
      </c>
      <c r="G24" t="s">
        <v>185</v>
      </c>
      <c r="H24">
        <v>1723</v>
      </c>
      <c r="I24" s="6">
        <v>1.3231298123374369</v>
      </c>
      <c r="J24" s="1">
        <f t="shared" si="0"/>
        <v>0.27402190426108974</v>
      </c>
      <c r="K24" s="1">
        <f t="shared" si="1"/>
        <v>13.31770651144109</v>
      </c>
      <c r="L24" s="6">
        <v>0.89583413529652822</v>
      </c>
      <c r="M24" s="6">
        <v>1.97</v>
      </c>
    </row>
    <row r="25" spans="1:13" x14ac:dyDescent="0.2">
      <c r="A25" s="1" t="s">
        <v>317</v>
      </c>
      <c r="B25" t="s">
        <v>193</v>
      </c>
      <c r="C25" t="s">
        <v>184</v>
      </c>
      <c r="D25" t="s">
        <v>170</v>
      </c>
      <c r="E25" t="s">
        <v>5</v>
      </c>
      <c r="F25" t="s">
        <v>117</v>
      </c>
      <c r="G25" t="s">
        <v>189</v>
      </c>
      <c r="H25">
        <v>751</v>
      </c>
      <c r="I25" s="6">
        <v>1.93</v>
      </c>
      <c r="J25" s="1">
        <f t="shared" si="0"/>
        <v>0.49234693877551022</v>
      </c>
      <c r="K25" s="1">
        <f t="shared" si="1"/>
        <v>4.1253188005047114</v>
      </c>
      <c r="L25" s="6">
        <v>1.2</v>
      </c>
      <c r="M25" s="6">
        <v>3.13</v>
      </c>
    </row>
    <row r="26" spans="1:13" x14ac:dyDescent="0.2">
      <c r="A26" s="1" t="s">
        <v>318</v>
      </c>
      <c r="B26" t="s">
        <v>193</v>
      </c>
      <c r="C26" t="s">
        <v>184</v>
      </c>
      <c r="D26" t="s">
        <v>170</v>
      </c>
      <c r="E26" t="s">
        <v>5</v>
      </c>
      <c r="F26" t="s">
        <v>117</v>
      </c>
      <c r="G26" t="s">
        <v>187</v>
      </c>
      <c r="H26">
        <v>972</v>
      </c>
      <c r="I26" s="6">
        <v>1.06</v>
      </c>
      <c r="J26" s="1">
        <f t="shared" si="0"/>
        <v>0.38520408163265302</v>
      </c>
      <c r="K26" s="1">
        <f t="shared" si="1"/>
        <v>6.7393535371255666</v>
      </c>
      <c r="L26" s="6">
        <v>0.54</v>
      </c>
      <c r="M26" s="6">
        <v>2.0499999999999998</v>
      </c>
    </row>
    <row r="27" spans="1:13" x14ac:dyDescent="0.2">
      <c r="A27" s="1" t="s">
        <v>196</v>
      </c>
      <c r="B27" t="s">
        <v>195</v>
      </c>
      <c r="C27" t="s">
        <v>180</v>
      </c>
      <c r="D27" t="s">
        <v>170</v>
      </c>
      <c r="E27" t="s">
        <v>5</v>
      </c>
      <c r="F27" t="s">
        <v>117</v>
      </c>
      <c r="G27" t="s">
        <v>181</v>
      </c>
      <c r="H27">
        <v>311</v>
      </c>
      <c r="I27" s="6">
        <v>0.6636502501363194</v>
      </c>
      <c r="J27" s="1">
        <f t="shared" si="0"/>
        <v>0.16236943487103134</v>
      </c>
      <c r="K27" s="1">
        <f t="shared" si="1"/>
        <v>37.930751024461834</v>
      </c>
      <c r="L27" s="6">
        <v>0.41478291168158138</v>
      </c>
      <c r="M27" s="6">
        <v>1.0512710963760241</v>
      </c>
    </row>
    <row r="28" spans="1:13" x14ac:dyDescent="0.2">
      <c r="A28" s="1" t="s">
        <v>302</v>
      </c>
      <c r="B28" t="s">
        <v>197</v>
      </c>
      <c r="C28" t="s">
        <v>180</v>
      </c>
      <c r="D28" t="s">
        <v>170</v>
      </c>
      <c r="E28" t="s">
        <v>5</v>
      </c>
      <c r="F28" t="s">
        <v>117</v>
      </c>
      <c r="G28" t="s">
        <v>181</v>
      </c>
      <c r="H28">
        <v>311</v>
      </c>
      <c r="I28" s="6">
        <v>1.0618365465453596</v>
      </c>
      <c r="J28" s="1">
        <f t="shared" si="0"/>
        <v>0.25979015294963448</v>
      </c>
      <c r="K28" s="1">
        <f t="shared" si="1"/>
        <v>14.816807166208536</v>
      </c>
      <c r="L28" s="6">
        <v>0.6636502501363194</v>
      </c>
      <c r="M28" s="6">
        <v>1.6820276496988864</v>
      </c>
    </row>
    <row r="29" spans="1:13" x14ac:dyDescent="0.2">
      <c r="A29" s="1" t="s">
        <v>310</v>
      </c>
      <c r="B29" t="s">
        <v>198</v>
      </c>
      <c r="C29" t="s">
        <v>184</v>
      </c>
      <c r="D29" t="s">
        <v>170</v>
      </c>
      <c r="E29" t="s">
        <v>5</v>
      </c>
      <c r="F29" t="s">
        <v>117</v>
      </c>
      <c r="G29" t="s">
        <v>185</v>
      </c>
      <c r="H29">
        <v>1723</v>
      </c>
      <c r="I29" s="6">
        <v>1.9738777322304477</v>
      </c>
      <c r="J29" s="1">
        <f t="shared" si="0"/>
        <v>0.48293120031362557</v>
      </c>
      <c r="K29" s="1">
        <f t="shared" si="1"/>
        <v>4.2877501541469805</v>
      </c>
      <c r="L29" s="6">
        <v>1.2336780599567432</v>
      </c>
      <c r="M29" s="6">
        <v>3.1267683651861553</v>
      </c>
    </row>
    <row r="30" spans="1:13" x14ac:dyDescent="0.2">
      <c r="A30" s="1" t="s">
        <v>311</v>
      </c>
      <c r="B30" t="s">
        <v>198</v>
      </c>
      <c r="C30" t="s">
        <v>184</v>
      </c>
      <c r="D30" t="s">
        <v>170</v>
      </c>
      <c r="E30" t="s">
        <v>5</v>
      </c>
      <c r="F30" t="s">
        <v>117</v>
      </c>
      <c r="G30" t="s">
        <v>189</v>
      </c>
      <c r="H30">
        <v>751</v>
      </c>
      <c r="I30" s="6">
        <v>3.0343583944356758</v>
      </c>
      <c r="J30" s="1">
        <f t="shared" si="0"/>
        <v>1.2369397057049318</v>
      </c>
      <c r="K30" s="1">
        <f t="shared" si="1"/>
        <v>0.6535862978801954</v>
      </c>
      <c r="L30" s="6">
        <v>1.4477346146633245</v>
      </c>
      <c r="M30" s="6">
        <v>6.2965382610266571</v>
      </c>
    </row>
    <row r="31" spans="1:13" x14ac:dyDescent="0.2">
      <c r="A31" s="1" t="s">
        <v>312</v>
      </c>
      <c r="B31" t="s">
        <v>198</v>
      </c>
      <c r="C31" t="s">
        <v>184</v>
      </c>
      <c r="D31" t="s">
        <v>170</v>
      </c>
      <c r="E31" t="s">
        <v>5</v>
      </c>
      <c r="F31" t="s">
        <v>117</v>
      </c>
      <c r="G31" t="s">
        <v>187</v>
      </c>
      <c r="H31">
        <v>972</v>
      </c>
      <c r="I31" s="6">
        <v>1.7332530178673953</v>
      </c>
      <c r="J31" s="1">
        <f t="shared" si="0"/>
        <v>0.70228951759512703</v>
      </c>
      <c r="K31" s="1">
        <f t="shared" si="1"/>
        <v>2.0275315815873682</v>
      </c>
      <c r="L31" s="6">
        <v>0.8436648165963837</v>
      </c>
      <c r="M31" s="6">
        <v>3.5966397255692817</v>
      </c>
    </row>
    <row r="32" spans="1:13" x14ac:dyDescent="0.2">
      <c r="A32" t="s">
        <v>332</v>
      </c>
      <c r="B32" t="s">
        <v>168</v>
      </c>
      <c r="C32" t="s">
        <v>331</v>
      </c>
      <c r="D32" t="s">
        <v>199</v>
      </c>
      <c r="E32" t="s">
        <v>5</v>
      </c>
      <c r="F32" t="s">
        <v>19</v>
      </c>
      <c r="G32" t="s">
        <v>200</v>
      </c>
      <c r="H32">
        <v>135</v>
      </c>
      <c r="I32" s="10">
        <v>0.81873075307798182</v>
      </c>
      <c r="J32" s="1">
        <f t="shared" si="0"/>
        <v>0.48282393999856849</v>
      </c>
      <c r="K32" s="1">
        <f t="shared" si="1"/>
        <v>4.2896554304962953</v>
      </c>
      <c r="L32" s="10">
        <v>0.33287108369807955</v>
      </c>
      <c r="M32" s="10">
        <v>2.2255409284924679</v>
      </c>
    </row>
    <row r="33" spans="1:13" x14ac:dyDescent="0.2">
      <c r="A33" t="s">
        <v>347</v>
      </c>
      <c r="B33" t="s">
        <v>168</v>
      </c>
      <c r="C33" t="s">
        <v>201</v>
      </c>
      <c r="D33" t="s">
        <v>199</v>
      </c>
      <c r="E33" t="s">
        <v>5</v>
      </c>
      <c r="F33" t="s">
        <v>19</v>
      </c>
      <c r="G33" t="s">
        <v>200</v>
      </c>
      <c r="H33">
        <v>112</v>
      </c>
      <c r="I33" s="10">
        <v>3.0041660239464334</v>
      </c>
      <c r="J33" s="1">
        <f t="shared" si="0"/>
        <v>2.6230505510101745</v>
      </c>
      <c r="K33" s="1">
        <f t="shared" si="1"/>
        <v>0.14534050984969549</v>
      </c>
      <c r="L33" s="10">
        <v>0.74081822068171788</v>
      </c>
      <c r="M33" s="10">
        <v>11.023176380641601</v>
      </c>
    </row>
    <row r="34" spans="1:13" x14ac:dyDescent="0.2">
      <c r="A34" s="1" t="s">
        <v>202</v>
      </c>
      <c r="B34" t="s">
        <v>168</v>
      </c>
      <c r="C34" t="s">
        <v>203</v>
      </c>
      <c r="D34" t="s">
        <v>199</v>
      </c>
      <c r="E34" t="s">
        <v>5</v>
      </c>
      <c r="F34" t="s">
        <v>19</v>
      </c>
      <c r="G34" t="s">
        <v>53</v>
      </c>
      <c r="H34">
        <v>322</v>
      </c>
      <c r="I34" s="1">
        <v>4.58</v>
      </c>
      <c r="J34" s="1">
        <f t="shared" si="0"/>
        <v>1.1556122448979593</v>
      </c>
      <c r="K34" s="1">
        <f t="shared" si="1"/>
        <v>0.74881705968061807</v>
      </c>
      <c r="L34" s="1">
        <v>2.84</v>
      </c>
      <c r="M34" s="1">
        <v>7.37</v>
      </c>
    </row>
    <row r="35" spans="1:13" x14ac:dyDescent="0.2">
      <c r="A35" s="1" t="s">
        <v>204</v>
      </c>
      <c r="B35" t="s">
        <v>168</v>
      </c>
      <c r="C35" t="s">
        <v>205</v>
      </c>
      <c r="D35" t="s">
        <v>199</v>
      </c>
      <c r="E35" t="s">
        <v>5</v>
      </c>
      <c r="F35" t="s">
        <v>19</v>
      </c>
      <c r="G35" t="s">
        <v>53</v>
      </c>
      <c r="H35">
        <v>81</v>
      </c>
      <c r="I35" s="1">
        <v>1.81</v>
      </c>
      <c r="J35" s="1">
        <f t="shared" ref="J35:J71" si="2">(M35-L35)/3.92</f>
        <v>0.65561224489795911</v>
      </c>
      <c r="K35" s="1">
        <f t="shared" si="1"/>
        <v>2.3265151629850571</v>
      </c>
      <c r="L35" s="1">
        <v>0.94</v>
      </c>
      <c r="M35" s="1">
        <v>3.51</v>
      </c>
    </row>
    <row r="36" spans="1:13" x14ac:dyDescent="0.2">
      <c r="A36" s="1" t="s">
        <v>206</v>
      </c>
      <c r="B36" t="s">
        <v>168</v>
      </c>
      <c r="C36" t="s">
        <v>207</v>
      </c>
      <c r="D36" t="s">
        <v>199</v>
      </c>
      <c r="E36" t="s">
        <v>5</v>
      </c>
      <c r="F36" t="s">
        <v>19</v>
      </c>
      <c r="G36" t="s">
        <v>53</v>
      </c>
      <c r="H36">
        <v>80</v>
      </c>
      <c r="I36" s="1">
        <v>9.1300000000000008</v>
      </c>
      <c r="J36" s="1">
        <f t="shared" si="2"/>
        <v>3.7602040816326538</v>
      </c>
      <c r="K36" s="1">
        <f t="shared" si="1"/>
        <v>7.0725685744215852E-2</v>
      </c>
      <c r="L36" s="1">
        <v>4.3600000000000003</v>
      </c>
      <c r="M36" s="1">
        <v>19.100000000000001</v>
      </c>
    </row>
    <row r="37" spans="1:13" x14ac:dyDescent="0.2">
      <c r="A37" s="1" t="s">
        <v>208</v>
      </c>
      <c r="B37" t="s">
        <v>168</v>
      </c>
      <c r="C37" t="s">
        <v>209</v>
      </c>
      <c r="D37" t="s">
        <v>199</v>
      </c>
      <c r="E37" t="s">
        <v>5</v>
      </c>
      <c r="F37" t="s">
        <v>19</v>
      </c>
      <c r="G37" t="s">
        <v>53</v>
      </c>
      <c r="H37">
        <v>81</v>
      </c>
      <c r="I37" s="1">
        <v>10.1</v>
      </c>
      <c r="J37" s="1">
        <f t="shared" si="2"/>
        <v>4.2321428571428568</v>
      </c>
      <c r="K37" s="1">
        <f t="shared" si="1"/>
        <v>5.5831508483327116E-2</v>
      </c>
      <c r="L37" s="1">
        <v>4.8099999999999996</v>
      </c>
      <c r="M37" s="1">
        <v>21.4</v>
      </c>
    </row>
    <row r="38" spans="1:13" x14ac:dyDescent="0.2">
      <c r="A38" s="1" t="s">
        <v>213</v>
      </c>
      <c r="B38" t="s">
        <v>168</v>
      </c>
      <c r="C38" t="s">
        <v>210</v>
      </c>
      <c r="D38" t="s">
        <v>199</v>
      </c>
      <c r="E38" t="s">
        <v>5</v>
      </c>
      <c r="F38" t="s">
        <v>19</v>
      </c>
      <c r="G38" t="s">
        <v>178</v>
      </c>
      <c r="H38">
        <v>237</v>
      </c>
      <c r="I38" s="1">
        <v>10.48</v>
      </c>
      <c r="J38" s="1">
        <f t="shared" si="2"/>
        <v>9.0127551020408188</v>
      </c>
      <c r="K38" s="1">
        <f t="shared" si="1"/>
        <v>1.2310759841561771E-2</v>
      </c>
      <c r="L38" s="1">
        <v>2.87</v>
      </c>
      <c r="M38" s="1">
        <v>38.200000000000003</v>
      </c>
    </row>
    <row r="39" spans="1:13" x14ac:dyDescent="0.2">
      <c r="A39" t="s">
        <v>327</v>
      </c>
      <c r="B39" t="s">
        <v>168</v>
      </c>
      <c r="C39" t="s">
        <v>211</v>
      </c>
      <c r="D39" t="s">
        <v>199</v>
      </c>
      <c r="E39" t="s">
        <v>5</v>
      </c>
      <c r="F39" t="s">
        <v>115</v>
      </c>
      <c r="G39" t="s">
        <v>200</v>
      </c>
      <c r="H39">
        <v>133</v>
      </c>
      <c r="I39" s="10">
        <v>0.81873075307798182</v>
      </c>
      <c r="J39" s="1">
        <f t="shared" si="2"/>
        <v>0.55061451511345605</v>
      </c>
      <c r="K39" s="1">
        <f t="shared" si="1"/>
        <v>3.2984103771745339</v>
      </c>
      <c r="L39" s="10">
        <v>0.30119421191220214</v>
      </c>
      <c r="M39" s="10">
        <v>2.4596031111569499</v>
      </c>
    </row>
    <row r="40" spans="1:13" x14ac:dyDescent="0.2">
      <c r="A40" t="s">
        <v>335</v>
      </c>
      <c r="B40" t="s">
        <v>168</v>
      </c>
      <c r="C40" t="s">
        <v>334</v>
      </c>
      <c r="D40" t="s">
        <v>199</v>
      </c>
      <c r="E40" t="s">
        <v>5</v>
      </c>
      <c r="F40" t="s">
        <v>115</v>
      </c>
      <c r="G40" t="s">
        <v>200</v>
      </c>
      <c r="H40">
        <v>133</v>
      </c>
      <c r="I40" s="10">
        <v>0.74081822068171788</v>
      </c>
      <c r="J40" s="1">
        <f t="shared" si="2"/>
        <v>0.49886248175828263</v>
      </c>
      <c r="K40" s="1">
        <f t="shared" si="1"/>
        <v>4.018262590298546</v>
      </c>
      <c r="L40" s="10">
        <v>0.27</v>
      </c>
      <c r="M40" s="10">
        <v>2.2255409284924679</v>
      </c>
    </row>
    <row r="41" spans="1:13" x14ac:dyDescent="0.2">
      <c r="A41" t="s">
        <v>341</v>
      </c>
      <c r="B41" t="s">
        <v>168</v>
      </c>
      <c r="C41" t="s">
        <v>212</v>
      </c>
      <c r="D41" t="s">
        <v>199</v>
      </c>
      <c r="E41" t="s">
        <v>5</v>
      </c>
      <c r="F41" t="s">
        <v>115</v>
      </c>
      <c r="G41" t="s">
        <v>200</v>
      </c>
      <c r="H41">
        <v>114</v>
      </c>
      <c r="I41" s="10">
        <v>1.8221188003905089</v>
      </c>
      <c r="J41" s="1">
        <f t="shared" si="2"/>
        <v>2.4595182069175099</v>
      </c>
      <c r="K41" s="1">
        <f t="shared" si="1"/>
        <v>0.16531030087841239</v>
      </c>
      <c r="L41" s="10">
        <v>0.33287108369807955</v>
      </c>
      <c r="M41" s="10">
        <v>9.9741824548147182</v>
      </c>
    </row>
    <row r="42" spans="1:13" x14ac:dyDescent="0.2">
      <c r="A42" t="s">
        <v>345</v>
      </c>
      <c r="B42" t="s">
        <v>168</v>
      </c>
      <c r="C42" t="s">
        <v>346</v>
      </c>
      <c r="D42" t="s">
        <v>199</v>
      </c>
      <c r="E42" t="s">
        <v>5</v>
      </c>
      <c r="F42" t="s">
        <v>115</v>
      </c>
      <c r="G42" t="s">
        <v>200</v>
      </c>
      <c r="H42">
        <v>114</v>
      </c>
      <c r="I42" s="10">
        <v>1.4918246976412703</v>
      </c>
      <c r="J42" s="1">
        <f t="shared" si="2"/>
        <v>1.4583613216109355</v>
      </c>
      <c r="K42" s="1">
        <f t="shared" si="1"/>
        <v>0.4701860338746815</v>
      </c>
      <c r="L42" s="10">
        <v>0.33287108369807955</v>
      </c>
      <c r="M42" s="10">
        <v>6.0496474644129465</v>
      </c>
    </row>
    <row r="43" spans="1:13" x14ac:dyDescent="0.2">
      <c r="A43" t="s">
        <v>328</v>
      </c>
      <c r="B43" t="s">
        <v>168</v>
      </c>
      <c r="C43" t="s">
        <v>211</v>
      </c>
      <c r="D43" t="s">
        <v>199</v>
      </c>
      <c r="E43" t="s">
        <v>5</v>
      </c>
      <c r="F43" t="s">
        <v>117</v>
      </c>
      <c r="G43" t="s">
        <v>200</v>
      </c>
      <c r="H43">
        <v>133</v>
      </c>
      <c r="I43" s="10">
        <v>1.6487212707001282</v>
      </c>
      <c r="J43" s="1">
        <f t="shared" si="2"/>
        <v>0.55718521019041678</v>
      </c>
      <c r="K43" s="1">
        <f t="shared" si="1"/>
        <v>3.2210750201792542</v>
      </c>
      <c r="L43" s="10">
        <v>0.82</v>
      </c>
      <c r="M43" s="10">
        <v>3.0041660239464334</v>
      </c>
    </row>
    <row r="44" spans="1:13" x14ac:dyDescent="0.2">
      <c r="A44" t="s">
        <v>342</v>
      </c>
      <c r="B44" t="s">
        <v>168</v>
      </c>
      <c r="C44" t="s">
        <v>212</v>
      </c>
      <c r="D44" t="s">
        <v>199</v>
      </c>
      <c r="E44" t="s">
        <v>5</v>
      </c>
      <c r="F44" t="s">
        <v>117</v>
      </c>
      <c r="G44" t="s">
        <v>200</v>
      </c>
      <c r="H44">
        <v>114</v>
      </c>
      <c r="I44" s="10">
        <v>3.3201169227365472</v>
      </c>
      <c r="J44" s="1">
        <f t="shared" si="2"/>
        <v>1.9907170258351921</v>
      </c>
      <c r="K44" s="1">
        <f t="shared" si="1"/>
        <v>0.25233700166977435</v>
      </c>
      <c r="L44" s="10">
        <v>1.2214027581601699</v>
      </c>
      <c r="M44" s="10">
        <v>9.025013499434122</v>
      </c>
    </row>
    <row r="45" spans="1:13" x14ac:dyDescent="0.2">
      <c r="A45" t="s">
        <v>333</v>
      </c>
      <c r="B45" t="s">
        <v>168</v>
      </c>
      <c r="C45" t="s">
        <v>331</v>
      </c>
      <c r="D45" t="s">
        <v>199</v>
      </c>
      <c r="E45" t="s">
        <v>5</v>
      </c>
      <c r="F45" t="s">
        <v>117</v>
      </c>
      <c r="G45" t="s">
        <v>200</v>
      </c>
      <c r="H45">
        <v>133</v>
      </c>
      <c r="I45" s="10">
        <v>1</v>
      </c>
      <c r="J45" s="1">
        <f t="shared" si="2"/>
        <v>0.52373302332049765</v>
      </c>
      <c r="K45" s="1">
        <f t="shared" si="1"/>
        <v>3.6456929019737818</v>
      </c>
      <c r="L45" s="10">
        <v>0.40656965974059911</v>
      </c>
      <c r="M45" s="10">
        <v>2.4596031111569499</v>
      </c>
    </row>
    <row r="46" spans="1:13" x14ac:dyDescent="0.2">
      <c r="A46" t="s">
        <v>344</v>
      </c>
      <c r="B46" t="s">
        <v>168</v>
      </c>
      <c r="C46" t="s">
        <v>343</v>
      </c>
      <c r="D46" t="s">
        <v>199</v>
      </c>
      <c r="E46" t="s">
        <v>5</v>
      </c>
      <c r="F46" t="s">
        <v>117</v>
      </c>
      <c r="G46" t="s">
        <v>200</v>
      </c>
      <c r="H46">
        <v>114</v>
      </c>
      <c r="I46" s="10">
        <v>5.4739473917271999</v>
      </c>
      <c r="J46" s="1">
        <f t="shared" si="2"/>
        <v>4.7795097233703228</v>
      </c>
      <c r="K46" s="1">
        <f t="shared" si="1"/>
        <v>4.3775720323096678E-2</v>
      </c>
      <c r="L46" s="10">
        <v>1.3498588075760032</v>
      </c>
      <c r="M46" s="10">
        <v>20.085536923187668</v>
      </c>
    </row>
    <row r="47" spans="1:13" x14ac:dyDescent="0.2">
      <c r="A47" s="1" t="s">
        <v>182</v>
      </c>
      <c r="B47" t="s">
        <v>183</v>
      </c>
      <c r="C47" t="s">
        <v>216</v>
      </c>
      <c r="D47" t="s">
        <v>199</v>
      </c>
      <c r="E47" t="s">
        <v>5</v>
      </c>
      <c r="F47" t="s">
        <v>117</v>
      </c>
      <c r="G47" t="s">
        <v>185</v>
      </c>
      <c r="H47">
        <v>896</v>
      </c>
      <c r="I47" s="6">
        <v>1.0202013400267558</v>
      </c>
      <c r="J47" s="1">
        <f t="shared" si="2"/>
        <v>0.1804031575221044</v>
      </c>
      <c r="K47" s="1">
        <f t="shared" si="1"/>
        <v>30.726403604540273</v>
      </c>
      <c r="L47" s="6">
        <v>0.72614903707369094</v>
      </c>
      <c r="M47" s="6">
        <v>1.4333294145603401</v>
      </c>
    </row>
    <row r="48" spans="1:13" x14ac:dyDescent="0.2">
      <c r="A48" s="1" t="s">
        <v>233</v>
      </c>
      <c r="B48" t="s">
        <v>190</v>
      </c>
      <c r="C48" t="s">
        <v>216</v>
      </c>
      <c r="D48" t="s">
        <v>199</v>
      </c>
      <c r="E48" t="s">
        <v>5</v>
      </c>
      <c r="F48" t="s">
        <v>117</v>
      </c>
      <c r="G48" t="s">
        <v>185</v>
      </c>
      <c r="H48">
        <v>896</v>
      </c>
      <c r="I48" s="6">
        <v>1.1388283833246218</v>
      </c>
      <c r="J48" s="1">
        <f t="shared" si="2"/>
        <v>0.41042751997085269</v>
      </c>
      <c r="K48" s="1">
        <f t="shared" si="1"/>
        <v>5.9364532663072183</v>
      </c>
      <c r="L48" s="6">
        <v>0.59452054797019438</v>
      </c>
      <c r="M48" s="6">
        <v>2.2033964262559369</v>
      </c>
    </row>
    <row r="49" spans="1:13" x14ac:dyDescent="0.2">
      <c r="A49" s="1" t="s">
        <v>186</v>
      </c>
      <c r="B49" t="s">
        <v>191</v>
      </c>
      <c r="C49" t="s">
        <v>216</v>
      </c>
      <c r="D49" t="s">
        <v>199</v>
      </c>
      <c r="E49" t="s">
        <v>5</v>
      </c>
      <c r="F49" t="s">
        <v>117</v>
      </c>
      <c r="G49" t="s">
        <v>185</v>
      </c>
      <c r="H49">
        <v>896</v>
      </c>
      <c r="I49" s="6">
        <v>1.3231298123374369</v>
      </c>
      <c r="J49" s="1">
        <f t="shared" si="2"/>
        <v>0.44405086166454688</v>
      </c>
      <c r="K49" s="1">
        <f t="shared" si="1"/>
        <v>5.07147823210527</v>
      </c>
      <c r="L49" s="6">
        <v>0.71892373343192617</v>
      </c>
      <c r="M49" s="6">
        <v>2.4596031111569499</v>
      </c>
    </row>
    <row r="50" spans="1:13" x14ac:dyDescent="0.2">
      <c r="A50" s="1" t="s">
        <v>188</v>
      </c>
      <c r="B50" t="s">
        <v>193</v>
      </c>
      <c r="C50" t="s">
        <v>216</v>
      </c>
      <c r="D50" t="s">
        <v>199</v>
      </c>
      <c r="E50" t="s">
        <v>5</v>
      </c>
      <c r="F50" t="s">
        <v>117</v>
      </c>
      <c r="G50" t="s">
        <v>185</v>
      </c>
      <c r="H50">
        <v>896</v>
      </c>
      <c r="I50" s="6">
        <v>1.2336780599567432</v>
      </c>
      <c r="J50" s="1">
        <f t="shared" si="2"/>
        <v>0.4099106090296139</v>
      </c>
      <c r="K50" s="1">
        <f t="shared" si="1"/>
        <v>5.9514348373738635</v>
      </c>
      <c r="L50" s="6">
        <v>0.6636502501363194</v>
      </c>
      <c r="M50" s="6">
        <v>2.2704998375324057</v>
      </c>
    </row>
    <row r="51" spans="1:13" x14ac:dyDescent="0.2">
      <c r="A51" s="1" t="s">
        <v>215</v>
      </c>
      <c r="B51" t="s">
        <v>198</v>
      </c>
      <c r="C51" t="s">
        <v>216</v>
      </c>
      <c r="D51" t="s">
        <v>199</v>
      </c>
      <c r="E51" t="s">
        <v>5</v>
      </c>
      <c r="F51" t="s">
        <v>117</v>
      </c>
      <c r="G51" t="s">
        <v>185</v>
      </c>
      <c r="H51">
        <v>896</v>
      </c>
      <c r="I51" s="6">
        <v>1.6652911949458864</v>
      </c>
      <c r="J51" s="1">
        <f t="shared" si="2"/>
        <v>0.64662089272220458</v>
      </c>
      <c r="K51" s="1">
        <f t="shared" si="1"/>
        <v>2.3916660259852773</v>
      </c>
      <c r="L51" s="6">
        <v>0.81873075307798182</v>
      </c>
      <c r="M51" s="6">
        <v>3.3534846525490236</v>
      </c>
    </row>
    <row r="52" spans="1:13" x14ac:dyDescent="0.2">
      <c r="A52" t="s">
        <v>337</v>
      </c>
      <c r="B52" t="s">
        <v>168</v>
      </c>
      <c r="C52" t="s">
        <v>336</v>
      </c>
      <c r="D52" t="s">
        <v>217</v>
      </c>
      <c r="E52" t="s">
        <v>5</v>
      </c>
      <c r="F52" t="s">
        <v>19</v>
      </c>
      <c r="G52" t="s">
        <v>200</v>
      </c>
      <c r="H52">
        <v>156</v>
      </c>
      <c r="I52" s="10">
        <v>3.6692966676192444</v>
      </c>
      <c r="J52" s="1">
        <f t="shared" si="2"/>
        <v>2.2000825630711005</v>
      </c>
      <c r="K52" s="1">
        <f>1/((J52)^2)</f>
        <v>0.20659606340653458</v>
      </c>
      <c r="L52" s="10">
        <v>1.3498588075760032</v>
      </c>
      <c r="M52" s="10">
        <v>9.9741824548147182</v>
      </c>
    </row>
    <row r="53" spans="1:13" x14ac:dyDescent="0.2">
      <c r="A53" t="s">
        <v>353</v>
      </c>
      <c r="B53" t="s">
        <v>168</v>
      </c>
      <c r="C53" t="s">
        <v>218</v>
      </c>
      <c r="D53" t="s">
        <v>217</v>
      </c>
      <c r="E53" t="s">
        <v>5</v>
      </c>
      <c r="F53" t="s">
        <v>19</v>
      </c>
      <c r="G53" t="s">
        <v>200</v>
      </c>
      <c r="H53">
        <v>127</v>
      </c>
      <c r="I53" s="10">
        <v>5.4739473917271999</v>
      </c>
      <c r="J53" s="1">
        <f t="shared" si="2"/>
        <v>5.3183909372106211</v>
      </c>
      <c r="K53" s="1">
        <f>1/((J53)^2)</f>
        <v>3.5354075462562119E-2</v>
      </c>
      <c r="L53" s="10">
        <v>1.3498588075760032</v>
      </c>
      <c r="M53" s="10">
        <v>22.197951281441636</v>
      </c>
    </row>
    <row r="54" spans="1:13" x14ac:dyDescent="0.2">
      <c r="A54" s="1" t="s">
        <v>219</v>
      </c>
      <c r="B54" t="s">
        <v>168</v>
      </c>
      <c r="C54" t="s">
        <v>220</v>
      </c>
      <c r="D54" t="s">
        <v>217</v>
      </c>
      <c r="E54" t="s">
        <v>5</v>
      </c>
      <c r="F54" t="s">
        <v>19</v>
      </c>
      <c r="G54" t="s">
        <v>53</v>
      </c>
      <c r="H54">
        <v>143</v>
      </c>
      <c r="I54" s="1">
        <v>2.83</v>
      </c>
      <c r="J54" s="1">
        <f t="shared" si="2"/>
        <v>1.4464285714285714</v>
      </c>
      <c r="K54" s="1">
        <f>1/((J54)^2)</f>
        <v>0.47797591830513642</v>
      </c>
      <c r="L54" s="1">
        <v>1.17</v>
      </c>
      <c r="M54" s="1">
        <v>6.84</v>
      </c>
    </row>
    <row r="55" spans="1:13" x14ac:dyDescent="0.2">
      <c r="A55" s="1" t="s">
        <v>221</v>
      </c>
      <c r="B55" t="s">
        <v>168</v>
      </c>
      <c r="C55" t="s">
        <v>222</v>
      </c>
      <c r="D55" t="s">
        <v>217</v>
      </c>
      <c r="E55" t="s">
        <v>5</v>
      </c>
      <c r="F55" t="s">
        <v>19</v>
      </c>
      <c r="G55" t="s">
        <v>53</v>
      </c>
      <c r="H55">
        <v>36</v>
      </c>
      <c r="I55" s="1">
        <v>0.96</v>
      </c>
      <c r="J55" s="1">
        <f t="shared" si="2"/>
        <v>1.2576530612244901</v>
      </c>
      <c r="K55" s="1">
        <f t="shared" ref="K55:K71" si="3">1/((J55)^2)</f>
        <v>0.6322346522717639</v>
      </c>
      <c r="L55" s="1">
        <v>0.18</v>
      </c>
      <c r="M55" s="1">
        <v>5.1100000000000003</v>
      </c>
    </row>
    <row r="56" spans="1:13" x14ac:dyDescent="0.2">
      <c r="A56" s="1" t="s">
        <v>223</v>
      </c>
      <c r="B56" t="s">
        <v>168</v>
      </c>
      <c r="C56" t="s">
        <v>224</v>
      </c>
      <c r="D56" t="s">
        <v>217</v>
      </c>
      <c r="E56" t="s">
        <v>5</v>
      </c>
      <c r="F56" t="s">
        <v>19</v>
      </c>
      <c r="G56" t="s">
        <v>53</v>
      </c>
      <c r="H56">
        <v>36</v>
      </c>
      <c r="I56" s="1">
        <v>3.35</v>
      </c>
      <c r="J56" s="1">
        <f t="shared" si="2"/>
        <v>3.3112244897959187</v>
      </c>
      <c r="K56" s="1">
        <f t="shared" si="3"/>
        <v>9.1205861334612198E-2</v>
      </c>
      <c r="L56" s="1">
        <v>0.82</v>
      </c>
      <c r="M56" s="1">
        <v>13.8</v>
      </c>
    </row>
    <row r="57" spans="1:13" x14ac:dyDescent="0.2">
      <c r="A57" s="1" t="s">
        <v>225</v>
      </c>
      <c r="B57" t="s">
        <v>168</v>
      </c>
      <c r="C57" t="s">
        <v>226</v>
      </c>
      <c r="D57" t="s">
        <v>217</v>
      </c>
      <c r="E57" t="s">
        <v>5</v>
      </c>
      <c r="F57" t="s">
        <v>19</v>
      </c>
      <c r="G57" t="s">
        <v>53</v>
      </c>
      <c r="H57">
        <v>36</v>
      </c>
      <c r="I57" s="1">
        <v>4.57</v>
      </c>
      <c r="J57" s="1">
        <f t="shared" si="2"/>
        <v>4.4591836734693882</v>
      </c>
      <c r="K57" s="1">
        <f t="shared" si="3"/>
        <v>5.0290884908021714E-2</v>
      </c>
      <c r="L57" s="1">
        <v>1.1200000000000001</v>
      </c>
      <c r="M57" s="1">
        <v>18.600000000000001</v>
      </c>
    </row>
    <row r="58" spans="1:13" x14ac:dyDescent="0.2">
      <c r="A58" s="1" t="s">
        <v>214</v>
      </c>
      <c r="B58" t="s">
        <v>168</v>
      </c>
      <c r="C58" t="s">
        <v>228</v>
      </c>
      <c r="D58" t="s">
        <v>217</v>
      </c>
      <c r="E58" t="s">
        <v>5</v>
      </c>
      <c r="F58" t="s">
        <v>19</v>
      </c>
      <c r="G58" t="s">
        <v>178</v>
      </c>
      <c r="H58">
        <v>223</v>
      </c>
      <c r="I58" s="1">
        <v>0.95</v>
      </c>
      <c r="J58" s="1">
        <f t="shared" si="2"/>
        <v>1.9770408163265307</v>
      </c>
      <c r="K58" s="1">
        <f t="shared" si="3"/>
        <v>0.25584016649323621</v>
      </c>
      <c r="L58" s="1">
        <v>0.11</v>
      </c>
      <c r="M58" s="1">
        <v>7.86</v>
      </c>
    </row>
    <row r="59" spans="1:13" x14ac:dyDescent="0.2">
      <c r="A59" t="s">
        <v>329</v>
      </c>
      <c r="B59" t="s">
        <v>168</v>
      </c>
      <c r="C59" t="s">
        <v>229</v>
      </c>
      <c r="D59" t="s">
        <v>217</v>
      </c>
      <c r="E59" t="s">
        <v>5</v>
      </c>
      <c r="F59" t="s">
        <v>115</v>
      </c>
      <c r="G59" t="s">
        <v>200</v>
      </c>
      <c r="H59">
        <v>155</v>
      </c>
      <c r="I59" s="10">
        <v>1.8221188003905089</v>
      </c>
      <c r="J59" s="1">
        <f t="shared" si="2"/>
        <v>0.84550554749055018</v>
      </c>
      <c r="K59" s="1">
        <f t="shared" si="3"/>
        <v>1.3988368906647415</v>
      </c>
      <c r="L59" s="10">
        <v>0.74081822068171788</v>
      </c>
      <c r="M59" s="10">
        <v>4.0551999668446745</v>
      </c>
    </row>
    <row r="60" spans="1:13" x14ac:dyDescent="0.2">
      <c r="A60" t="s">
        <v>339</v>
      </c>
      <c r="B60" t="s">
        <v>168</v>
      </c>
      <c r="C60" t="s">
        <v>338</v>
      </c>
      <c r="D60" t="s">
        <v>217</v>
      </c>
      <c r="E60" t="s">
        <v>5</v>
      </c>
      <c r="F60" t="s">
        <v>115</v>
      </c>
      <c r="G60" t="s">
        <v>200</v>
      </c>
      <c r="H60">
        <v>155</v>
      </c>
      <c r="I60" s="10">
        <v>3.0041660239464334</v>
      </c>
      <c r="J60" s="1">
        <f t="shared" si="2"/>
        <v>1.6030319338915824</v>
      </c>
      <c r="K60" s="1">
        <f t="shared" si="3"/>
        <v>0.38914876097143775</v>
      </c>
      <c r="L60" s="10">
        <v>1.1051709180756477</v>
      </c>
      <c r="M60" s="10">
        <v>7.3890560989306504</v>
      </c>
    </row>
    <row r="61" spans="1:13" x14ac:dyDescent="0.2">
      <c r="A61" t="s">
        <v>348</v>
      </c>
      <c r="B61" t="s">
        <v>168</v>
      </c>
      <c r="C61" t="s">
        <v>230</v>
      </c>
      <c r="D61" t="s">
        <v>217</v>
      </c>
      <c r="E61" t="s">
        <v>5</v>
      </c>
      <c r="F61" t="s">
        <v>115</v>
      </c>
      <c r="G61" t="s">
        <v>200</v>
      </c>
      <c r="H61">
        <v>131</v>
      </c>
      <c r="I61" s="10">
        <v>4.0551999668446745</v>
      </c>
      <c r="J61" s="1">
        <f t="shared" si="2"/>
        <v>2.7272115466995417</v>
      </c>
      <c r="K61" s="1">
        <f t="shared" si="3"/>
        <v>0.1344504765987482</v>
      </c>
      <c r="L61" s="10">
        <v>1.4918246976412703</v>
      </c>
      <c r="M61" s="10">
        <v>12.182493960703473</v>
      </c>
    </row>
    <row r="62" spans="1:13" x14ac:dyDescent="0.2">
      <c r="A62" t="s">
        <v>352</v>
      </c>
      <c r="B62" t="s">
        <v>168</v>
      </c>
      <c r="C62" t="s">
        <v>350</v>
      </c>
      <c r="D62" t="s">
        <v>217</v>
      </c>
      <c r="E62" t="s">
        <v>5</v>
      </c>
      <c r="F62" t="s">
        <v>115</v>
      </c>
      <c r="G62" t="s">
        <v>200</v>
      </c>
      <c r="H62">
        <v>131</v>
      </c>
      <c r="I62" s="10">
        <v>5.4739473917271999</v>
      </c>
      <c r="J62" s="1">
        <f t="shared" si="2"/>
        <v>5.9139467830442225</v>
      </c>
      <c r="K62" s="1">
        <f t="shared" si="3"/>
        <v>2.8592042165422226E-2</v>
      </c>
      <c r="L62" s="10">
        <v>1.3498588075760032</v>
      </c>
      <c r="M62" s="10">
        <v>24.532530197109352</v>
      </c>
    </row>
    <row r="63" spans="1:13" x14ac:dyDescent="0.2">
      <c r="A63" t="s">
        <v>330</v>
      </c>
      <c r="B63" t="s">
        <v>168</v>
      </c>
      <c r="C63" t="s">
        <v>229</v>
      </c>
      <c r="D63" t="s">
        <v>217</v>
      </c>
      <c r="E63" t="s">
        <v>5</v>
      </c>
      <c r="F63" t="s">
        <v>117</v>
      </c>
      <c r="G63" t="s">
        <v>200</v>
      </c>
      <c r="H63">
        <v>155</v>
      </c>
      <c r="I63" s="10">
        <v>2.4596031111569499</v>
      </c>
      <c r="J63" s="1">
        <f t="shared" si="2"/>
        <v>0.95230418989671306</v>
      </c>
      <c r="K63" s="1">
        <f t="shared" si="3"/>
        <v>1.1026777458309795</v>
      </c>
      <c r="L63" s="10">
        <v>1.22</v>
      </c>
      <c r="M63" s="10">
        <v>4.9530324243951149</v>
      </c>
    </row>
    <row r="64" spans="1:13" x14ac:dyDescent="0.2">
      <c r="A64" t="s">
        <v>349</v>
      </c>
      <c r="B64" t="s">
        <v>168</v>
      </c>
      <c r="C64" t="s">
        <v>230</v>
      </c>
      <c r="D64" t="s">
        <v>217</v>
      </c>
      <c r="E64" t="s">
        <v>5</v>
      </c>
      <c r="F64" t="s">
        <v>117</v>
      </c>
      <c r="G64" t="s">
        <v>200</v>
      </c>
      <c r="H64">
        <v>131</v>
      </c>
      <c r="I64" s="10">
        <v>1.8221188003905089</v>
      </c>
      <c r="J64" s="1">
        <f t="shared" si="2"/>
        <v>0.72718518228093443</v>
      </c>
      <c r="K64" s="1">
        <f t="shared" si="3"/>
        <v>1.8910802477613884</v>
      </c>
      <c r="L64" s="10">
        <v>0.81873075307798182</v>
      </c>
      <c r="M64" s="10">
        <v>3.6692966676192444</v>
      </c>
    </row>
    <row r="65" spans="1:13" x14ac:dyDescent="0.2">
      <c r="A65" t="s">
        <v>340</v>
      </c>
      <c r="B65" t="s">
        <v>168</v>
      </c>
      <c r="C65" t="s">
        <v>338</v>
      </c>
      <c r="D65" t="s">
        <v>217</v>
      </c>
      <c r="E65" t="s">
        <v>5</v>
      </c>
      <c r="F65" t="s">
        <v>117</v>
      </c>
      <c r="G65" t="s">
        <v>200</v>
      </c>
      <c r="H65">
        <v>155</v>
      </c>
      <c r="I65" s="10">
        <v>3.6692966676192444</v>
      </c>
      <c r="J65" s="1">
        <f t="shared" si="2"/>
        <v>1.921731837192054</v>
      </c>
      <c r="K65" s="1">
        <f t="shared" si="3"/>
        <v>0.27077865690019154</v>
      </c>
      <c r="L65" s="10">
        <v>1.4918246976412703</v>
      </c>
      <c r="M65" s="10">
        <v>9.025013499434122</v>
      </c>
    </row>
    <row r="66" spans="1:13" x14ac:dyDescent="0.2">
      <c r="A66" t="s">
        <v>351</v>
      </c>
      <c r="B66" t="s">
        <v>168</v>
      </c>
      <c r="C66" t="s">
        <v>350</v>
      </c>
      <c r="D66" t="s">
        <v>217</v>
      </c>
      <c r="E66" t="s">
        <v>5</v>
      </c>
      <c r="F66" t="s">
        <v>117</v>
      </c>
      <c r="G66" t="s">
        <v>200</v>
      </c>
      <c r="H66">
        <v>131</v>
      </c>
      <c r="I66" s="10">
        <v>2.7182818284590451</v>
      </c>
      <c r="J66" s="1">
        <f t="shared" si="2"/>
        <v>1.6541374185955846</v>
      </c>
      <c r="K66" s="1">
        <f t="shared" si="3"/>
        <v>0.36547428736603532</v>
      </c>
      <c r="L66" s="10">
        <v>0.90483741803595952</v>
      </c>
      <c r="M66" s="10">
        <v>7.3890560989306504</v>
      </c>
    </row>
    <row r="67" spans="1:13" x14ac:dyDescent="0.2">
      <c r="A67" s="1" t="s">
        <v>322</v>
      </c>
      <c r="B67" t="s">
        <v>183</v>
      </c>
      <c r="C67" t="s">
        <v>234</v>
      </c>
      <c r="D67" t="s">
        <v>217</v>
      </c>
      <c r="E67" t="s">
        <v>5</v>
      </c>
      <c r="F67" t="s">
        <v>117</v>
      </c>
      <c r="G67" t="s">
        <v>185</v>
      </c>
      <c r="H67">
        <v>827</v>
      </c>
      <c r="I67" s="6">
        <v>1.1853048513203654</v>
      </c>
      <c r="J67" s="1">
        <f t="shared" si="2"/>
        <v>0.25495167593967344</v>
      </c>
      <c r="K67" s="1">
        <f>1/((J67)^2)</f>
        <v>15.384530872784188</v>
      </c>
      <c r="L67" s="6">
        <v>0.78662786106655347</v>
      </c>
      <c r="M67" s="6">
        <v>1.7860384307500734</v>
      </c>
    </row>
    <row r="68" spans="1:13" x14ac:dyDescent="0.2">
      <c r="A68" s="1" t="s">
        <v>324</v>
      </c>
      <c r="B68" t="s">
        <v>190</v>
      </c>
      <c r="C68" t="s">
        <v>234</v>
      </c>
      <c r="D68" t="s">
        <v>217</v>
      </c>
      <c r="E68" t="s">
        <v>5</v>
      </c>
      <c r="F68" t="s">
        <v>117</v>
      </c>
      <c r="G68" t="s">
        <v>185</v>
      </c>
      <c r="H68">
        <v>827</v>
      </c>
      <c r="I68" s="6">
        <v>1.1399999999999999</v>
      </c>
      <c r="J68" s="1">
        <f t="shared" si="2"/>
        <v>0.41071428571428581</v>
      </c>
      <c r="K68" s="1">
        <f t="shared" si="3"/>
        <v>5.9281663516068024</v>
      </c>
      <c r="L68" s="6">
        <v>0.59</v>
      </c>
      <c r="M68" s="6">
        <v>2.2000000000000002</v>
      </c>
    </row>
    <row r="69" spans="1:13" x14ac:dyDescent="0.2">
      <c r="A69" s="1" t="s">
        <v>326</v>
      </c>
      <c r="B69" t="s">
        <v>191</v>
      </c>
      <c r="C69" t="s">
        <v>234</v>
      </c>
      <c r="D69" t="s">
        <v>217</v>
      </c>
      <c r="E69" t="s">
        <v>5</v>
      </c>
      <c r="F69" t="s">
        <v>117</v>
      </c>
      <c r="G69" t="s">
        <v>185</v>
      </c>
      <c r="H69">
        <v>827</v>
      </c>
      <c r="I69" s="6">
        <v>1.4049475905635938</v>
      </c>
      <c r="J69" s="1">
        <f t="shared" si="2"/>
        <v>0.49943559084820732</v>
      </c>
      <c r="K69" s="1">
        <f t="shared" si="3"/>
        <v>4.0090458602443508</v>
      </c>
      <c r="L69" s="6">
        <v>0.73344695622428924</v>
      </c>
      <c r="M69" s="6">
        <v>2.6912344723492621</v>
      </c>
    </row>
    <row r="70" spans="1:13" x14ac:dyDescent="0.2">
      <c r="A70" s="1" t="s">
        <v>325</v>
      </c>
      <c r="B70" t="s">
        <v>193</v>
      </c>
      <c r="C70" t="s">
        <v>234</v>
      </c>
      <c r="D70" t="s">
        <v>217</v>
      </c>
      <c r="E70" t="s">
        <v>5</v>
      </c>
      <c r="F70" t="s">
        <v>117</v>
      </c>
      <c r="G70" t="s">
        <v>185</v>
      </c>
      <c r="H70">
        <v>827</v>
      </c>
      <c r="I70" s="6">
        <v>1.4477346146633245</v>
      </c>
      <c r="J70" s="1">
        <f t="shared" si="2"/>
        <v>0.52367404773482495</v>
      </c>
      <c r="K70" s="1">
        <f t="shared" si="3"/>
        <v>3.646514095928012</v>
      </c>
      <c r="L70" s="6">
        <v>0.74826356757856527</v>
      </c>
      <c r="M70" s="6">
        <v>2.8010658346990791</v>
      </c>
    </row>
    <row r="71" spans="1:13" x14ac:dyDescent="0.2">
      <c r="A71" s="1" t="s">
        <v>323</v>
      </c>
      <c r="B71" t="s">
        <v>198</v>
      </c>
      <c r="C71" t="s">
        <v>234</v>
      </c>
      <c r="D71" t="s">
        <v>217</v>
      </c>
      <c r="E71" t="s">
        <v>5</v>
      </c>
      <c r="F71" t="s">
        <v>117</v>
      </c>
      <c r="G71" t="s">
        <v>185</v>
      </c>
      <c r="H71">
        <v>827</v>
      </c>
      <c r="I71" s="6">
        <v>2.2933187402641826</v>
      </c>
      <c r="J71" s="1">
        <f t="shared" si="2"/>
        <v>1.0107144014390816</v>
      </c>
      <c r="K71" s="1">
        <f t="shared" si="3"/>
        <v>0.9789107373885525</v>
      </c>
      <c r="L71" s="6">
        <v>1.0408107741923882</v>
      </c>
      <c r="M71" s="6">
        <v>5.0028112278335879</v>
      </c>
    </row>
    <row r="72" spans="1:13" x14ac:dyDescent="0.2">
      <c r="I72"/>
      <c r="J72"/>
      <c r="K72"/>
      <c r="L72"/>
      <c r="M72"/>
    </row>
    <row r="73" spans="1:13" x14ac:dyDescent="0.2">
      <c r="I73"/>
      <c r="J73"/>
      <c r="K73"/>
      <c r="L73"/>
      <c r="M73"/>
    </row>
    <row r="74" spans="1:13" x14ac:dyDescent="0.2">
      <c r="I74"/>
      <c r="J74"/>
      <c r="K74"/>
      <c r="L74"/>
      <c r="M74"/>
    </row>
    <row r="75" spans="1:13" x14ac:dyDescent="0.2">
      <c r="I75"/>
      <c r="J75"/>
      <c r="K75"/>
      <c r="L75"/>
      <c r="M75"/>
    </row>
    <row r="76" spans="1:13" x14ac:dyDescent="0.2">
      <c r="I76"/>
      <c r="J76"/>
      <c r="K76"/>
      <c r="L76"/>
      <c r="M76"/>
    </row>
    <row r="77" spans="1:13" x14ac:dyDescent="0.2">
      <c r="I77"/>
      <c r="J77"/>
      <c r="K77"/>
      <c r="L77"/>
      <c r="M77"/>
    </row>
    <row r="78" spans="1:13" x14ac:dyDescent="0.2">
      <c r="I78"/>
      <c r="J78"/>
      <c r="K78"/>
      <c r="L78"/>
      <c r="M78"/>
    </row>
    <row r="79" spans="1:13" x14ac:dyDescent="0.2">
      <c r="I79"/>
      <c r="J79"/>
      <c r="K79"/>
      <c r="L79"/>
      <c r="M79"/>
    </row>
    <row r="80" spans="1:13" x14ac:dyDescent="0.2">
      <c r="I80"/>
      <c r="J80"/>
      <c r="K80"/>
      <c r="L80"/>
      <c r="M80"/>
    </row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</sheetData>
  <mergeCells count="1">
    <mergeCell ref="A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E0E04-7C76-465A-8C3C-43F932CB7AB6}">
  <dimension ref="A1:N125"/>
  <sheetViews>
    <sheetView zoomScale="80" zoomScaleNormal="80" workbookViewId="0">
      <selection activeCell="S18" sqref="S18"/>
    </sheetView>
  </sheetViews>
  <sheetFormatPr baseColWidth="10" defaultColWidth="8.83203125" defaultRowHeight="15" x14ac:dyDescent="0.2"/>
  <cols>
    <col min="1" max="1" width="19.1640625" style="1" bestFit="1" customWidth="1"/>
    <col min="2" max="2" width="1.6640625" style="1" bestFit="1" customWidth="1"/>
    <col min="3" max="3" width="8.5" style="1" bestFit="1" customWidth="1"/>
    <col min="4" max="4" width="34.33203125" customWidth="1"/>
    <col min="5" max="5" width="25.5" bestFit="1" customWidth="1"/>
    <col min="6" max="6" width="1.6640625" bestFit="1" customWidth="1"/>
    <col min="7" max="7" width="15.83203125" bestFit="1" customWidth="1"/>
    <col min="8" max="8" width="9.83203125" bestFit="1" customWidth="1"/>
    <col min="9" max="9" width="8.83203125" bestFit="1" customWidth="1"/>
    <col min="10" max="14" width="9.1640625" style="1"/>
  </cols>
  <sheetData>
    <row r="1" spans="1:14" x14ac:dyDescent="0.2">
      <c r="A1" s="19" t="s">
        <v>396</v>
      </c>
      <c r="B1" s="19"/>
      <c r="C1" s="19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 x14ac:dyDescent="0.2">
      <c r="A2" s="3" t="s">
        <v>1</v>
      </c>
      <c r="B2" s="3"/>
      <c r="C2" s="3" t="s">
        <v>235</v>
      </c>
      <c r="D2" s="3" t="s">
        <v>6</v>
      </c>
      <c r="E2" s="3" t="s">
        <v>7</v>
      </c>
      <c r="F2" s="3"/>
      <c r="G2" s="3" t="s">
        <v>8</v>
      </c>
      <c r="H2" s="3" t="s">
        <v>9</v>
      </c>
      <c r="I2" s="9" t="s">
        <v>4</v>
      </c>
      <c r="J2" s="3" t="s">
        <v>10</v>
      </c>
      <c r="K2" s="3" t="s">
        <v>11</v>
      </c>
      <c r="L2" s="3" t="s">
        <v>12</v>
      </c>
      <c r="M2" s="3" t="s">
        <v>48</v>
      </c>
      <c r="N2" s="3" t="s">
        <v>49</v>
      </c>
    </row>
    <row r="3" spans="1:14" x14ac:dyDescent="0.2">
      <c r="A3" s="1" t="s">
        <v>239</v>
      </c>
      <c r="B3" s="1" t="s">
        <v>5</v>
      </c>
      <c r="C3" s="1" t="s">
        <v>238</v>
      </c>
      <c r="D3" t="s">
        <v>240</v>
      </c>
      <c r="E3" t="s">
        <v>241</v>
      </c>
      <c r="F3" s="1" t="s">
        <v>5</v>
      </c>
      <c r="G3" t="s">
        <v>19</v>
      </c>
      <c r="H3" t="s">
        <v>242</v>
      </c>
      <c r="I3">
        <v>207</v>
      </c>
      <c r="J3" s="10">
        <v>2.35</v>
      </c>
      <c r="K3" s="1">
        <f t="shared" ref="K3:K31" si="0">(N3-M3)/3.92</f>
        <v>1.1147959183673468</v>
      </c>
      <c r="L3" s="1">
        <f t="shared" ref="L3:L31" si="1">1/((K3)^2)</f>
        <v>0.80465415852834776</v>
      </c>
      <c r="M3" s="10">
        <v>1.02</v>
      </c>
      <c r="N3" s="10">
        <v>5.39</v>
      </c>
    </row>
    <row r="4" spans="1:14" x14ac:dyDescent="0.2">
      <c r="A4" s="1" t="s">
        <v>243</v>
      </c>
      <c r="B4" s="1" t="s">
        <v>5</v>
      </c>
      <c r="C4" s="1" t="s">
        <v>238</v>
      </c>
      <c r="D4" t="s">
        <v>244</v>
      </c>
      <c r="E4" t="s">
        <v>241</v>
      </c>
      <c r="F4" s="1" t="s">
        <v>5</v>
      </c>
      <c r="G4" t="s">
        <v>19</v>
      </c>
      <c r="H4" t="s">
        <v>242</v>
      </c>
      <c r="I4">
        <v>207</v>
      </c>
      <c r="J4" s="10">
        <v>2.91</v>
      </c>
      <c r="K4" s="1">
        <f t="shared" si="0"/>
        <v>1.614795918367347</v>
      </c>
      <c r="L4" s="1">
        <f t="shared" si="1"/>
        <v>0.38349942224518263</v>
      </c>
      <c r="M4" s="10">
        <v>1.1299999999999999</v>
      </c>
      <c r="N4" s="10">
        <v>7.46</v>
      </c>
    </row>
    <row r="5" spans="1:14" x14ac:dyDescent="0.2">
      <c r="A5" s="1" t="s">
        <v>245</v>
      </c>
      <c r="B5" s="1" t="s">
        <v>5</v>
      </c>
      <c r="C5" s="1" t="s">
        <v>238</v>
      </c>
      <c r="D5" t="s">
        <v>246</v>
      </c>
      <c r="E5" t="s">
        <v>241</v>
      </c>
      <c r="F5" s="1" t="s">
        <v>5</v>
      </c>
      <c r="G5" t="s">
        <v>19</v>
      </c>
      <c r="H5" t="s">
        <v>242</v>
      </c>
      <c r="I5">
        <v>207</v>
      </c>
      <c r="J5" s="10">
        <v>1.25</v>
      </c>
      <c r="K5" s="1">
        <f t="shared" si="0"/>
        <v>0.58163265306122458</v>
      </c>
      <c r="L5" s="1">
        <f t="shared" si="1"/>
        <v>2.9559864573714982</v>
      </c>
      <c r="M5" s="10">
        <v>0.55000000000000004</v>
      </c>
      <c r="N5" s="10">
        <v>2.83</v>
      </c>
    </row>
    <row r="6" spans="1:14" x14ac:dyDescent="0.2">
      <c r="A6" s="1" t="s">
        <v>247</v>
      </c>
      <c r="B6" s="1" t="s">
        <v>5</v>
      </c>
      <c r="C6" s="1" t="s">
        <v>238</v>
      </c>
      <c r="D6" t="s">
        <v>248</v>
      </c>
      <c r="E6" t="s">
        <v>241</v>
      </c>
      <c r="F6" s="1" t="s">
        <v>5</v>
      </c>
      <c r="G6" t="s">
        <v>19</v>
      </c>
      <c r="H6" t="s">
        <v>242</v>
      </c>
      <c r="I6">
        <v>207</v>
      </c>
      <c r="J6" s="1">
        <v>2.12</v>
      </c>
      <c r="K6" s="1">
        <f t="shared" si="0"/>
        <v>1.114795918367347</v>
      </c>
      <c r="L6" s="1">
        <f t="shared" si="1"/>
        <v>0.80465415852834743</v>
      </c>
      <c r="M6" s="1">
        <v>0.86</v>
      </c>
      <c r="N6" s="10">
        <v>5.23</v>
      </c>
    </row>
    <row r="7" spans="1:14" x14ac:dyDescent="0.2">
      <c r="A7" s="1" t="s">
        <v>249</v>
      </c>
      <c r="B7" s="1" t="s">
        <v>5</v>
      </c>
      <c r="C7" s="1" t="s">
        <v>238</v>
      </c>
      <c r="D7" t="s">
        <v>250</v>
      </c>
      <c r="E7" t="s">
        <v>241</v>
      </c>
      <c r="F7" s="1" t="s">
        <v>5</v>
      </c>
      <c r="G7" t="s">
        <v>19</v>
      </c>
      <c r="H7" t="s">
        <v>242</v>
      </c>
      <c r="I7">
        <v>207</v>
      </c>
      <c r="J7" s="1">
        <v>1.72</v>
      </c>
      <c r="K7" s="1">
        <f t="shared" si="0"/>
        <v>0.79591836734693877</v>
      </c>
      <c r="L7" s="1">
        <f t="shared" si="1"/>
        <v>1.5785667324128865</v>
      </c>
      <c r="M7" s="1">
        <v>0.76</v>
      </c>
      <c r="N7" s="10">
        <v>3.88</v>
      </c>
    </row>
    <row r="8" spans="1:14" x14ac:dyDescent="0.2">
      <c r="A8" s="1" t="s">
        <v>251</v>
      </c>
      <c r="B8" s="1" t="s">
        <v>5</v>
      </c>
      <c r="C8" s="1" t="s">
        <v>238</v>
      </c>
      <c r="D8" t="s">
        <v>252</v>
      </c>
      <c r="E8" t="s">
        <v>241</v>
      </c>
      <c r="F8" s="1" t="s">
        <v>5</v>
      </c>
      <c r="G8" t="s">
        <v>19</v>
      </c>
      <c r="H8" t="s">
        <v>242</v>
      </c>
      <c r="I8">
        <v>207</v>
      </c>
      <c r="J8" s="1">
        <v>1.59</v>
      </c>
      <c r="K8" s="1">
        <f t="shared" si="0"/>
        <v>0.87755102040816313</v>
      </c>
      <c r="L8" s="1">
        <f t="shared" si="1"/>
        <v>1.2985397512168744</v>
      </c>
      <c r="M8" s="1">
        <v>0.62</v>
      </c>
      <c r="N8" s="10">
        <v>4.0599999999999996</v>
      </c>
    </row>
    <row r="9" spans="1:14" x14ac:dyDescent="0.2">
      <c r="A9" s="1" t="s">
        <v>253</v>
      </c>
      <c r="B9" s="1" t="s">
        <v>5</v>
      </c>
      <c r="C9" s="1" t="s">
        <v>238</v>
      </c>
      <c r="D9" t="s">
        <v>254</v>
      </c>
      <c r="E9" t="s">
        <v>241</v>
      </c>
      <c r="F9" s="1" t="s">
        <v>5</v>
      </c>
      <c r="G9" t="s">
        <v>19</v>
      </c>
      <c r="H9" t="s">
        <v>242</v>
      </c>
      <c r="I9">
        <v>207</v>
      </c>
      <c r="J9" s="10">
        <v>1.58</v>
      </c>
      <c r="K9" s="1">
        <f t="shared" si="0"/>
        <v>0.77040816326530615</v>
      </c>
      <c r="L9" s="1">
        <f t="shared" si="1"/>
        <v>1.684838384281391</v>
      </c>
      <c r="M9" s="10">
        <v>0.75</v>
      </c>
      <c r="N9" s="10">
        <v>3.77</v>
      </c>
    </row>
    <row r="10" spans="1:14" x14ac:dyDescent="0.2">
      <c r="A10" s="1" t="s">
        <v>255</v>
      </c>
      <c r="B10" s="1" t="s">
        <v>5</v>
      </c>
      <c r="C10" s="1" t="s">
        <v>238</v>
      </c>
      <c r="D10" t="s">
        <v>256</v>
      </c>
      <c r="E10" t="s">
        <v>241</v>
      </c>
      <c r="F10" s="1" t="s">
        <v>5</v>
      </c>
      <c r="G10" t="s">
        <v>19</v>
      </c>
      <c r="H10" t="s">
        <v>242</v>
      </c>
      <c r="I10">
        <v>207</v>
      </c>
      <c r="J10" s="10">
        <v>1.5</v>
      </c>
      <c r="K10" s="1">
        <f t="shared" si="0"/>
        <v>0.7857142857142857</v>
      </c>
      <c r="L10" s="1">
        <f t="shared" si="1"/>
        <v>1.6198347107438018</v>
      </c>
      <c r="M10" s="10">
        <v>0.61</v>
      </c>
      <c r="N10" s="10">
        <v>3.69</v>
      </c>
    </row>
    <row r="11" spans="1:14" x14ac:dyDescent="0.2">
      <c r="A11" s="1" t="s">
        <v>257</v>
      </c>
      <c r="B11" s="1" t="s">
        <v>5</v>
      </c>
      <c r="C11" s="1" t="s">
        <v>238</v>
      </c>
      <c r="D11" t="s">
        <v>258</v>
      </c>
      <c r="E11" t="s">
        <v>241</v>
      </c>
      <c r="F11" s="1" t="s">
        <v>5</v>
      </c>
      <c r="G11" t="s">
        <v>19</v>
      </c>
      <c r="H11" t="s">
        <v>242</v>
      </c>
      <c r="I11">
        <v>207</v>
      </c>
      <c r="J11" s="10">
        <v>1.8</v>
      </c>
      <c r="K11" s="1">
        <f t="shared" si="0"/>
        <v>0.80867346938775519</v>
      </c>
      <c r="L11" s="1">
        <f t="shared" si="1"/>
        <v>1.5291623958841263</v>
      </c>
      <c r="M11" s="10">
        <v>0.82</v>
      </c>
      <c r="N11" s="10">
        <v>3.99</v>
      </c>
    </row>
    <row r="12" spans="1:14" x14ac:dyDescent="0.2">
      <c r="A12" s="1" t="s">
        <v>259</v>
      </c>
      <c r="B12" s="1" t="s">
        <v>5</v>
      </c>
      <c r="C12" s="1" t="s">
        <v>238</v>
      </c>
      <c r="D12" t="s">
        <v>260</v>
      </c>
      <c r="E12" t="s">
        <v>241</v>
      </c>
      <c r="F12" s="1" t="s">
        <v>5</v>
      </c>
      <c r="G12" t="s">
        <v>19</v>
      </c>
      <c r="H12" t="s">
        <v>242</v>
      </c>
      <c r="I12">
        <v>207</v>
      </c>
      <c r="J12" s="10">
        <v>0.99</v>
      </c>
      <c r="K12" s="1">
        <f t="shared" si="0"/>
        <v>0.5178571428571429</v>
      </c>
      <c r="L12" s="1">
        <f t="shared" si="1"/>
        <v>3.7288941736028534</v>
      </c>
      <c r="M12" s="10">
        <v>0.4</v>
      </c>
      <c r="N12" s="10">
        <v>2.4300000000000002</v>
      </c>
    </row>
    <row r="13" spans="1:14" x14ac:dyDescent="0.2">
      <c r="A13" s="1" t="s">
        <v>261</v>
      </c>
      <c r="B13" s="1" t="s">
        <v>5</v>
      </c>
      <c r="C13" s="1" t="s">
        <v>238</v>
      </c>
      <c r="D13" t="s">
        <v>262</v>
      </c>
      <c r="E13" t="s">
        <v>241</v>
      </c>
      <c r="F13" s="1" t="s">
        <v>5</v>
      </c>
      <c r="G13" t="s">
        <v>19</v>
      </c>
      <c r="H13" t="s">
        <v>242</v>
      </c>
      <c r="I13">
        <v>207</v>
      </c>
      <c r="J13" s="10">
        <v>0.99</v>
      </c>
      <c r="K13" s="1">
        <f t="shared" si="0"/>
        <v>0.43622448979591838</v>
      </c>
      <c r="L13" s="1">
        <f t="shared" si="1"/>
        <v>5.2550870353271089</v>
      </c>
      <c r="M13" s="10">
        <v>0.46</v>
      </c>
      <c r="N13" s="10">
        <v>2.17</v>
      </c>
    </row>
    <row r="14" spans="1:14" x14ac:dyDescent="0.2">
      <c r="A14" s="1" t="s">
        <v>263</v>
      </c>
      <c r="B14" s="1" t="s">
        <v>5</v>
      </c>
      <c r="C14" s="1" t="s">
        <v>238</v>
      </c>
      <c r="D14" t="s">
        <v>264</v>
      </c>
      <c r="E14" t="s">
        <v>241</v>
      </c>
      <c r="F14" s="1" t="s">
        <v>5</v>
      </c>
      <c r="G14" t="s">
        <v>19</v>
      </c>
      <c r="H14" t="s">
        <v>242</v>
      </c>
      <c r="I14">
        <v>207</v>
      </c>
      <c r="J14" s="10">
        <v>0.6</v>
      </c>
      <c r="K14" s="1">
        <f t="shared" si="0"/>
        <v>0.31887755102040816</v>
      </c>
      <c r="L14" s="1">
        <f t="shared" si="1"/>
        <v>9.8344960000000015</v>
      </c>
      <c r="M14" s="10">
        <v>0.24</v>
      </c>
      <c r="N14" s="10">
        <v>1.49</v>
      </c>
    </row>
    <row r="15" spans="1:14" x14ac:dyDescent="0.2">
      <c r="A15" s="1" t="s">
        <v>374</v>
      </c>
      <c r="B15" s="1" t="s">
        <v>5</v>
      </c>
      <c r="C15" s="1" t="s">
        <v>375</v>
      </c>
      <c r="D15" s="1" t="s">
        <v>376</v>
      </c>
      <c r="F15" s="1" t="s">
        <v>5</v>
      </c>
      <c r="G15" s="1" t="s">
        <v>19</v>
      </c>
      <c r="H15" s="1" t="s">
        <v>154</v>
      </c>
      <c r="I15">
        <v>1680</v>
      </c>
      <c r="J15" s="10">
        <v>1.1599999999999999</v>
      </c>
      <c r="K15" s="1">
        <f t="shared" si="0"/>
        <v>0.18622448979591841</v>
      </c>
      <c r="L15" s="10">
        <f t="shared" si="1"/>
        <v>28.835428785888524</v>
      </c>
      <c r="M15" s="10">
        <v>0.85</v>
      </c>
      <c r="N15" s="10">
        <v>1.58</v>
      </c>
    </row>
    <row r="16" spans="1:14" x14ac:dyDescent="0.2">
      <c r="A16" s="1" t="s">
        <v>380</v>
      </c>
      <c r="C16" s="1" t="s">
        <v>381</v>
      </c>
      <c r="D16" t="s">
        <v>382</v>
      </c>
      <c r="E16" s="1" t="s">
        <v>386</v>
      </c>
      <c r="F16" s="1" t="s">
        <v>5</v>
      </c>
      <c r="G16" s="1" t="s">
        <v>19</v>
      </c>
      <c r="H16" t="s">
        <v>154</v>
      </c>
      <c r="I16">
        <v>2143</v>
      </c>
      <c r="J16" s="6">
        <v>1.01</v>
      </c>
      <c r="K16" s="1">
        <f t="shared" si="0"/>
        <v>0.44132653061224497</v>
      </c>
      <c r="L16" s="6">
        <f t="shared" si="1"/>
        <v>5.1342844732533646</v>
      </c>
      <c r="M16" s="6">
        <v>0.47</v>
      </c>
      <c r="N16" s="6">
        <v>2.2000000000000002</v>
      </c>
    </row>
    <row r="17" spans="1:14" x14ac:dyDescent="0.2">
      <c r="A17" s="1" t="s">
        <v>387</v>
      </c>
      <c r="C17" s="1" t="s">
        <v>381</v>
      </c>
      <c r="D17" t="s">
        <v>383</v>
      </c>
      <c r="E17" s="1" t="s">
        <v>386</v>
      </c>
      <c r="G17" s="1" t="s">
        <v>19</v>
      </c>
      <c r="H17" t="s">
        <v>154</v>
      </c>
      <c r="I17">
        <v>2144</v>
      </c>
      <c r="J17" s="6">
        <v>0.98</v>
      </c>
      <c r="K17" s="1">
        <f t="shared" si="0"/>
        <v>0.38520408163265307</v>
      </c>
      <c r="L17" s="6">
        <f t="shared" si="1"/>
        <v>6.739353537125564</v>
      </c>
      <c r="M17" s="6">
        <v>0.48</v>
      </c>
      <c r="N17" s="6">
        <v>1.99</v>
      </c>
    </row>
    <row r="18" spans="1:14" x14ac:dyDescent="0.2">
      <c r="A18" s="1" t="s">
        <v>388</v>
      </c>
      <c r="C18" s="1" t="s">
        <v>381</v>
      </c>
      <c r="D18" t="s">
        <v>384</v>
      </c>
      <c r="E18" s="1" t="s">
        <v>386</v>
      </c>
      <c r="G18" s="1" t="s">
        <v>19</v>
      </c>
      <c r="H18" t="s">
        <v>154</v>
      </c>
      <c r="I18">
        <v>1680</v>
      </c>
      <c r="J18" s="6">
        <v>1.54</v>
      </c>
      <c r="K18" s="1">
        <f t="shared" si="0"/>
        <v>0.37244897959183682</v>
      </c>
      <c r="L18" s="6">
        <f t="shared" si="1"/>
        <v>7.2088571964721311</v>
      </c>
      <c r="M18" s="6">
        <v>0.97</v>
      </c>
      <c r="N18" s="6">
        <v>2.4300000000000002</v>
      </c>
    </row>
    <row r="19" spans="1:14" x14ac:dyDescent="0.2">
      <c r="A19" s="1" t="s">
        <v>389</v>
      </c>
      <c r="C19" s="1" t="s">
        <v>381</v>
      </c>
      <c r="D19" t="s">
        <v>385</v>
      </c>
      <c r="E19" s="1" t="s">
        <v>386</v>
      </c>
      <c r="G19" s="1" t="s">
        <v>19</v>
      </c>
      <c r="H19" t="s">
        <v>154</v>
      </c>
      <c r="I19">
        <v>1680</v>
      </c>
      <c r="J19" s="6">
        <v>1.77</v>
      </c>
      <c r="K19" s="1">
        <f t="shared" si="0"/>
        <v>0.37755102040816335</v>
      </c>
      <c r="L19" s="6">
        <f t="shared" si="1"/>
        <v>7.0153396639883097</v>
      </c>
      <c r="M19" s="6">
        <v>1.18</v>
      </c>
      <c r="N19" s="6">
        <v>2.66</v>
      </c>
    </row>
    <row r="20" spans="1:14" x14ac:dyDescent="0.2">
      <c r="A20" s="1" t="s">
        <v>266</v>
      </c>
      <c r="B20" s="1" t="s">
        <v>5</v>
      </c>
      <c r="C20" s="1" t="s">
        <v>265</v>
      </c>
      <c r="D20" t="s">
        <v>267</v>
      </c>
      <c r="E20" t="s">
        <v>268</v>
      </c>
      <c r="F20" s="1" t="s">
        <v>5</v>
      </c>
      <c r="G20" t="s">
        <v>236</v>
      </c>
      <c r="H20" t="s">
        <v>269</v>
      </c>
      <c r="I20">
        <v>271</v>
      </c>
      <c r="J20" s="6">
        <f>EXP(0.04)</f>
        <v>1.0408107741923882</v>
      </c>
      <c r="K20" s="1">
        <f t="shared" si="0"/>
        <v>0.44661725320228568</v>
      </c>
      <c r="L20" s="1">
        <f t="shared" si="1"/>
        <v>5.0133613384650291</v>
      </c>
      <c r="M20" s="6">
        <v>0.48461525089259599</v>
      </c>
      <c r="N20" s="10">
        <v>2.2353548834455559</v>
      </c>
    </row>
    <row r="21" spans="1:14" x14ac:dyDescent="0.2">
      <c r="A21" s="1" t="s">
        <v>270</v>
      </c>
      <c r="B21" s="1" t="s">
        <v>5</v>
      </c>
      <c r="C21" s="1" t="s">
        <v>265</v>
      </c>
      <c r="D21" t="s">
        <v>267</v>
      </c>
      <c r="E21" t="s">
        <v>271</v>
      </c>
      <c r="F21" s="1" t="s">
        <v>5</v>
      </c>
      <c r="G21" t="s">
        <v>236</v>
      </c>
      <c r="H21" t="s">
        <v>269</v>
      </c>
      <c r="I21">
        <v>271</v>
      </c>
      <c r="J21" s="6">
        <f>EXP(0.03)</f>
        <v>1.0304545339535169</v>
      </c>
      <c r="K21" s="1">
        <f t="shared" si="0"/>
        <v>0.57088095047479426</v>
      </c>
      <c r="L21" s="1">
        <f t="shared" si="1"/>
        <v>3.0683782607772701</v>
      </c>
      <c r="M21" s="6">
        <v>0.40220233342781891</v>
      </c>
      <c r="N21" s="10">
        <v>2.6400556592890125</v>
      </c>
    </row>
    <row r="22" spans="1:14" x14ac:dyDescent="0.2">
      <c r="A22" s="1" t="s">
        <v>272</v>
      </c>
      <c r="B22" s="1" t="s">
        <v>5</v>
      </c>
      <c r="C22" s="1" t="s">
        <v>265</v>
      </c>
      <c r="D22" t="s">
        <v>267</v>
      </c>
      <c r="E22" t="s">
        <v>273</v>
      </c>
      <c r="F22" s="1" t="s">
        <v>5</v>
      </c>
      <c r="G22" t="s">
        <v>236</v>
      </c>
      <c r="H22" t="s">
        <v>269</v>
      </c>
      <c r="I22">
        <v>271</v>
      </c>
      <c r="J22" s="6">
        <f>EXP(0)</f>
        <v>1</v>
      </c>
      <c r="K22" s="1">
        <f t="shared" si="0"/>
        <v>23.612751593341812</v>
      </c>
      <c r="L22" s="1">
        <f t="shared" si="1"/>
        <v>1.7935223924674774E-3</v>
      </c>
      <c r="M22" s="6">
        <v>1.1243107553464221E-2</v>
      </c>
      <c r="N22" s="10">
        <v>92.573229353453371</v>
      </c>
    </row>
    <row r="23" spans="1:14" x14ac:dyDescent="0.2">
      <c r="A23" s="1" t="s">
        <v>274</v>
      </c>
      <c r="B23" s="1" t="s">
        <v>5</v>
      </c>
      <c r="C23" s="1" t="s">
        <v>265</v>
      </c>
      <c r="D23" t="s">
        <v>300</v>
      </c>
      <c r="E23" t="s">
        <v>275</v>
      </c>
      <c r="F23" s="1" t="s">
        <v>5</v>
      </c>
      <c r="G23" t="s">
        <v>236</v>
      </c>
      <c r="H23" t="s">
        <v>110</v>
      </c>
      <c r="I23">
        <v>274</v>
      </c>
      <c r="J23" s="1">
        <f>EXP(-0.11)</f>
        <v>0.89583413529652822</v>
      </c>
      <c r="K23" s="1">
        <f t="shared" si="0"/>
        <v>6.2200681858919256E-2</v>
      </c>
      <c r="L23" s="1">
        <f t="shared" si="1"/>
        <v>258.46974174078616</v>
      </c>
      <c r="M23" s="1">
        <f>EXP(-0.24)</f>
        <v>0.78662786106655347</v>
      </c>
      <c r="N23" s="1">
        <f>EXP(0.03)</f>
        <v>1.0304545339535169</v>
      </c>
    </row>
    <row r="24" spans="1:14" x14ac:dyDescent="0.2">
      <c r="A24" s="1" t="s">
        <v>378</v>
      </c>
      <c r="C24" s="1" t="s">
        <v>375</v>
      </c>
      <c r="D24" s="1" t="s">
        <v>376</v>
      </c>
      <c r="E24" s="14" t="s">
        <v>377</v>
      </c>
      <c r="F24" s="1"/>
      <c r="G24" t="s">
        <v>236</v>
      </c>
      <c r="H24" t="s">
        <v>178</v>
      </c>
      <c r="I24">
        <v>687</v>
      </c>
      <c r="J24" s="6">
        <v>1.21</v>
      </c>
      <c r="K24" s="1">
        <f t="shared" si="0"/>
        <v>0.24234693877551022</v>
      </c>
      <c r="L24" s="6">
        <f t="shared" si="1"/>
        <v>17.026481994459829</v>
      </c>
      <c r="M24" s="6">
        <v>0.83</v>
      </c>
      <c r="N24" s="6">
        <v>1.78</v>
      </c>
    </row>
    <row r="25" spans="1:14" x14ac:dyDescent="0.2">
      <c r="A25" s="1" t="s">
        <v>276</v>
      </c>
      <c r="B25" s="1" t="s">
        <v>5</v>
      </c>
      <c r="C25" s="1" t="s">
        <v>265</v>
      </c>
      <c r="D25" t="s">
        <v>267</v>
      </c>
      <c r="E25" t="s">
        <v>277</v>
      </c>
      <c r="F25" s="1" t="s">
        <v>5</v>
      </c>
      <c r="G25" t="s">
        <v>278</v>
      </c>
      <c r="H25" t="s">
        <v>269</v>
      </c>
      <c r="I25">
        <v>271</v>
      </c>
      <c r="J25" s="6">
        <f>EXP(-0.02)</f>
        <v>0.98019867330675525</v>
      </c>
      <c r="K25" s="1">
        <f t="shared" si="0"/>
        <v>10.234968762737891</v>
      </c>
      <c r="L25" s="1">
        <f t="shared" si="1"/>
        <v>9.5461214849776963E-3</v>
      </c>
      <c r="M25" s="6">
        <v>1.9992461529633413E-2</v>
      </c>
      <c r="N25" s="10">
        <v>40.141070011462162</v>
      </c>
    </row>
    <row r="26" spans="1:14" x14ac:dyDescent="0.2">
      <c r="A26" s="1" t="s">
        <v>279</v>
      </c>
      <c r="B26" s="1" t="s">
        <v>5</v>
      </c>
      <c r="C26" s="1" t="s">
        <v>265</v>
      </c>
      <c r="D26" t="s">
        <v>267</v>
      </c>
      <c r="E26" t="s">
        <v>273</v>
      </c>
      <c r="F26" s="1" t="s">
        <v>5</v>
      </c>
      <c r="G26" t="s">
        <v>278</v>
      </c>
      <c r="H26" t="s">
        <v>269</v>
      </c>
      <c r="I26">
        <v>271</v>
      </c>
      <c r="J26" s="6">
        <v>0.98019867330675525</v>
      </c>
      <c r="K26" s="1">
        <f t="shared" si="0"/>
        <v>42.481713046851674</v>
      </c>
      <c r="L26" s="1">
        <f t="shared" si="1"/>
        <v>5.5410996165856637E-4</v>
      </c>
      <c r="M26" s="6">
        <v>5.7693260944838513E-3</v>
      </c>
      <c r="N26" s="10">
        <v>166.53408446975303</v>
      </c>
    </row>
    <row r="27" spans="1:14" x14ac:dyDescent="0.2">
      <c r="A27" s="1" t="s">
        <v>280</v>
      </c>
      <c r="B27" s="1" t="s">
        <v>5</v>
      </c>
      <c r="C27" s="1" t="s">
        <v>265</v>
      </c>
      <c r="D27" t="s">
        <v>267</v>
      </c>
      <c r="E27" t="s">
        <v>268</v>
      </c>
      <c r="F27" s="1" t="s">
        <v>5</v>
      </c>
      <c r="G27" t="s">
        <v>237</v>
      </c>
      <c r="H27" t="s">
        <v>269</v>
      </c>
      <c r="I27">
        <v>271</v>
      </c>
      <c r="J27" s="6">
        <f>EXP(0.07)</f>
        <v>1.0725081812542165</v>
      </c>
      <c r="K27" s="1">
        <f t="shared" si="0"/>
        <v>0.51774743343876029</v>
      </c>
      <c r="L27" s="1">
        <f t="shared" si="1"/>
        <v>3.7304746281939085</v>
      </c>
      <c r="M27" s="6">
        <v>0.46171844503835913</v>
      </c>
      <c r="N27" s="10">
        <v>2.4912883841182993</v>
      </c>
    </row>
    <row r="28" spans="1:14" x14ac:dyDescent="0.2">
      <c r="A28" s="1" t="s">
        <v>281</v>
      </c>
      <c r="B28" s="1" t="s">
        <v>5</v>
      </c>
      <c r="C28" s="1" t="s">
        <v>265</v>
      </c>
      <c r="D28" t="s">
        <v>267</v>
      </c>
      <c r="E28" t="s">
        <v>271</v>
      </c>
      <c r="F28" s="1" t="s">
        <v>5</v>
      </c>
      <c r="G28" t="s">
        <v>237</v>
      </c>
      <c r="H28" t="s">
        <v>269</v>
      </c>
      <c r="I28">
        <v>271</v>
      </c>
      <c r="J28" s="6">
        <f>EXP(0)</f>
        <v>1</v>
      </c>
      <c r="K28" s="1">
        <f t="shared" si="0"/>
        <v>0.48322749317040786</v>
      </c>
      <c r="L28" s="1">
        <f t="shared" si="1"/>
        <v>4.2824936640847655</v>
      </c>
      <c r="M28" s="6">
        <v>0.43093414343852143</v>
      </c>
      <c r="N28" s="10">
        <v>2.3251859166665203</v>
      </c>
    </row>
    <row r="29" spans="1:14" x14ac:dyDescent="0.2">
      <c r="A29" s="1" t="s">
        <v>282</v>
      </c>
      <c r="B29" s="1" t="s">
        <v>5</v>
      </c>
      <c r="C29" s="1" t="s">
        <v>265</v>
      </c>
      <c r="D29" t="s">
        <v>267</v>
      </c>
      <c r="E29" t="s">
        <v>277</v>
      </c>
      <c r="F29" s="1" t="s">
        <v>5</v>
      </c>
      <c r="G29" t="s">
        <v>237</v>
      </c>
      <c r="H29" t="s">
        <v>269</v>
      </c>
      <c r="I29">
        <v>271</v>
      </c>
      <c r="J29" s="6">
        <f>EXP(-0.11)</f>
        <v>0.89583413529652822</v>
      </c>
      <c r="K29" s="1">
        <f t="shared" si="0"/>
        <v>8.001035605607143</v>
      </c>
      <c r="L29" s="1">
        <f t="shared" si="1"/>
        <v>1.56209554509686E-2</v>
      </c>
      <c r="M29" s="6">
        <v>2.3135200271843962E-2</v>
      </c>
      <c r="N29" s="10">
        <v>31.387194774251846</v>
      </c>
    </row>
    <row r="30" spans="1:14" x14ac:dyDescent="0.2">
      <c r="A30" s="1" t="s">
        <v>283</v>
      </c>
      <c r="B30" s="1" t="s">
        <v>5</v>
      </c>
      <c r="C30" s="1" t="s">
        <v>265</v>
      </c>
      <c r="D30" t="s">
        <v>267</v>
      </c>
      <c r="E30" t="s">
        <v>273</v>
      </c>
      <c r="F30" s="1" t="s">
        <v>5</v>
      </c>
      <c r="G30" t="s">
        <v>237</v>
      </c>
      <c r="H30" t="s">
        <v>269</v>
      </c>
      <c r="I30">
        <v>271</v>
      </c>
      <c r="J30" s="6">
        <f>EXP(0.02)</f>
        <v>1.0202013400267558</v>
      </c>
      <c r="K30" s="1">
        <f t="shared" si="0"/>
        <v>19.049191738326122</v>
      </c>
      <c r="L30" s="1">
        <f t="shared" si="1"/>
        <v>2.7557949098434707E-3</v>
      </c>
      <c r="M30" s="6">
        <f>LOG(J26)</f>
        <v>-8.6858896380650578E-3</v>
      </c>
      <c r="N30" s="10">
        <v>74.664145724600345</v>
      </c>
    </row>
    <row r="31" spans="1:14" x14ac:dyDescent="0.2">
      <c r="A31" s="1" t="s">
        <v>379</v>
      </c>
      <c r="C31" s="1" t="s">
        <v>375</v>
      </c>
      <c r="D31" s="1" t="s">
        <v>376</v>
      </c>
      <c r="E31" s="14" t="s">
        <v>377</v>
      </c>
      <c r="F31" s="1"/>
      <c r="G31" t="s">
        <v>237</v>
      </c>
      <c r="H31" t="s">
        <v>178</v>
      </c>
      <c r="I31">
        <v>687</v>
      </c>
      <c r="J31" s="6">
        <v>1.5</v>
      </c>
      <c r="K31" s="1">
        <f t="shared" si="0"/>
        <v>0.29591836734693877</v>
      </c>
      <c r="L31" s="6">
        <f t="shared" si="1"/>
        <v>11.419738406658739</v>
      </c>
      <c r="M31" s="6">
        <v>1.03</v>
      </c>
      <c r="N31" s="6">
        <v>2.19</v>
      </c>
    </row>
    <row r="32" spans="1:14" x14ac:dyDescent="0.2">
      <c r="I32" s="6"/>
      <c r="J32" s="6"/>
      <c r="K32" s="6"/>
      <c r="L32"/>
      <c r="M32"/>
      <c r="N32"/>
    </row>
    <row r="33" spans="10:14" x14ac:dyDescent="0.2">
      <c r="J33" s="6"/>
      <c r="K33" s="6"/>
      <c r="L33" s="6"/>
      <c r="M33" s="6"/>
      <c r="N33" s="6"/>
    </row>
    <row r="34" spans="10:14" x14ac:dyDescent="0.2">
      <c r="J34" s="6"/>
      <c r="K34" s="6"/>
      <c r="L34" s="6"/>
      <c r="M34" s="6"/>
      <c r="N34" s="6"/>
    </row>
    <row r="35" spans="10:14" x14ac:dyDescent="0.2">
      <c r="J35" s="6"/>
      <c r="K35" s="6"/>
      <c r="L35" s="6"/>
      <c r="M35" s="6"/>
      <c r="N35" s="6"/>
    </row>
    <row r="36" spans="10:14" x14ac:dyDescent="0.2">
      <c r="J36" s="6"/>
      <c r="K36" s="6"/>
      <c r="L36" s="6"/>
      <c r="M36" s="6"/>
      <c r="N36" s="6"/>
    </row>
    <row r="37" spans="10:14" x14ac:dyDescent="0.2">
      <c r="J37" s="6"/>
      <c r="K37" s="6"/>
      <c r="L37" s="6"/>
      <c r="M37" s="6"/>
      <c r="N37" s="6"/>
    </row>
    <row r="38" spans="10:14" x14ac:dyDescent="0.2">
      <c r="J38" s="6"/>
      <c r="K38" s="6"/>
      <c r="L38" s="6"/>
      <c r="M38" s="6"/>
      <c r="N38" s="6"/>
    </row>
    <row r="39" spans="10:14" x14ac:dyDescent="0.2">
      <c r="J39" s="6"/>
      <c r="K39" s="6"/>
      <c r="L39" s="6"/>
      <c r="M39" s="6"/>
      <c r="N39" s="6"/>
    </row>
    <row r="40" spans="10:14" x14ac:dyDescent="0.2">
      <c r="J40" s="6"/>
      <c r="K40" s="6"/>
      <c r="L40" s="6"/>
      <c r="M40" s="6"/>
      <c r="N40" s="6"/>
    </row>
    <row r="41" spans="10:14" x14ac:dyDescent="0.2">
      <c r="J41" s="6"/>
      <c r="K41" s="6"/>
      <c r="L41" s="6"/>
      <c r="M41" s="6"/>
      <c r="N41" s="6"/>
    </row>
    <row r="42" spans="10:14" x14ac:dyDescent="0.2">
      <c r="J42" s="6"/>
      <c r="K42" s="6"/>
      <c r="L42" s="6"/>
      <c r="M42" s="6"/>
      <c r="N42" s="6"/>
    </row>
    <row r="43" spans="10:14" x14ac:dyDescent="0.2">
      <c r="J43" s="6"/>
      <c r="K43" s="6"/>
      <c r="L43" s="6"/>
      <c r="M43" s="6"/>
      <c r="N43" s="6"/>
    </row>
    <row r="44" spans="10:14" x14ac:dyDescent="0.2">
      <c r="J44" s="6"/>
      <c r="K44" s="6"/>
      <c r="L44" s="6"/>
      <c r="M44" s="6"/>
      <c r="N44" s="6"/>
    </row>
    <row r="45" spans="10:14" x14ac:dyDescent="0.2">
      <c r="J45" s="6"/>
      <c r="K45" s="6"/>
      <c r="L45" s="6"/>
      <c r="M45" s="6"/>
      <c r="N45" s="6"/>
    </row>
    <row r="46" spans="10:14" x14ac:dyDescent="0.2">
      <c r="J46" s="10"/>
      <c r="K46" s="10"/>
      <c r="L46" s="10"/>
      <c r="M46" s="10"/>
      <c r="N46" s="6"/>
    </row>
    <row r="47" spans="10:14" x14ac:dyDescent="0.2">
      <c r="J47" s="10"/>
      <c r="K47" s="10"/>
      <c r="L47" s="10"/>
      <c r="M47" s="10"/>
      <c r="N47" s="6"/>
    </row>
    <row r="48" spans="10:14" x14ac:dyDescent="0.2">
      <c r="J48" s="10"/>
      <c r="K48" s="10"/>
      <c r="L48" s="10"/>
      <c r="M48" s="10"/>
      <c r="N48" s="6"/>
    </row>
    <row r="49" spans="10:14" x14ac:dyDescent="0.2">
      <c r="J49" s="10"/>
      <c r="K49" s="10"/>
      <c r="L49" s="10"/>
      <c r="M49" s="10"/>
      <c r="N49" s="6"/>
    </row>
    <row r="50" spans="10:14" x14ac:dyDescent="0.2">
      <c r="J50" s="6"/>
      <c r="K50" s="6"/>
      <c r="L50" s="6"/>
      <c r="M50" s="6"/>
      <c r="N50" s="10"/>
    </row>
    <row r="51" spans="10:14" x14ac:dyDescent="0.2">
      <c r="J51" s="6"/>
      <c r="K51" s="6"/>
      <c r="L51" s="6"/>
      <c r="M51" s="6"/>
      <c r="N51" s="10"/>
    </row>
    <row r="52" spans="10:14" x14ac:dyDescent="0.2">
      <c r="J52" s="6"/>
      <c r="K52" s="6"/>
      <c r="L52" s="6"/>
      <c r="M52" s="6"/>
      <c r="N52" s="10"/>
    </row>
    <row r="53" spans="10:14" x14ac:dyDescent="0.2">
      <c r="J53" s="6"/>
      <c r="K53" s="6"/>
      <c r="L53" s="6"/>
      <c r="M53" s="6"/>
      <c r="N53" s="10"/>
    </row>
    <row r="54" spans="10:14" x14ac:dyDescent="0.2">
      <c r="J54" s="6"/>
      <c r="K54" s="6"/>
      <c r="L54" s="6"/>
      <c r="M54" s="6"/>
      <c r="N54" s="6"/>
    </row>
    <row r="55" spans="10:14" x14ac:dyDescent="0.2">
      <c r="J55" s="6"/>
      <c r="K55" s="6"/>
      <c r="L55" s="6"/>
      <c r="M55" s="6"/>
      <c r="N55" s="6"/>
    </row>
    <row r="56" spans="10:14" x14ac:dyDescent="0.2">
      <c r="J56" s="6"/>
      <c r="K56" s="6"/>
      <c r="L56" s="6"/>
      <c r="M56" s="6"/>
      <c r="N56" s="6"/>
    </row>
    <row r="57" spans="10:14" x14ac:dyDescent="0.2">
      <c r="J57" s="6"/>
      <c r="K57" s="6"/>
      <c r="L57" s="6"/>
      <c r="M57" s="6"/>
      <c r="N57" s="6"/>
    </row>
    <row r="58" spans="10:14" x14ac:dyDescent="0.2">
      <c r="J58" s="6"/>
      <c r="K58" s="6"/>
      <c r="L58" s="6"/>
      <c r="M58" s="6"/>
      <c r="N58" s="6"/>
    </row>
    <row r="59" spans="10:14" x14ac:dyDescent="0.2">
      <c r="J59" s="6"/>
      <c r="K59" s="6"/>
      <c r="L59" s="6"/>
      <c r="M59" s="6"/>
      <c r="N59" s="6"/>
    </row>
    <row r="60" spans="10:14" x14ac:dyDescent="0.2">
      <c r="J60" s="6"/>
      <c r="K60" s="6"/>
      <c r="L60" s="6"/>
      <c r="M60" s="6"/>
      <c r="N60" s="6"/>
    </row>
    <row r="61" spans="10:14" x14ac:dyDescent="0.2">
      <c r="J61" s="6"/>
      <c r="K61" s="6"/>
      <c r="L61" s="6"/>
      <c r="M61" s="6"/>
      <c r="N61" s="6"/>
    </row>
    <row r="62" spans="10:14" x14ac:dyDescent="0.2">
      <c r="J62" s="6"/>
      <c r="K62" s="6"/>
      <c r="L62" s="6"/>
      <c r="M62" s="6"/>
      <c r="N62" s="6"/>
    </row>
    <row r="63" spans="10:14" x14ac:dyDescent="0.2">
      <c r="J63" s="6"/>
      <c r="K63" s="6"/>
      <c r="L63" s="6"/>
      <c r="M63" s="6"/>
      <c r="N63" s="6"/>
    </row>
    <row r="64" spans="10:14" x14ac:dyDescent="0.2">
      <c r="J64" s="6"/>
      <c r="K64" s="6"/>
      <c r="L64" s="6"/>
      <c r="M64" s="6"/>
      <c r="N64" s="6"/>
    </row>
    <row r="65" spans="10:14" x14ac:dyDescent="0.2">
      <c r="J65" s="6"/>
      <c r="K65" s="6"/>
      <c r="L65" s="6"/>
      <c r="M65" s="6"/>
      <c r="N65" s="6"/>
    </row>
    <row r="66" spans="10:14" x14ac:dyDescent="0.2">
      <c r="J66" s="6"/>
      <c r="K66" s="6"/>
      <c r="L66" s="6"/>
      <c r="M66" s="6"/>
      <c r="N66" s="6"/>
    </row>
    <row r="67" spans="10:14" x14ac:dyDescent="0.2">
      <c r="J67" s="6"/>
      <c r="K67" s="6"/>
      <c r="L67" s="6"/>
      <c r="M67" s="6"/>
      <c r="N67" s="6"/>
    </row>
    <row r="68" spans="10:14" x14ac:dyDescent="0.2">
      <c r="J68" s="6"/>
      <c r="K68" s="6"/>
      <c r="L68" s="6"/>
      <c r="M68" s="6"/>
      <c r="N68" s="6"/>
    </row>
    <row r="69" spans="10:14" x14ac:dyDescent="0.2">
      <c r="J69" s="6"/>
      <c r="K69" s="6"/>
      <c r="L69" s="6"/>
      <c r="M69" s="6"/>
      <c r="N69" s="6"/>
    </row>
    <row r="70" spans="10:14" x14ac:dyDescent="0.2">
      <c r="J70" s="6"/>
      <c r="K70" s="6"/>
      <c r="L70" s="6"/>
      <c r="M70" s="6"/>
      <c r="N70" s="6"/>
    </row>
    <row r="71" spans="10:14" x14ac:dyDescent="0.2">
      <c r="J71" s="6"/>
      <c r="K71" s="6"/>
      <c r="L71" s="6"/>
      <c r="M71" s="6"/>
      <c r="N71" s="6"/>
    </row>
    <row r="72" spans="10:14" x14ac:dyDescent="0.2">
      <c r="J72" s="6"/>
      <c r="K72" s="6"/>
      <c r="L72" s="6"/>
      <c r="M72" s="6"/>
      <c r="N72" s="6"/>
    </row>
    <row r="73" spans="10:14" x14ac:dyDescent="0.2">
      <c r="J73" s="6"/>
      <c r="K73" s="6"/>
      <c r="L73" s="6"/>
      <c r="M73" s="6"/>
      <c r="N73" s="6"/>
    </row>
    <row r="74" spans="10:14" x14ac:dyDescent="0.2">
      <c r="J74" s="6"/>
      <c r="K74" s="6"/>
      <c r="L74" s="6"/>
      <c r="M74" s="6"/>
      <c r="N74" s="6"/>
    </row>
    <row r="75" spans="10:14" x14ac:dyDescent="0.2">
      <c r="J75" s="6"/>
      <c r="K75" s="6"/>
      <c r="L75" s="6"/>
      <c r="M75" s="6"/>
      <c r="N75" s="6"/>
    </row>
    <row r="76" spans="10:14" x14ac:dyDescent="0.2">
      <c r="J76" s="6"/>
      <c r="K76" s="6"/>
      <c r="L76" s="6"/>
      <c r="M76" s="6"/>
      <c r="N76" s="6"/>
    </row>
    <row r="77" spans="10:14" x14ac:dyDescent="0.2">
      <c r="J77" s="6"/>
      <c r="K77" s="6"/>
      <c r="L77" s="6"/>
      <c r="M77" s="6"/>
      <c r="N77" s="6"/>
    </row>
    <row r="78" spans="10:14" x14ac:dyDescent="0.2">
      <c r="J78" s="6"/>
      <c r="K78" s="6"/>
      <c r="L78" s="6"/>
      <c r="M78" s="6"/>
      <c r="N78" s="6"/>
    </row>
    <row r="79" spans="10:14" x14ac:dyDescent="0.2">
      <c r="J79" s="6"/>
      <c r="K79" s="6"/>
      <c r="L79" s="6"/>
      <c r="M79" s="6"/>
      <c r="N79" s="6"/>
    </row>
    <row r="80" spans="10:14" x14ac:dyDescent="0.2">
      <c r="J80" s="6"/>
      <c r="K80" s="6"/>
      <c r="L80" s="6"/>
      <c r="M80" s="6"/>
      <c r="N80" s="6"/>
    </row>
    <row r="81" spans="10:14" x14ac:dyDescent="0.2">
      <c r="J81" s="6"/>
      <c r="K81" s="6"/>
      <c r="L81" s="6"/>
      <c r="M81" s="6"/>
      <c r="N81" s="6"/>
    </row>
    <row r="82" spans="10:14" x14ac:dyDescent="0.2">
      <c r="J82" s="10"/>
      <c r="K82" s="10"/>
      <c r="L82" s="10"/>
      <c r="M82" s="10"/>
      <c r="N82" s="6"/>
    </row>
    <row r="83" spans="10:14" x14ac:dyDescent="0.2">
      <c r="J83" s="10"/>
      <c r="K83" s="10"/>
      <c r="L83" s="10"/>
      <c r="M83" s="10"/>
      <c r="N83" s="6"/>
    </row>
    <row r="84" spans="10:14" x14ac:dyDescent="0.2">
      <c r="J84" s="10"/>
      <c r="K84" s="10"/>
      <c r="L84" s="10"/>
      <c r="M84" s="10"/>
      <c r="N84" s="6"/>
    </row>
    <row r="85" spans="10:14" x14ac:dyDescent="0.2">
      <c r="J85" s="10"/>
      <c r="K85" s="10"/>
      <c r="L85" s="10"/>
      <c r="M85" s="10"/>
      <c r="N85" s="6"/>
    </row>
    <row r="86" spans="10:14" x14ac:dyDescent="0.2">
      <c r="J86" s="10"/>
      <c r="K86" s="10"/>
      <c r="L86" s="10"/>
      <c r="M86" s="10"/>
      <c r="N86" s="10"/>
    </row>
    <row r="87" spans="10:14" x14ac:dyDescent="0.2">
      <c r="J87" s="10"/>
      <c r="K87" s="10"/>
      <c r="L87" s="10"/>
      <c r="M87" s="10"/>
      <c r="N87" s="10"/>
    </row>
    <row r="88" spans="10:14" x14ac:dyDescent="0.2">
      <c r="J88" s="10"/>
      <c r="K88" s="10"/>
      <c r="L88" s="10"/>
      <c r="M88" s="10"/>
      <c r="N88" s="10"/>
    </row>
    <row r="89" spans="10:14" x14ac:dyDescent="0.2">
      <c r="J89" s="10"/>
      <c r="K89" s="10"/>
      <c r="L89" s="10"/>
      <c r="M89" s="10"/>
      <c r="N89" s="10"/>
    </row>
    <row r="90" spans="10:14" x14ac:dyDescent="0.2">
      <c r="J90" s="6"/>
      <c r="K90" s="6"/>
      <c r="L90" s="6"/>
      <c r="M90" s="6"/>
      <c r="N90" s="10"/>
    </row>
    <row r="91" spans="10:14" x14ac:dyDescent="0.2">
      <c r="J91" s="6"/>
      <c r="K91" s="6"/>
      <c r="L91" s="6"/>
      <c r="M91" s="6"/>
      <c r="N91" s="10"/>
    </row>
    <row r="92" spans="10:14" x14ac:dyDescent="0.2">
      <c r="J92" s="6"/>
      <c r="K92" s="6"/>
      <c r="L92" s="6"/>
      <c r="M92" s="6"/>
      <c r="N92" s="10"/>
    </row>
    <row r="93" spans="10:14" x14ac:dyDescent="0.2">
      <c r="J93" s="6"/>
      <c r="K93" s="6"/>
      <c r="L93" s="6"/>
      <c r="M93" s="6"/>
      <c r="N93" s="10"/>
    </row>
    <row r="94" spans="10:14" x14ac:dyDescent="0.2">
      <c r="J94" s="6"/>
      <c r="K94" s="6"/>
      <c r="L94" s="6"/>
      <c r="M94" s="6"/>
      <c r="N94" s="6"/>
    </row>
    <row r="95" spans="10:14" x14ac:dyDescent="0.2">
      <c r="J95" s="6"/>
      <c r="K95" s="6"/>
      <c r="L95" s="6"/>
      <c r="M95" s="6"/>
      <c r="N95" s="6"/>
    </row>
    <row r="96" spans="10:14" x14ac:dyDescent="0.2">
      <c r="J96" s="6"/>
      <c r="K96" s="6"/>
      <c r="L96" s="6"/>
      <c r="M96" s="6"/>
      <c r="N96" s="6"/>
    </row>
    <row r="97" spans="10:14" x14ac:dyDescent="0.2">
      <c r="J97" s="6"/>
      <c r="K97" s="6"/>
      <c r="L97" s="6"/>
      <c r="M97" s="6"/>
      <c r="N97" s="6"/>
    </row>
    <row r="98" spans="10:14" x14ac:dyDescent="0.2">
      <c r="J98" s="6"/>
      <c r="K98" s="6"/>
      <c r="L98" s="6"/>
      <c r="M98" s="6"/>
      <c r="N98" s="6"/>
    </row>
    <row r="99" spans="10:14" x14ac:dyDescent="0.2">
      <c r="J99" s="6"/>
      <c r="K99" s="6"/>
      <c r="L99" s="6"/>
      <c r="M99" s="6"/>
      <c r="N99" s="6"/>
    </row>
    <row r="100" spans="10:14" x14ac:dyDescent="0.2">
      <c r="J100" s="6"/>
      <c r="K100" s="6"/>
      <c r="L100" s="6"/>
      <c r="M100" s="6"/>
      <c r="N100" s="6"/>
    </row>
    <row r="101" spans="10:14" x14ac:dyDescent="0.2">
      <c r="J101" s="6"/>
      <c r="K101" s="6"/>
      <c r="L101" s="6"/>
      <c r="M101" s="6"/>
      <c r="N101" s="6"/>
    </row>
    <row r="102" spans="10:14" x14ac:dyDescent="0.2">
      <c r="J102" s="6"/>
      <c r="K102" s="6"/>
      <c r="L102" s="6"/>
      <c r="M102" s="6"/>
      <c r="N102" s="6"/>
    </row>
    <row r="103" spans="10:14" x14ac:dyDescent="0.2">
      <c r="J103" s="6"/>
      <c r="K103" s="6"/>
      <c r="L103" s="6"/>
      <c r="M103" s="6"/>
      <c r="N103" s="6"/>
    </row>
    <row r="104" spans="10:14" x14ac:dyDescent="0.2">
      <c r="J104" s="6"/>
      <c r="K104" s="6"/>
      <c r="L104" s="6"/>
      <c r="M104" s="6"/>
      <c r="N104" s="6"/>
    </row>
    <row r="105" spans="10:14" x14ac:dyDescent="0.2">
      <c r="J105" s="6"/>
      <c r="K105" s="6"/>
      <c r="L105" s="6"/>
      <c r="M105" s="6"/>
      <c r="N105" s="6"/>
    </row>
    <row r="106" spans="10:14" x14ac:dyDescent="0.2">
      <c r="J106" s="6"/>
      <c r="K106" s="6"/>
      <c r="L106" s="6"/>
      <c r="M106" s="6"/>
      <c r="N106" s="6"/>
    </row>
    <row r="107" spans="10:14" x14ac:dyDescent="0.2">
      <c r="J107" s="6"/>
      <c r="K107" s="6"/>
      <c r="L107" s="6"/>
      <c r="M107" s="6"/>
      <c r="N107" s="6"/>
    </row>
    <row r="108" spans="10:14" x14ac:dyDescent="0.2">
      <c r="J108" s="6"/>
      <c r="K108" s="6"/>
      <c r="L108" s="6"/>
      <c r="M108" s="6"/>
      <c r="N108" s="6"/>
    </row>
    <row r="109" spans="10:14" x14ac:dyDescent="0.2">
      <c r="J109" s="6"/>
      <c r="K109" s="6"/>
      <c r="L109" s="6"/>
      <c r="M109" s="6"/>
      <c r="N109" s="6"/>
    </row>
    <row r="110" spans="10:14" x14ac:dyDescent="0.2">
      <c r="J110" s="6"/>
      <c r="K110" s="6"/>
      <c r="L110" s="6"/>
      <c r="M110" s="6"/>
      <c r="N110" s="6"/>
    </row>
    <row r="111" spans="10:14" x14ac:dyDescent="0.2">
      <c r="J111" s="6"/>
      <c r="K111" s="6"/>
      <c r="L111" s="6"/>
      <c r="M111" s="6"/>
      <c r="N111" s="6"/>
    </row>
    <row r="112" spans="10:14" x14ac:dyDescent="0.2">
      <c r="J112" s="6"/>
      <c r="K112" s="6"/>
      <c r="L112" s="6"/>
      <c r="M112" s="6"/>
      <c r="N112" s="6"/>
    </row>
    <row r="113" spans="10:14" x14ac:dyDescent="0.2">
      <c r="J113" s="6"/>
      <c r="K113" s="6"/>
      <c r="L113" s="6"/>
      <c r="M113" s="6"/>
      <c r="N113" s="6"/>
    </row>
    <row r="114" spans="10:14" x14ac:dyDescent="0.2">
      <c r="J114" s="6"/>
      <c r="K114" s="6"/>
      <c r="L114" s="6"/>
      <c r="M114" s="6"/>
      <c r="N114" s="6"/>
    </row>
    <row r="115" spans="10:14" x14ac:dyDescent="0.2">
      <c r="J115" s="6"/>
      <c r="K115" s="6"/>
      <c r="L115" s="6"/>
      <c r="M115" s="6"/>
      <c r="N115" s="6"/>
    </row>
    <row r="116" spans="10:14" x14ac:dyDescent="0.2">
      <c r="J116" s="6"/>
      <c r="K116" s="6"/>
      <c r="L116" s="6"/>
      <c r="M116" s="6"/>
      <c r="N116" s="6"/>
    </row>
    <row r="117" spans="10:14" x14ac:dyDescent="0.2">
      <c r="J117" s="6"/>
      <c r="K117" s="6"/>
      <c r="L117" s="6"/>
      <c r="M117" s="6"/>
      <c r="N117" s="6"/>
    </row>
    <row r="118" spans="10:14" x14ac:dyDescent="0.2">
      <c r="J118" s="6"/>
      <c r="K118" s="6"/>
      <c r="L118" s="6"/>
      <c r="M118" s="6"/>
      <c r="N118" s="6"/>
    </row>
    <row r="119" spans="10:14" x14ac:dyDescent="0.2">
      <c r="J119" s="6"/>
      <c r="K119" s="6"/>
      <c r="L119" s="6"/>
      <c r="M119" s="6"/>
      <c r="N119" s="6"/>
    </row>
    <row r="120" spans="10:14" x14ac:dyDescent="0.2">
      <c r="J120" s="6"/>
      <c r="K120" s="6"/>
      <c r="L120" s="6"/>
      <c r="M120" s="6"/>
      <c r="N120" s="6"/>
    </row>
    <row r="121" spans="10:14" x14ac:dyDescent="0.2">
      <c r="J121" s="6"/>
      <c r="K121" s="6"/>
      <c r="L121" s="6"/>
      <c r="M121" s="6"/>
      <c r="N121" s="6"/>
    </row>
    <row r="122" spans="10:14" x14ac:dyDescent="0.2">
      <c r="N122" s="6"/>
    </row>
    <row r="123" spans="10:14" x14ac:dyDescent="0.2">
      <c r="N123" s="6"/>
    </row>
    <row r="124" spans="10:14" x14ac:dyDescent="0.2">
      <c r="N124" s="6"/>
    </row>
    <row r="125" spans="10:14" x14ac:dyDescent="0.2">
      <c r="N125" s="6"/>
    </row>
  </sheetData>
  <sortState xmlns:xlrd2="http://schemas.microsoft.com/office/spreadsheetml/2017/richdata2" ref="A3:K31">
    <sortCondition ref="G3:G31"/>
  </sortState>
  <mergeCells count="1">
    <mergeCell ref="A1:N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Records_x0020_Status xmlns="6d2a66c4-1091-45c6-9bb2-840563264a28">Pending</Records_x0020_Status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2019-12-18T17:57:35+00:00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Records_x0020_Date xmlns="6d2a66c4-1091-45c6-9bb2-840563264a28" xsi:nil="true"/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29f62856-1543-49d4-a736-4569d363f533" ContentTypeId="0x01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15B9F7282A8A478FEA4AAA54E49450" ma:contentTypeVersion="15" ma:contentTypeDescription="Create a new document." ma:contentTypeScope="" ma:versionID="9bfc11602f9093ef88c862a03eaebe90">
  <xsd:schema xmlns:xsd="http://www.w3.org/2001/XMLSchema" xmlns:xs="http://www.w3.org/2001/XMLSchema" xmlns:p="http://schemas.microsoft.com/office/2006/metadata/properties" xmlns:ns1="http://schemas.microsoft.com/sharepoint/v3" xmlns:ns3="4ffa91fb-a0ff-4ac5-b2db-65c790d184a4" xmlns:ns4="http://schemas.microsoft.com/sharepoint.v3" xmlns:ns5="http://schemas.microsoft.com/sharepoint/v3/fields" xmlns:ns6="a590a95b-795c-4108-8d05-6711000aae48" xmlns:ns7="6d2a66c4-1091-45c6-9bb2-840563264a28" targetNamespace="http://schemas.microsoft.com/office/2006/metadata/properties" ma:root="true" ma:fieldsID="162040aa06ce602eea3e3683cb767681" ns1:_="" ns3:_="" ns4:_="" ns5:_="" ns6:_="" ns7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a590a95b-795c-4108-8d05-6711000aae48"/>
    <xsd:import namespace="6d2a66c4-1091-45c6-9bb2-840563264a28"/>
    <xsd:element name="properties">
      <xsd:complexType>
        <xsd:sequence>
          <xsd:element name="documentManagement">
            <xsd:complexType>
              <xsd:all>
                <xsd:element ref="ns3:Document_x0020_Creation_x0020_Date" minOccurs="0"/>
                <xsd:element ref="ns3:Creator" minOccurs="0"/>
                <xsd:element ref="ns3:EPA_x0020_Office" minOccurs="0"/>
                <xsd:element ref="ns3:Record" minOccurs="0"/>
                <xsd:element ref="ns4:CategoryDescription" minOccurs="0"/>
                <xsd:element ref="ns3:Identifier" minOccurs="0"/>
                <xsd:element ref="ns3:EPA_x0020_Contributor" minOccurs="0"/>
                <xsd:element ref="ns3:External_x0020_Contributor" minOccurs="0"/>
                <xsd:element ref="ns5:_Coverage" minOccurs="0"/>
                <xsd:element ref="ns3:EPA_x0020_Related_x0020_Documents" minOccurs="0"/>
                <xsd:element ref="ns5:_Source" minOccurs="0"/>
                <xsd:element ref="ns3:Rights" minOccurs="0"/>
                <xsd:element ref="ns1:Language" minOccurs="0"/>
                <xsd:element ref="ns3:j747ac98061d40f0aa7bd47e1db5675d" minOccurs="0"/>
                <xsd:element ref="ns3:TaxKeywordTaxHTField" minOccurs="0"/>
                <xsd:element ref="ns3:TaxCatchAllLabel" minOccurs="0"/>
                <xsd:element ref="ns3:TaxCatchAll" minOccurs="0"/>
                <xsd:element ref="ns6:MediaServiceMetadata" minOccurs="0"/>
                <xsd:element ref="ns6:MediaServiceFastMetadata" minOccurs="0"/>
                <xsd:element ref="ns7:SharedWithUsers" minOccurs="0"/>
                <xsd:element ref="ns7:SharedWithDetails" minOccurs="0"/>
                <xsd:element ref="ns7:SharingHintHash" minOccurs="0"/>
                <xsd:element ref="ns7:Records_x0020_Status" minOccurs="0"/>
                <xsd:element ref="ns7:Records_x0020_Date" minOccurs="0"/>
                <xsd:element ref="ns6:MediaServiceAutoTags" minOccurs="0"/>
                <xsd:element ref="ns6:MediaServiceOCR" minOccurs="0"/>
                <xsd:element ref="ns6:MediaServiceGenerationTime" minOccurs="0"/>
                <xsd:element ref="ns6:MediaServiceEventHashCode" minOccurs="0"/>
                <xsd:element ref="ns6:MediaServiceDateTaken" minOccurs="0"/>
                <xsd:element ref="ns6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ab55af6d-9e67-4a4f-9003-ba2eade92173}" ma:internalName="TaxCatchAllLabel" ma:readOnly="true" ma:showField="CatchAllDataLabel" ma:web="6d2a66c4-1091-45c6-9bb2-840563264a2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ab55af6d-9e67-4a4f-9003-ba2eade92173}" ma:internalName="TaxCatchAll" ma:showField="CatchAllData" ma:web="6d2a66c4-1091-45c6-9bb2-840563264a2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90a95b-795c-4108-8d05-6711000aae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5" nillable="true" ma:displayName="Tags" ma:internalName="MediaServiceAutoTags" ma:readOnly="true">
      <xsd:simpleType>
        <xsd:restriction base="dms:Text"/>
      </xsd:simpleType>
    </xsd:element>
    <xsd:element name="MediaServiceOCR" ma:index="3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3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4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2a66c4-1091-45c6-9bb2-840563264a28" elementFormDefault="qualified">
    <xsd:import namespace="http://schemas.microsoft.com/office/2006/documentManagement/types"/>
    <xsd:import namespace="http://schemas.microsoft.com/office/infopath/2007/PartnerControls"/>
    <xsd:element name="SharedWithUsers" ma:index="3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32" nillable="true" ma:displayName="Sharing Hint Hash" ma:hidden="true" ma:internalName="SharingHintHash" ma:readOnly="true">
      <xsd:simpleType>
        <xsd:restriction base="dms:Text"/>
      </xsd:simpleType>
    </xsd:element>
    <xsd:element name="Records_x0020_Status" ma:index="33" nillable="true" ma:displayName="Records Status" ma:default="Pending" ma:internalName="Records_x0020_Status">
      <xsd:simpleType>
        <xsd:restriction base="dms:Text"/>
      </xsd:simpleType>
    </xsd:element>
    <xsd:element name="Records_x0020_Date" ma:index="34" nillable="true" ma:displayName="Records Date" ma:hidden="true" ma:internalName="Records_x0020_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03FA56-936A-434A-8D28-691D78443AD9}">
  <ds:schemaRefs>
    <ds:schemaRef ds:uri="4ffa91fb-a0ff-4ac5-b2db-65c790d184a4"/>
    <ds:schemaRef ds:uri="http://schemas.microsoft.com/sharepoint.v3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6d2a66c4-1091-45c6-9bb2-840563264a28"/>
    <ds:schemaRef ds:uri="http://schemas.microsoft.com/sharepoint/v3"/>
    <ds:schemaRef ds:uri="a590a95b-795c-4108-8d05-6711000aae48"/>
    <ds:schemaRef ds:uri="http://purl.org/dc/terms/"/>
    <ds:schemaRef ds:uri="http://schemas.microsoft.com/sharepoint/v3/field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79473B1-198B-401B-97EC-D36CB1285E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293B11-7254-4C80-9990-9813C3F319D0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86AA0DEF-283E-4FA9-9CFE-4388FECC5D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a590a95b-795c-4108-8d05-6711000aae48"/>
    <ds:schemaRef ds:uri="6d2a66c4-1091-45c6-9bb2-840563264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Metals</vt:lpstr>
      <vt:lpstr>Abbreviations Defined</vt:lpstr>
      <vt:lpstr>Cigarette Smoke</vt:lpstr>
      <vt:lpstr>Plasticizers</vt:lpstr>
      <vt:lpstr>Organic Contaminants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Nilsen, Frances</dc:creator>
  <cp:lastModifiedBy>Microsoft Office User</cp:lastModifiedBy>
  <dcterms:created xsi:type="dcterms:W3CDTF">2019-03-19T16:48:00Z</dcterms:created>
  <dcterms:modified xsi:type="dcterms:W3CDTF">2023-09-05T15:37:32Z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0x010100FB15B9F7282A8A478FEA4AAA54E49450</vt:lpwstr>
  </property>
</Properties>
</file>